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390" windowHeight="8445" tabRatio="650" activeTab="1"/>
  </bookViews>
  <sheets>
    <sheet name="1-Ф3" sheetId="1" r:id="rId1"/>
    <sheet name="2-ф2" sheetId="2" r:id="rId2"/>
    <sheet name="3-Баланс" sheetId="3" r:id="rId3"/>
    <sheet name="Исх" sheetId="4" r:id="rId4"/>
    <sheet name="Дох" sheetId="5" r:id="rId5"/>
    <sheet name="Расх перем" sheetId="6" r:id="rId6"/>
    <sheet name="Услуги" sheetId="7" r:id="rId7"/>
    <sheet name="Пост" sheetId="8" r:id="rId8"/>
    <sheet name="ФОТ" sheetId="9" r:id="rId9"/>
    <sheet name="кр" sheetId="10" r:id="rId10"/>
    <sheet name="Инв" sheetId="11" r:id="rId11"/>
    <sheet name="безубыт" sheetId="12" r:id="rId12"/>
    <sheet name="Осн.парам.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kpn1" localSheetId="2">'[46]Главн'!$D$46</definedName>
    <definedName name="_kpn1">'[47]Главн'!$D$46</definedName>
    <definedName name="_kpn2" localSheetId="2">'[46]Главн'!$E$46</definedName>
    <definedName name="_kpn2">'[47]Главн'!$E$46</definedName>
    <definedName name="_kpn3" localSheetId="2">'[46]Главн'!$F$46</definedName>
    <definedName name="_kpn3">'[47]Главн'!$F$46</definedName>
    <definedName name="_kpn4" localSheetId="2">'[46]Главн'!$G$46</definedName>
    <definedName name="_kpn4">'[47]Главн'!$G$46</definedName>
    <definedName name="_kpn5" localSheetId="2">'[46]Главн'!$H$46</definedName>
    <definedName name="_kpn5">'[47]Главн'!$H$46</definedName>
    <definedName name="_kpn6" localSheetId="2">'[46]Главн'!$I$46</definedName>
    <definedName name="_kpn6">'[47]Главн'!$I$46</definedName>
    <definedName name="_kpn7" localSheetId="2">'[46]Главн'!$J$46</definedName>
    <definedName name="_kpn7">'[47]Главн'!$J$46</definedName>
    <definedName name="_kpn8" localSheetId="2">'[46]Главн'!$K$46</definedName>
    <definedName name="_kpn8">'[47]Главн'!$K$46</definedName>
    <definedName name="_nds1" localSheetId="2">'[46]Главн'!$D$42</definedName>
    <definedName name="_nds1">'[47]Главн'!$D$42</definedName>
    <definedName name="_nds2" localSheetId="2">'[46]Главн'!$E$42</definedName>
    <definedName name="_nds2">'[47]Главн'!$E$42</definedName>
    <definedName name="_nds3" localSheetId="2">'[46]Главн'!$F$42</definedName>
    <definedName name="_nds3">'[47]Главн'!$F$42</definedName>
    <definedName name="_nds4" localSheetId="2">'[46]Главн'!$G$42</definedName>
    <definedName name="_nds4">'[47]Главн'!$G$42</definedName>
    <definedName name="_nds5" localSheetId="2">'[46]Главн'!$H$42</definedName>
    <definedName name="_nds5">'[47]Главн'!$H$42</definedName>
    <definedName name="_nds6" localSheetId="2">'[46]Главн'!$I$42</definedName>
    <definedName name="_nds6">'[47]Главн'!$I$42</definedName>
    <definedName name="_xlfn.BAHTTEXT" hidden="1">#NAME?</definedName>
    <definedName name="areket" localSheetId="2">#REF!</definedName>
    <definedName name="areket">#REF!</definedName>
    <definedName name="areket2" localSheetId="2">#REF!</definedName>
    <definedName name="areket2">#REF!</definedName>
    <definedName name="cfb">'[3]NPV'!$F$18</definedName>
    <definedName name="curr" localSheetId="2">#REF!</definedName>
    <definedName name="curr">#REF!</definedName>
    <definedName name="DcB">'[11]Дин. оборотн. ср-в!!!'!$B$17+'[11]Дин. оборотн. ср-в!!!'!$B$18+'[11]Дин. оборотн. ср-в!!!'!$B$19+'[11]Дин. оборотн. ср-в!!!'!$B$20</definedName>
    <definedName name="DcF">'[11]Дин. оборотн. ср-в!!!'!$F$17+'[11]Дин. оборотн. ср-в!!!'!$F$18+'[11]Дин. оборотн. ср-в!!!'!$F$19+'[11]Дин. оборотн. ср-в!!!'!$F$20</definedName>
    <definedName name="DF">'[11]Дин. оборотн. ср-в!!!'!$F$25+'[11]Дин. оборотн. ср-в!!!'!$F$26+'[11]Дин. оборотн. ср-в!!!'!$F$27+'[11]Дин. оборотн. ср-в!!!'!$F$28+'[11]Дин. оборотн. ср-в!!!'!$F$29+'[11]Дин. оборотн. ср-в!!!'!$F$30+'[11]Дин. оборотн. ср-в!!!'!$F$31</definedName>
    <definedName name="DG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</definedName>
    <definedName name="Ed." localSheetId="2">#REF!</definedName>
    <definedName name="Ed." localSheetId="4">#REF!</definedName>
    <definedName name="Ed." localSheetId="7">#REF!</definedName>
    <definedName name="Ed." localSheetId="5">#REF!</definedName>
    <definedName name="Ed." localSheetId="6">#REF!</definedName>
    <definedName name="Ed." localSheetId="8">#REF!</definedName>
    <definedName name="Ed.">#REF!</definedName>
    <definedName name="EUR">'[7]Свод'!$C$9</definedName>
    <definedName name="EURO">'[12]Осн. пара'!$C$8</definedName>
    <definedName name="imush1" localSheetId="2">'[46]Главн'!$D$44</definedName>
    <definedName name="imush1" localSheetId="9">'[32]Главн'!$D$44</definedName>
    <definedName name="imush1" localSheetId="6">'[59]Главн'!$D$44</definedName>
    <definedName name="imush1">'[21]Главн'!$D$44</definedName>
    <definedName name="imush2" localSheetId="2">'[46]Главн'!$E$44</definedName>
    <definedName name="imush2" localSheetId="9">'[32]Главн'!$E$44</definedName>
    <definedName name="imush2" localSheetId="6">'[59]Главн'!$E$44</definedName>
    <definedName name="imush2">'[21]Главн'!$E$44</definedName>
    <definedName name="imush3" localSheetId="2">'[46]Главн'!$F$44</definedName>
    <definedName name="imush3" localSheetId="9">'[32]Главн'!$F$44</definedName>
    <definedName name="imush3" localSheetId="6">'[59]Главн'!$F$44</definedName>
    <definedName name="imush3">'[21]Главн'!$F$44</definedName>
    <definedName name="imush4" localSheetId="2">'[46]Главн'!$G$44</definedName>
    <definedName name="imush4" localSheetId="9">'[32]Главн'!$G$44</definedName>
    <definedName name="imush4" localSheetId="6">'[59]Главн'!$G$44</definedName>
    <definedName name="imush4">'[21]Главн'!$G$44</definedName>
    <definedName name="imush5" localSheetId="2">'[46]Главн'!$H$44</definedName>
    <definedName name="imush5" localSheetId="9">'[32]Главн'!$H$44</definedName>
    <definedName name="imush5" localSheetId="6">'[59]Главн'!$H$44</definedName>
    <definedName name="imush5">'[21]Главн'!$H$44</definedName>
    <definedName name="imush6" localSheetId="2">'[46]Главн'!$I$44</definedName>
    <definedName name="imush6" localSheetId="9">'[32]Главн'!$I$44</definedName>
    <definedName name="imush6" localSheetId="6">'[59]Главн'!$I$44</definedName>
    <definedName name="imush6">'[21]Главн'!$I$44</definedName>
    <definedName name="imush7" localSheetId="2">'[46]Главн'!$J$44</definedName>
    <definedName name="imush7" localSheetId="9">'[32]Главн'!$J$44</definedName>
    <definedName name="imush7" localSheetId="6">'[59]Главн'!$J$44</definedName>
    <definedName name="imush7">'[21]Главн'!$J$44</definedName>
    <definedName name="imush8" localSheetId="2">'[46]Главн'!$K$44</definedName>
    <definedName name="imush8" localSheetId="9">'[32]Главн'!$K$44</definedName>
    <definedName name="imush8" localSheetId="6">'[59]Главн'!$K$44</definedName>
    <definedName name="imush8">'[21]Главн'!$K$44</definedName>
    <definedName name="inf" localSheetId="2">'[46]Главн'!$C$35</definedName>
    <definedName name="inf" localSheetId="9">'[32]Главн'!$C$35</definedName>
    <definedName name="inf" localSheetId="6">'[59]Главн'!$C$35</definedName>
    <definedName name="inf">'[21]Главн'!$C$35</definedName>
    <definedName name="kpn1" localSheetId="9">'[32]Главн'!$D$46</definedName>
    <definedName name="kpn1" localSheetId="6">'[59]Главн'!$D$46</definedName>
    <definedName name="kpn1">'[21]Главн'!$D$46</definedName>
    <definedName name="kpn2" localSheetId="9">'[32]Главн'!$E$46</definedName>
    <definedName name="kpn2" localSheetId="6">'[59]Главн'!$E$46</definedName>
    <definedName name="kpn2">'[21]Главн'!$E$46</definedName>
    <definedName name="kpn3" localSheetId="9">'[32]Главн'!$F$46</definedName>
    <definedName name="kpn3" localSheetId="6">'[59]Главн'!$F$46</definedName>
    <definedName name="kpn3">'[21]Главн'!$F$46</definedName>
    <definedName name="kpn4" localSheetId="9">'[32]Главн'!$G$46</definedName>
    <definedName name="kpn4" localSheetId="6">'[59]Главн'!$G$46</definedName>
    <definedName name="kpn4">'[21]Главн'!$G$46</definedName>
    <definedName name="kpn5" localSheetId="9">'[32]Главн'!$H$46</definedName>
    <definedName name="kpn5" localSheetId="6">'[59]Главн'!$H$46</definedName>
    <definedName name="kpn5">'[21]Главн'!$H$46</definedName>
    <definedName name="kpn6" localSheetId="9">'[32]Главн'!$I$46</definedName>
    <definedName name="kpn6" localSheetId="6">'[59]Главн'!$I$46</definedName>
    <definedName name="kpn6">'[21]Главн'!$I$46</definedName>
    <definedName name="kpn7" localSheetId="9">'[32]Главн'!$J$46</definedName>
    <definedName name="kpn7" localSheetId="6">'[59]Главн'!$J$46</definedName>
    <definedName name="kpn7">'[21]Главн'!$J$46</definedName>
    <definedName name="kpn8" localSheetId="9">'[32]Главн'!$K$46</definedName>
    <definedName name="kpn8" localSheetId="6">'[59]Главн'!$K$46</definedName>
    <definedName name="kpn8">'[21]Главн'!$K$46</definedName>
    <definedName name="kurs" localSheetId="2">#REF!</definedName>
    <definedName name="kurs">#REF!</definedName>
    <definedName name="kurs2" localSheetId="2">'[46]Главн'!$C$31</definedName>
    <definedName name="kurs2" localSheetId="9">'[32]Главн'!$C$31</definedName>
    <definedName name="kurs2" localSheetId="6">'[59]Главн'!$C$31</definedName>
    <definedName name="kurs2">'[21]Главн'!$C$31</definedName>
    <definedName name="lgot1" localSheetId="2">'[46]Главн'!$D$41</definedName>
    <definedName name="lgot1" localSheetId="9">'[32]Главн'!$D$41</definedName>
    <definedName name="lgot1" localSheetId="6">'[59]Главн'!$D$41</definedName>
    <definedName name="lgot1">'[21]Главн'!$D$41</definedName>
    <definedName name="lgot2" localSheetId="2">'[46]Главн'!$E$41</definedName>
    <definedName name="lgot2" localSheetId="9">'[32]Главн'!$E$41</definedName>
    <definedName name="lgot2" localSheetId="6">'[59]Главн'!$E$41</definedName>
    <definedName name="lgot2">'[21]Главн'!$E$41</definedName>
    <definedName name="lgot3" localSheetId="2">'[46]Главн'!$F$41</definedName>
    <definedName name="lgot3" localSheetId="9">'[32]Главн'!$F$41</definedName>
    <definedName name="lgot3" localSheetId="6">'[59]Главн'!$F$41</definedName>
    <definedName name="lgot3">'[21]Главн'!$F$41</definedName>
    <definedName name="lgot4" localSheetId="2">'[46]Главн'!$G$41</definedName>
    <definedName name="lgot4" localSheetId="9">'[32]Главн'!$G$41</definedName>
    <definedName name="lgot4" localSheetId="6">'[59]Главн'!$G$41</definedName>
    <definedName name="lgot4">'[21]Главн'!$G$41</definedName>
    <definedName name="lgot5" localSheetId="2">'[46]Главн'!$H$41</definedName>
    <definedName name="lgot5" localSheetId="9">'[32]Главн'!$H$41</definedName>
    <definedName name="lgot5" localSheetId="6">'[59]Главн'!$H$41</definedName>
    <definedName name="lgot5">'[21]Главн'!$H$41</definedName>
    <definedName name="name" localSheetId="2">'[46]Главн'!$C$2</definedName>
    <definedName name="name" localSheetId="9">'[32]Главн'!$C$2</definedName>
    <definedName name="name" localSheetId="6">'[59]Главн'!$C$2</definedName>
    <definedName name="name">'[21]Главн'!$C$2</definedName>
    <definedName name="nds1" localSheetId="9">'[32]Главн'!$D$42</definedName>
    <definedName name="nds1" localSheetId="6">'[59]Главн'!$D$42</definedName>
    <definedName name="nds1">'[21]Главн'!$D$42</definedName>
    <definedName name="nds2" localSheetId="9">'[32]Главн'!$E$42</definedName>
    <definedName name="nds2" localSheetId="6">'[59]Главн'!$E$42</definedName>
    <definedName name="nds2">'[21]Главн'!$E$42</definedName>
    <definedName name="nds3" localSheetId="9">'[32]Главн'!$F$42</definedName>
    <definedName name="nds3" localSheetId="6">'[59]Главн'!$F$42</definedName>
    <definedName name="nds3">'[21]Главн'!$F$42</definedName>
    <definedName name="nds4" localSheetId="9">'[32]Главн'!$G$42</definedName>
    <definedName name="nds4" localSheetId="6">'[59]Главн'!$G$42</definedName>
    <definedName name="nds4">'[21]Главн'!$G$42</definedName>
    <definedName name="nds5" localSheetId="9">'[32]Главн'!$H$42</definedName>
    <definedName name="nds5" localSheetId="6">'[59]Главн'!$H$42</definedName>
    <definedName name="nds5">'[21]Главн'!$H$42</definedName>
    <definedName name="nds6" localSheetId="9">'[32]Главн'!$I$42</definedName>
    <definedName name="nds6" localSheetId="6">'[59]Главн'!$I$42</definedName>
    <definedName name="nds6">'[21]Главн'!$I$42</definedName>
    <definedName name="price">'[7]Свод'!$C$11</definedName>
    <definedName name="remont" localSheetId="2">'[46]Амортиз'!$F$125</definedName>
    <definedName name="remont" localSheetId="9">'[32]Амортиз'!$F$125</definedName>
    <definedName name="remont" localSheetId="6">'[59]Амортиз'!$F$125</definedName>
    <definedName name="remont">'[21]Амортиз'!$F$125</definedName>
    <definedName name="RUR" localSheetId="2">'[7]Свод'!#REF!</definedName>
    <definedName name="RUR" localSheetId="4">'[7]Свод'!#REF!</definedName>
    <definedName name="RUR" localSheetId="7">'[7]Свод'!#REF!</definedName>
    <definedName name="RUR" localSheetId="5">'[7]Свод'!#REF!</definedName>
    <definedName name="RUR" localSheetId="6">'[7]Свод'!#REF!</definedName>
    <definedName name="RUR" localSheetId="8">'[7]Свод'!#REF!</definedName>
    <definedName name="RUR">'[7]Свод'!#REF!</definedName>
    <definedName name="USD" localSheetId="9">'[7]Свод'!#REF!</definedName>
    <definedName name="USD">'[12]Осн. пара'!$C$4</definedName>
    <definedName name="valuta" localSheetId="2">'[46]Главн'!$C$21</definedName>
    <definedName name="valuta" localSheetId="9">'[32]Главн'!$C$21</definedName>
    <definedName name="valuta" localSheetId="6">'[59]Главн'!$C$21</definedName>
    <definedName name="valuta">'[21]Главн'!$C$21</definedName>
    <definedName name="valuta2" localSheetId="2">'[46]Главн'!$C$19</definedName>
    <definedName name="valuta2" localSheetId="9">'[32]Главн'!$C$19</definedName>
    <definedName name="valuta2" localSheetId="6">'[59]Главн'!$C$19</definedName>
    <definedName name="valuta2">'[21]Главн'!$C$19</definedName>
    <definedName name="Z_9D8A7FE8_EB32_11D6_AAD8_00E04C390749_.wvu.Cols" localSheetId="2" hidden="1">#REF!</definedName>
    <definedName name="Z_9D8A7FE8_EB32_11D6_AAD8_00E04C390749_.wvu.Cols" hidden="1">#REF!</definedName>
    <definedName name="АвПокуп" localSheetId="2">#REF!</definedName>
    <definedName name="АвПокуп">#REF!</definedName>
    <definedName name="АвПокуп1" localSheetId="2">#REF!</definedName>
    <definedName name="АвПокуп1">#REF!</definedName>
    <definedName name="АвПост" localSheetId="2">#REF!</definedName>
    <definedName name="АвПост">#REF!</definedName>
    <definedName name="АвПост1" localSheetId="2">#REF!</definedName>
    <definedName name="АвПост1">#REF!</definedName>
    <definedName name="адм" localSheetId="2">#REF!</definedName>
    <definedName name="адм" localSheetId="9">#REF!</definedName>
    <definedName name="адм" localSheetId="6">#REF!</definedName>
    <definedName name="адм">#REF!</definedName>
    <definedName name="арекет" localSheetId="0">#REF!</definedName>
    <definedName name="арекет" localSheetId="2">#REF!</definedName>
    <definedName name="арекет">#REF!</definedName>
    <definedName name="арекет2" localSheetId="0">#REF!</definedName>
    <definedName name="арекет2" localSheetId="2">#REF!</definedName>
    <definedName name="арекет2">#REF!</definedName>
    <definedName name="арекет3" localSheetId="0">#REF!</definedName>
    <definedName name="арекет3" localSheetId="2">#REF!</definedName>
    <definedName name="арекет3">#REF!</definedName>
    <definedName name="арэк" localSheetId="0">#REF!</definedName>
    <definedName name="арэк" localSheetId="2">#REF!</definedName>
    <definedName name="арэк">#REF!</definedName>
    <definedName name="арэк2" localSheetId="0">#REF!</definedName>
    <definedName name="арэк2" localSheetId="2">#REF!</definedName>
    <definedName name="арэк2">#REF!</definedName>
    <definedName name="арэк3" localSheetId="0">#REF!</definedName>
    <definedName name="арэк3" localSheetId="2">#REF!</definedName>
    <definedName name="арэк3">#REF!</definedName>
    <definedName name="аств" localSheetId="0">#REF!</definedName>
    <definedName name="аств" localSheetId="2">#REF!</definedName>
    <definedName name="аств">#REF!</definedName>
    <definedName name="аств2" localSheetId="0">#REF!</definedName>
    <definedName name="аств2" localSheetId="2">#REF!</definedName>
    <definedName name="аств2">#REF!</definedName>
    <definedName name="аств3" localSheetId="0">#REF!</definedName>
    <definedName name="аств3" localSheetId="2">#REF!</definedName>
    <definedName name="аств3">#REF!</definedName>
    <definedName name="атырау" localSheetId="0">#REF!</definedName>
    <definedName name="атырау" localSheetId="2">#REF!</definedName>
    <definedName name="атырау">#REF!</definedName>
    <definedName name="атырау2" localSheetId="0">#REF!</definedName>
    <definedName name="атырау2" localSheetId="2">#REF!</definedName>
    <definedName name="атырау2">#REF!</definedName>
    <definedName name="атырау3" localSheetId="0">#REF!</definedName>
    <definedName name="атырау3" localSheetId="2">#REF!</definedName>
    <definedName name="атырау3">#REF!</definedName>
    <definedName name="баланс_стоимость" localSheetId="2">'[48]объекты обществаКокшетау'!#REF!</definedName>
    <definedName name="баланс_стоимость" localSheetId="4">'[23]объекты обществаКокшетау'!#REF!</definedName>
    <definedName name="баланс_стоимость" localSheetId="9">'[34]объекты обществаКокшетау'!#REF!</definedName>
    <definedName name="баланс_стоимость" localSheetId="7">'[23]объекты обществаКокшетау'!#REF!</definedName>
    <definedName name="баланс_стоимость" localSheetId="5">'[23]объекты обществаКокшетау'!#REF!</definedName>
    <definedName name="баланс_стоимость" localSheetId="6">'[61]объекты обществаКокшетау'!#REF!</definedName>
    <definedName name="баланс_стоимость" localSheetId="8">'[23]объекты обществаКокшетау'!#REF!</definedName>
    <definedName name="баланс_стоимость">'[23]объекты обществаКокшетау'!#REF!</definedName>
    <definedName name="бву">'[2]Фин. пок-ли'!$C$17</definedName>
    <definedName name="ВА1" localSheetId="2">#REF!</definedName>
    <definedName name="ВА1">#REF!</definedName>
    <definedName name="Вал" localSheetId="2">#REF!</definedName>
    <definedName name="Вал" localSheetId="9">#REF!</definedName>
    <definedName name="Вал" localSheetId="6">#REF!</definedName>
    <definedName name="Вал">#REF!</definedName>
    <definedName name="ВалП1" localSheetId="2">#REF!</definedName>
    <definedName name="ВалП1" localSheetId="4">#REF!</definedName>
    <definedName name="ВалП1" localSheetId="7">#REF!</definedName>
    <definedName name="ВалП1" localSheetId="5">#REF!</definedName>
    <definedName name="ВалП1" localSheetId="6">#REF!</definedName>
    <definedName name="ВалП1" localSheetId="8">#REF!</definedName>
    <definedName name="ВалП1">#REF!</definedName>
    <definedName name="Валюта" localSheetId="2">#REF!</definedName>
    <definedName name="Валюта">#REF!</definedName>
    <definedName name="вид_инвестиций" localSheetId="2">'[46]Invest'!$C$7:$C$240</definedName>
    <definedName name="вид_инвестиций" localSheetId="9">'[32]Invest'!$C$7:$C$240</definedName>
    <definedName name="вид_инвестиций" localSheetId="6">'[59]Invest'!$C$7:$C$240</definedName>
    <definedName name="вид_инвестиций">'[21]Invest'!$C$7:$C$240</definedName>
    <definedName name="Вита_осн">'[10]ИсхД+'!$A$2</definedName>
    <definedName name="ВК" localSheetId="2">#REF!</definedName>
    <definedName name="ВК">#REF!</definedName>
    <definedName name="ВК1" localSheetId="2">#REF!</definedName>
    <definedName name="ВК1">#REF!</definedName>
    <definedName name="ВК2" localSheetId="2">#REF!</definedName>
    <definedName name="ВК2">#REF!</definedName>
    <definedName name="ВК3" localSheetId="2">#REF!</definedName>
    <definedName name="ВК3">#REF!</definedName>
    <definedName name="вложения" localSheetId="2">'[46]Граф кап инвестиц'!$B$8:$B$12</definedName>
    <definedName name="вложения" localSheetId="9">'[32]Граф кап инвестиц'!$B$8:$B$12</definedName>
    <definedName name="вложения" localSheetId="6">'[59]Граф кап инвестиц'!$B$8:$B$12</definedName>
    <definedName name="вложения">'[21]Граф кап инвестиц'!$B$8:$B$12</definedName>
    <definedName name="ВР1" localSheetId="2">#REF!</definedName>
    <definedName name="ВР1">#REF!</definedName>
    <definedName name="ВРО1" localSheetId="2">#REF!</definedName>
    <definedName name="ВРО1">#REF!</definedName>
    <definedName name="всего_долл" localSheetId="2">'[48]объекты обществаКокшетау'!#REF!</definedName>
    <definedName name="всего_долл" localSheetId="4">'[23]объекты обществаКокшетау'!#REF!</definedName>
    <definedName name="всего_долл" localSheetId="9">'[34]объекты обществаКокшетау'!#REF!</definedName>
    <definedName name="всего_долл" localSheetId="7">'[23]объекты обществаКокшетау'!#REF!</definedName>
    <definedName name="всего_долл" localSheetId="5">'[23]объекты обществаКокшетау'!#REF!</definedName>
    <definedName name="всего_долл" localSheetId="6">'[61]объекты обществаКокшетау'!#REF!</definedName>
    <definedName name="всего_долл" localSheetId="8">'[23]объекты обществаКокшетау'!#REF!</definedName>
    <definedName name="всего_долл">'[23]объекты обществаКокшетау'!#REF!</definedName>
    <definedName name="газсервис" localSheetId="0">#REF!</definedName>
    <definedName name="газсервис" localSheetId="2">#REF!</definedName>
    <definedName name="газсервис">#REF!</definedName>
    <definedName name="газсервис2" localSheetId="0">#REF!</definedName>
    <definedName name="газсервис2" localSheetId="2">#REF!</definedName>
    <definedName name="газсервис2">#REF!</definedName>
    <definedName name="газсервис3" localSheetId="0">#REF!</definedName>
    <definedName name="газсервис3" localSheetId="2">#REF!</definedName>
    <definedName name="газсервис3">#REF!</definedName>
    <definedName name="год">'[5]Осн.показ'!$D$8</definedName>
    <definedName name="год1">'[5]Осн.показ'!$D$9</definedName>
    <definedName name="ГотПр" localSheetId="2">#REF!</definedName>
    <definedName name="ГотПр">#REF!</definedName>
    <definedName name="ГотПр1" localSheetId="2">#REF!</definedName>
    <definedName name="ГотПр1">#REF!</definedName>
    <definedName name="д" localSheetId="2">#REF!</definedName>
    <definedName name="д">#REF!</definedName>
    <definedName name="Дебиторская__задолженность">'[11]Дин. оборотн. ср-в!!!'!$B$25+'[11]Дин. оборотн. ср-в!!!'!$B$26+'[11]Дин. оборотн. ср-в!!!'!$B$27+'[11]Дин. оборотн. ср-в!!!'!$B$28+'[11]Дин. оборотн. ср-в!!!'!$B$29+'[11]Дин. оборотн. ср-в!!!'!$B$30+'[11]Дин. оборотн. ср-в!!!'!$B$31+'[11]Дин. оборотн. ср-в!!!'!$B$33</definedName>
    <definedName name="Дебиторская_задолженность_Ст_сть_всех_активов">'[11]Уровень показателей!!!'!$E$18/'[11]Б3!!!'!$C$58</definedName>
    <definedName name="ДЗ" localSheetId="2">#REF!</definedName>
    <definedName name="ДЗ">#REF!</definedName>
    <definedName name="ДЗ1" localSheetId="2">#REF!</definedName>
    <definedName name="ДЗ1">#REF!</definedName>
    <definedName name="дз1к">'[11]Б1'!$D$34+'[11]Б1'!$D$35+'[11]Б1'!$D$36+'[11]Б1'!$D$37+'[11]Б1'!$D$38+'[11]Б1'!$D$39</definedName>
    <definedName name="дз1н">'[11]Б1'!$C$34++'[11]Б1'!$C$35+'[11]Б1'!$C$36+'[11]Б1'!$C$37+'[11]Б1'!$C$38+'[11]Б1'!$C$39</definedName>
    <definedName name="дз94к" localSheetId="2">'[11]Б1'!#REF!+'[11]Б1'!#REF!+'[11]Б1'!#REF!+'[11]Б1'!#REF!+'[11]Б1'!#REF!+'[11]Б1'!#REF!+'[11]Б1'!#REF!</definedName>
    <definedName name="дз94к" localSheetId="4">'[11]Б1'!#REF!+'[11]Б1'!#REF!+'[11]Б1'!#REF!+'[11]Б1'!#REF!+'[11]Б1'!#REF!+'[11]Б1'!#REF!+'[11]Б1'!#REF!</definedName>
    <definedName name="дз94к" localSheetId="7">'[11]Б1'!#REF!+'[11]Б1'!#REF!+'[11]Б1'!#REF!+'[11]Б1'!#REF!+'[11]Б1'!#REF!+'[11]Б1'!#REF!+'[11]Б1'!#REF!</definedName>
    <definedName name="дз94к" localSheetId="5">'[11]Б1'!#REF!+'[11]Б1'!#REF!+'[11]Б1'!#REF!+'[11]Б1'!#REF!+'[11]Б1'!#REF!+'[11]Б1'!#REF!+'[11]Б1'!#REF!</definedName>
    <definedName name="дз94к" localSheetId="6">'[11]Б1'!#REF!+'[11]Б1'!#REF!+'[11]Б1'!#REF!+'[11]Б1'!#REF!+'[11]Б1'!#REF!+'[11]Б1'!#REF!+'[11]Б1'!#REF!</definedName>
    <definedName name="дз94к" localSheetId="8">'[11]Б1'!#REF!+'[11]Б1'!#REF!+'[11]Б1'!#REF!+'[11]Б1'!#REF!+'[11]Б1'!#REF!+'[11]Б1'!#REF!+'[11]Б1'!#REF!</definedName>
    <definedName name="дз94к">'[11]Б1'!#REF!+'[11]Б1'!#REF!+'[11]Б1'!#REF!+'[11]Б1'!#REF!+'[11]Б1'!#REF!+'[11]Б1'!#REF!+'[11]Б1'!#REF!</definedName>
    <definedName name="дз94н" localSheetId="2">'[11]Б1'!#REF!+'[11]Б1'!#REF!+'[11]Б1'!#REF!+'[11]Б1'!#REF!+'[11]Б1'!#REF!+'[11]Б1'!#REF!+'[11]Б1'!#REF!</definedName>
    <definedName name="дз94н" localSheetId="4">'[11]Б1'!#REF!+'[11]Б1'!#REF!+'[11]Б1'!#REF!+'[11]Б1'!#REF!+'[11]Б1'!#REF!+'[11]Б1'!#REF!+'[11]Б1'!#REF!</definedName>
    <definedName name="дз94н" localSheetId="7">'[11]Б1'!#REF!+'[11]Б1'!#REF!+'[11]Б1'!#REF!+'[11]Б1'!#REF!+'[11]Б1'!#REF!+'[11]Б1'!#REF!+'[11]Б1'!#REF!</definedName>
    <definedName name="дз94н" localSheetId="5">'[11]Б1'!#REF!+'[11]Б1'!#REF!+'[11]Б1'!#REF!+'[11]Б1'!#REF!+'[11]Б1'!#REF!+'[11]Б1'!#REF!+'[11]Б1'!#REF!</definedName>
    <definedName name="дз94н" localSheetId="6">'[11]Б1'!#REF!+'[11]Б1'!#REF!+'[11]Б1'!#REF!+'[11]Б1'!#REF!+'[11]Б1'!#REF!+'[11]Б1'!#REF!+'[11]Б1'!#REF!</definedName>
    <definedName name="дз94н" localSheetId="8">'[11]Б1'!#REF!+'[11]Б1'!#REF!+'[11]Б1'!#REF!+'[11]Б1'!#REF!+'[11]Б1'!#REF!+'[11]Б1'!#REF!+'[11]Б1'!#REF!</definedName>
    <definedName name="дз94н">'[11]Б1'!#REF!+'[11]Б1'!#REF!+'[11]Б1'!#REF!+'[11]Б1'!#REF!+'[11]Б1'!#REF!+'[11]Б1'!#REF!+'[11]Б1'!#REF!</definedName>
    <definedName name="ДК1" localSheetId="2">#REF!</definedName>
    <definedName name="ДК1">#REF!</definedName>
    <definedName name="дол" localSheetId="2">#REF!</definedName>
    <definedName name="дол">#REF!</definedName>
    <definedName name="долл" localSheetId="2">#REF!</definedName>
    <definedName name="долл" localSheetId="4">#REF!</definedName>
    <definedName name="долл" localSheetId="9">'[35]Исх'!$C$16</definedName>
    <definedName name="долл" localSheetId="7">#REF!</definedName>
    <definedName name="долл" localSheetId="5">#REF!</definedName>
    <definedName name="долл" localSheetId="6">#REF!</definedName>
    <definedName name="долл" localSheetId="8">'ФОТ'!#REF!</definedName>
    <definedName name="долл">#REF!</definedName>
    <definedName name="доллар" localSheetId="2">'[49]Параметры'!$C$18</definedName>
    <definedName name="доллар" localSheetId="9">'[36]Параметры'!$C$18</definedName>
    <definedName name="доллар" localSheetId="6">'[62]Параметры'!$C$18</definedName>
    <definedName name="доллар">'[25]Параметры'!$C$18</definedName>
    <definedName name="дох" localSheetId="2">#REF!</definedName>
    <definedName name="дох" localSheetId="9">#REF!</definedName>
    <definedName name="дох" localSheetId="6">#REF!</definedName>
    <definedName name="дох">#REF!</definedName>
    <definedName name="дсша" localSheetId="2">#REF!</definedName>
    <definedName name="дсша" localSheetId="4">#REF!</definedName>
    <definedName name="дсша" localSheetId="9">#REF!</definedName>
    <definedName name="дсша" localSheetId="7">#REF!</definedName>
    <definedName name="дсша" localSheetId="5">#REF!</definedName>
    <definedName name="дсша" localSheetId="6">#REF!</definedName>
    <definedName name="дсша" localSheetId="8">#REF!</definedName>
    <definedName name="дсша">#REF!</definedName>
    <definedName name="дт" localSheetId="2">'[50]пост. пар.'!$C$13</definedName>
    <definedName name="дт" localSheetId="9">'[37]пост. пар.'!$C$13</definedName>
    <definedName name="дт" localSheetId="6">'[63]пост. пар.'!$C$13</definedName>
    <definedName name="дт">'[26]пост. пар.'!$C$13</definedName>
    <definedName name="евр">'[5]Осн.показ'!$D$13</definedName>
    <definedName name="евро" localSheetId="2">#REF!</definedName>
    <definedName name="евро" localSheetId="12">'[8]Общ_Д'!$B$16</definedName>
    <definedName name="евро">#REF!</definedName>
    <definedName name="ждд" localSheetId="2">#REF!</definedName>
    <definedName name="ждд" localSheetId="9">#REF!</definedName>
    <definedName name="ждд" localSheetId="6">#REF!</definedName>
    <definedName name="ждд">#REF!</definedName>
    <definedName name="_xlnm.Print_Titles" localSheetId="1">'2-ф2'!$A:$A</definedName>
    <definedName name="_xlnm.Print_Titles" localSheetId="2">'3-Баланс'!$A:$A</definedName>
    <definedName name="_xlnm.Print_Titles" localSheetId="10">'Инв'!$A:$A,'Инв'!$4:$4</definedName>
    <definedName name="_xlnm.Print_Titles" localSheetId="9">'кр'!$A:$B</definedName>
    <definedName name="_xlnm.Print_Titles" localSheetId="6">'Услуги'!$A:$A</definedName>
    <definedName name="_xlnm.Print_Titles" localSheetId="8">'ФОТ'!$4:$4</definedName>
    <definedName name="Зап" localSheetId="2">#REF!</definedName>
    <definedName name="Зап">#REF!</definedName>
    <definedName name="Зап1" localSheetId="2">#REF!</definedName>
    <definedName name="Зап1">#REF!</definedName>
    <definedName name="имя" localSheetId="2">#REF!</definedName>
    <definedName name="имя">#REF!</definedName>
    <definedName name="Инвестор1" localSheetId="2">'[46]Главн'!$C$8</definedName>
    <definedName name="Инвестор1" localSheetId="9">'[32]Главн'!$C$8</definedName>
    <definedName name="Инвестор1" localSheetId="6">'[59]Главн'!$C$8</definedName>
    <definedName name="Инвестор1">'[21]Главн'!$C$8</definedName>
    <definedName name="Инвестор2" localSheetId="2">'[46]Главн'!$C$9</definedName>
    <definedName name="Инвестор2" localSheetId="9">'[32]Главн'!$C$9</definedName>
    <definedName name="Инвестор2" localSheetId="6">'[59]Главн'!$C$9</definedName>
    <definedName name="Инвестор2">'[21]Главн'!$C$9</definedName>
    <definedName name="Инвестор3" localSheetId="2">'[46]Главн'!$C$10</definedName>
    <definedName name="Инвестор3" localSheetId="9">'[32]Главн'!$C$10</definedName>
    <definedName name="Инвестор3" localSheetId="6">'[59]Главн'!$C$10</definedName>
    <definedName name="Инвестор3">'[21]Главн'!$C$10</definedName>
    <definedName name="инициатор" localSheetId="2">'[46]Главн'!$C$7</definedName>
    <definedName name="инициатор" localSheetId="9">'[32]Главн'!$C$7</definedName>
    <definedName name="инициатор" localSheetId="6">'[59]Главн'!$C$7</definedName>
    <definedName name="инициатор">'[21]Главн'!$C$7</definedName>
    <definedName name="Инт" localSheetId="2">#REF!</definedName>
    <definedName name="Инт" localSheetId="4">#REF!</definedName>
    <definedName name="Инт" localSheetId="7">#REF!</definedName>
    <definedName name="Инт" localSheetId="5">#REF!</definedName>
    <definedName name="Инт" localSheetId="6">#REF!</definedName>
    <definedName name="Инт" localSheetId="8">#REF!</definedName>
    <definedName name="Инт">#REF!</definedName>
    <definedName name="итого_в_долл" localSheetId="2">'[48]объекты обществаКокшетау'!#REF!</definedName>
    <definedName name="итого_в_долл" localSheetId="4">'[23]объекты обществаКокшетау'!#REF!</definedName>
    <definedName name="итого_в_долл" localSheetId="9">'[34]объекты обществаКокшетау'!#REF!</definedName>
    <definedName name="итого_в_долл" localSheetId="7">'[23]объекты обществаКокшетау'!#REF!</definedName>
    <definedName name="итого_в_долл" localSheetId="5">'[23]объекты обществаКокшетау'!#REF!</definedName>
    <definedName name="итого_в_долл" localSheetId="6">'[61]объекты обществаКокшетау'!#REF!</definedName>
    <definedName name="итого_в_долл" localSheetId="8">'[23]объекты обществаКокшетау'!#REF!</definedName>
    <definedName name="итого_в_долл">'[23]объекты обществаКокшетау'!#REF!</definedName>
    <definedName name="июль" localSheetId="2">#REF!</definedName>
    <definedName name="июль" localSheetId="9">#REF!</definedName>
    <definedName name="июль" localSheetId="6">#REF!</definedName>
    <definedName name="июль">#REF!</definedName>
    <definedName name="Каламкас" localSheetId="2">'[27]объекты обществаКокшетау'!#REF!</definedName>
    <definedName name="Каламкас" localSheetId="4">'[27]объекты обществаКокшетау'!#REF!</definedName>
    <definedName name="Каламкас" localSheetId="7">'[27]объекты обществаКокшетау'!#REF!</definedName>
    <definedName name="Каламкас" localSheetId="5">'[27]объекты обществаКокшетау'!#REF!</definedName>
    <definedName name="Каламкас" localSheetId="6">'[27]объекты обществаКокшетау'!#REF!</definedName>
    <definedName name="Каламкас" localSheetId="8">'[27]объекты обществаКокшетау'!#REF!</definedName>
    <definedName name="Каламкас">'[27]объекты обществаКокшетау'!#REF!</definedName>
    <definedName name="кндс" localSheetId="2">#REF!</definedName>
    <definedName name="кндс" localSheetId="4">#REF!</definedName>
    <definedName name="кндс" localSheetId="9">'[5]Осн.показ'!$D$15</definedName>
    <definedName name="кндс" localSheetId="7">#REF!</definedName>
    <definedName name="кндс" localSheetId="5">#REF!</definedName>
    <definedName name="кндс" localSheetId="6">#REF!</definedName>
    <definedName name="кндс" localSheetId="8">'ФОТ'!#REF!</definedName>
    <definedName name="кндс">#REF!</definedName>
    <definedName name="кндс1" localSheetId="2">'[51]Исх'!$C$8</definedName>
    <definedName name="кндс1" localSheetId="11">'[17]Исх'!$C$8</definedName>
    <definedName name="кндс1" localSheetId="9">'[35]Исх'!$C$8</definedName>
    <definedName name="кндс1" localSheetId="6">'[65]Исх'!$C$8</definedName>
    <definedName name="кндс1">'[15]Исх'!$C$8</definedName>
    <definedName name="Код" localSheetId="2">#REF!</definedName>
    <definedName name="Код">#REF!</definedName>
    <definedName name="компресс" localSheetId="2">#REF!</definedName>
    <definedName name="компресс" localSheetId="4">#REF!</definedName>
    <definedName name="компресс" localSheetId="7">#REF!</definedName>
    <definedName name="компресс" localSheetId="5">#REF!</definedName>
    <definedName name="компресс" localSheetId="6">#REF!</definedName>
    <definedName name="компресс" localSheetId="8">#REF!</definedName>
    <definedName name="компресс">#REF!</definedName>
    <definedName name="кре" localSheetId="2">#REF!</definedName>
    <definedName name="кре" localSheetId="9">#REF!</definedName>
    <definedName name="кре" localSheetId="6">#REF!</definedName>
    <definedName name="кре">#REF!</definedName>
    <definedName name="Кредит_перераб" localSheetId="2">'[9]Общ_Д'!#REF!</definedName>
    <definedName name="Кредит_перераб" localSheetId="4">'[9]Общ_Д'!#REF!</definedName>
    <definedName name="Кредит_перераб" localSheetId="7">'[9]Общ_Д'!#REF!</definedName>
    <definedName name="Кредит_перераб" localSheetId="5">'[9]Общ_Д'!#REF!</definedName>
    <definedName name="Кредит_перераб" localSheetId="6">'[9]Общ_Д'!#REF!</definedName>
    <definedName name="Кредит_перераб" localSheetId="8">'[9]Общ_Д'!#REF!</definedName>
    <definedName name="Кредит_перераб">'[9]Общ_Д'!#REF!</definedName>
    <definedName name="Кредит_произв" localSheetId="2">'[9]Общ_Д'!#REF!</definedName>
    <definedName name="Кредит_произв" localSheetId="4">'[9]Общ_Д'!#REF!</definedName>
    <definedName name="Кредит_произв" localSheetId="7">'[9]Общ_Д'!#REF!</definedName>
    <definedName name="Кредит_произв" localSheetId="5">'[9]Общ_Д'!#REF!</definedName>
    <definedName name="Кредит_произв" localSheetId="6">'[9]Общ_Д'!#REF!</definedName>
    <definedName name="Кредит_произв" localSheetId="8">'[9]Общ_Д'!#REF!</definedName>
    <definedName name="Кредит_произв">'[9]Общ_Д'!#REF!</definedName>
    <definedName name="Кредит_производство" localSheetId="2">'[9]Общ_Д'!#REF!</definedName>
    <definedName name="Кредит_производство" localSheetId="4">'[9]Общ_Д'!#REF!</definedName>
    <definedName name="Кредит_производство" localSheetId="7">'[9]Общ_Д'!#REF!</definedName>
    <definedName name="Кредит_производство" localSheetId="5">'[9]Общ_Д'!#REF!</definedName>
    <definedName name="Кредит_производство" localSheetId="6">'[9]Общ_Д'!#REF!</definedName>
    <definedName name="Кредит_производство" localSheetId="8">'[9]Общ_Д'!#REF!</definedName>
    <definedName name="Кредит_производство">'[9]Общ_Д'!#REF!</definedName>
    <definedName name="кросс_курс">'[4]Приобретение О.С.'!$F$3</definedName>
    <definedName name="кулагер" localSheetId="0">#REF!</definedName>
    <definedName name="кулагер" localSheetId="2">#REF!</definedName>
    <definedName name="кулагер">#REF!</definedName>
    <definedName name="кулагер2" localSheetId="0">#REF!</definedName>
    <definedName name="кулагер2" localSheetId="2">#REF!</definedName>
    <definedName name="кулагер2">#REF!</definedName>
    <definedName name="кулагер3" localSheetId="0">#REF!</definedName>
    <definedName name="кулагер3" localSheetId="2">#REF!</definedName>
    <definedName name="кулагер3">#REF!</definedName>
    <definedName name="кумыскаскыр" localSheetId="0">#REF!</definedName>
    <definedName name="кумыскаскыр" localSheetId="2">#REF!</definedName>
    <definedName name="кумыскаскыр">#REF!</definedName>
    <definedName name="кумыскаскыр2" localSheetId="0">#REF!</definedName>
    <definedName name="кумыскаскыр2" localSheetId="2">#REF!</definedName>
    <definedName name="кумыскаскыр2">#REF!</definedName>
    <definedName name="кумыскаскыр3" localSheetId="0">#REF!</definedName>
    <definedName name="кумыскаскыр3" localSheetId="2">#REF!</definedName>
    <definedName name="кумыскаскыр3">#REF!</definedName>
    <definedName name="Курс" localSheetId="0">'[4]Перем. затраты'!$P$45</definedName>
    <definedName name="курс" localSheetId="2">'[52]Исх'!$C$5</definedName>
    <definedName name="курс" localSheetId="11">'[19]Данные,рентаб'!$C$23</definedName>
    <definedName name="Курс" localSheetId="9">'[13]Перем. затраты'!$P$45</definedName>
    <definedName name="курс" localSheetId="6">'[58]Исх'!$C$5</definedName>
    <definedName name="курс">'Исх'!#REF!</definedName>
    <definedName name="курс_доллара_сегодня" localSheetId="2">'[53]константы'!$A$15</definedName>
    <definedName name="курс_доллара_сегодня" localSheetId="9">'[39]константы'!$A$15</definedName>
    <definedName name="курс_доллара_сегодня" localSheetId="6">'[66]константы'!$A$15</definedName>
    <definedName name="курс_доллара_сегодня">'[28]константы'!$A$15</definedName>
    <definedName name="курс_НБРК" localSheetId="2">'[48]объекты обществаКокшетау'!#REF!</definedName>
    <definedName name="курс_НБРК" localSheetId="4">'[23]объекты обществаКокшетау'!#REF!</definedName>
    <definedName name="курс_НБРК" localSheetId="9">'[34]объекты обществаКокшетау'!#REF!</definedName>
    <definedName name="курс_НБРК" localSheetId="7">'[23]объекты обществаКокшетау'!#REF!</definedName>
    <definedName name="курс_НБРК" localSheetId="5">'[23]объекты обществаКокшетау'!#REF!</definedName>
    <definedName name="курс_НБРК" localSheetId="6">'[61]объекты обществаКокшетау'!#REF!</definedName>
    <definedName name="курс_НБРК" localSheetId="8">'[23]объекты обществаКокшетау'!#REF!</definedName>
    <definedName name="курс_НБРК">'[23]объекты обществаКокшетау'!#REF!</definedName>
    <definedName name="Курс1" localSheetId="2">#REF!</definedName>
    <definedName name="Курс1" localSheetId="4">#REF!</definedName>
    <definedName name="Курс1" localSheetId="9">#REF!</definedName>
    <definedName name="Курс1" localSheetId="7">#REF!</definedName>
    <definedName name="Курс1" localSheetId="5">#REF!</definedName>
    <definedName name="Курс1" localSheetId="6">#REF!</definedName>
    <definedName name="Курс1" localSheetId="8">#REF!</definedName>
    <definedName name="Курс1">#REF!</definedName>
    <definedName name="Курс10" localSheetId="2">'[14]Финпоки1'!#REF!</definedName>
    <definedName name="Курс10" localSheetId="4">'[14]Финпоки1'!#REF!</definedName>
    <definedName name="Курс10" localSheetId="7">'[14]Финпоки1'!#REF!</definedName>
    <definedName name="Курс10" localSheetId="5">'[14]Финпоки1'!#REF!</definedName>
    <definedName name="Курс10" localSheetId="6">'[14]Финпоки1'!#REF!</definedName>
    <definedName name="Курс10" localSheetId="8">'[14]Финпоки1'!#REF!</definedName>
    <definedName name="Курс10">'[14]Финпоки1'!#REF!</definedName>
    <definedName name="курсСША" localSheetId="2">#REF!</definedName>
    <definedName name="курсСША" localSheetId="9">#REF!</definedName>
    <definedName name="курсСША" localSheetId="6">#REF!</definedName>
    <definedName name="курсСША">#REF!</definedName>
    <definedName name="мес" localSheetId="2">'[54]Осн.показ'!$C$10</definedName>
    <definedName name="мес" localSheetId="9">'[41]Осн.показ'!$C$10</definedName>
    <definedName name="мес" localSheetId="6">'[67]Осн.показ'!$C$10</definedName>
    <definedName name="мес">'[24]Осн.показ'!$C$10</definedName>
    <definedName name="мес1" localSheetId="2">'[54]Осн.показ'!$C$11</definedName>
    <definedName name="мес1" localSheetId="9">'[41]Осн.показ'!$C$11</definedName>
    <definedName name="мес1" localSheetId="6">'[67]Осн.показ'!$C$11</definedName>
    <definedName name="мес1">'[24]Осн.показ'!$C$11</definedName>
    <definedName name="металлоформы" localSheetId="2">#REF!</definedName>
    <definedName name="металлоформы" localSheetId="4">#REF!</definedName>
    <definedName name="металлоформы" localSheetId="7">#REF!</definedName>
    <definedName name="металлоформы" localSheetId="5">#REF!</definedName>
    <definedName name="металлоформы" localSheetId="6">#REF!</definedName>
    <definedName name="металлоформы" localSheetId="8">#REF!</definedName>
    <definedName name="металлоформы">#REF!</definedName>
    <definedName name="МОВ" localSheetId="2">#REF!</definedName>
    <definedName name="МОВ">#REF!</definedName>
    <definedName name="Мощность" localSheetId="2">'[55]Параметры'!$C$2</definedName>
    <definedName name="Мощность" localSheetId="9">'[42]Параметры'!$C$2</definedName>
    <definedName name="Мощность" localSheetId="6">'[68]Параметры'!$C$2</definedName>
    <definedName name="Мощность">'[29]Параметры'!$C$2</definedName>
    <definedName name="МРП">'[4]Перем. затраты'!$P$46</definedName>
    <definedName name="Название" localSheetId="2">#REF!</definedName>
    <definedName name="Название">#REF!</definedName>
    <definedName name="Наименование">'[7]План пр-ва'!$A$6</definedName>
    <definedName name="ндс" localSheetId="2">'[52]Исх'!$C$8</definedName>
    <definedName name="ндс" localSheetId="11">'[18]Исх'!$C$9</definedName>
    <definedName name="НДС" localSheetId="9">'[13]Перем. затраты'!$P$47</definedName>
    <definedName name="ндс" localSheetId="6">'[58]Исх'!$C$7</definedName>
    <definedName name="НДС" localSheetId="8">'ФОТ'!#REF!</definedName>
    <definedName name="ндс">'Исх'!$C$19</definedName>
    <definedName name="НДС_2003" localSheetId="9">'[13]Перем. затраты'!$P$48</definedName>
    <definedName name="НДС_2003" localSheetId="12">'[13]Перем. затраты'!$P$48</definedName>
    <definedName name="НДС_2003">'[4]Перем. затраты'!$P$48</definedName>
    <definedName name="НДС1" localSheetId="2">'[51]Исх'!$C$7</definedName>
    <definedName name="НДС1" localSheetId="11">'[17]Исх'!$C$7</definedName>
    <definedName name="НДС1" localSheetId="9">'[35]Исх'!$C$7</definedName>
    <definedName name="НДС1" localSheetId="6">'[65]Исх'!$C$7</definedName>
    <definedName name="НДС1">'[15]Исх'!$C$7</definedName>
    <definedName name="НДС2">'[4]Перем. затраты'!$P$47</definedName>
    <definedName name="недвижКонсал" localSheetId="0">#REF!</definedName>
    <definedName name="недвижКонсал" localSheetId="2">#REF!</definedName>
    <definedName name="недвижКонсал">#REF!</definedName>
    <definedName name="недвижКонсал2" localSheetId="0">#REF!</definedName>
    <definedName name="недвижКонсал2" localSheetId="2">#REF!</definedName>
    <definedName name="недвижКонсал2">#REF!</definedName>
    <definedName name="недвижКонсал3" localSheetId="0">#REF!</definedName>
    <definedName name="недвижКонсал3" localSheetId="2">#REF!</definedName>
    <definedName name="недвижКонсал3">#REF!</definedName>
    <definedName name="НПр" localSheetId="2">#REF!</definedName>
    <definedName name="НПр">#REF!</definedName>
    <definedName name="НПр1" localSheetId="2">#REF!</definedName>
    <definedName name="НПр1">#REF!</definedName>
    <definedName name="_xlnm.Print_Area" localSheetId="0">'1-Ф3'!$A$1:$AJ$36</definedName>
    <definedName name="_xlnm.Print_Area" localSheetId="1">'2-ф2'!$A$1:$AJ$29</definedName>
    <definedName name="_xlnm.Print_Area" localSheetId="2">'3-Баланс'!$A$1:$AJ$26</definedName>
    <definedName name="_xlnm.Print_Area" localSheetId="4">'Дох'!$A$1:$F$14</definedName>
    <definedName name="_xlnm.Print_Area" localSheetId="10">'Инв'!$A$1:$AD$17</definedName>
    <definedName name="_xlnm.Print_Area" localSheetId="9">'кр'!$A$1:$DO$13</definedName>
    <definedName name="_xlnm.Print_Area" localSheetId="12">'Осн.парам.'!$A$1:$K$42</definedName>
    <definedName name="_xlnm.Print_Area" localSheetId="7">'Пост'!$A$1:$X$32</definedName>
    <definedName name="_xlnm.Print_Area" localSheetId="6">'Услуги'!$A$1:$AJ$10</definedName>
    <definedName name="_xlnm.Print_Area" localSheetId="8">'ФОТ'!$A$1:$M$29</definedName>
    <definedName name="обм" localSheetId="2">'3-Баланс'!#REF!</definedName>
    <definedName name="обм" localSheetId="11">'[16]ф2'!#REF!</definedName>
    <definedName name="обм" localSheetId="4">'2-ф2'!#REF!</definedName>
    <definedName name="обм" localSheetId="9">'[40]ф2'!#REF!</definedName>
    <definedName name="обм" localSheetId="7">'2-ф2'!#REF!</definedName>
    <definedName name="обм" localSheetId="5">'2-ф2'!#REF!</definedName>
    <definedName name="обм" localSheetId="6">'Услуги'!#REF!</definedName>
    <definedName name="обм" localSheetId="8">'2-ф2'!#REF!</definedName>
    <definedName name="обм">'2-ф2'!#REF!</definedName>
    <definedName name="оборудование_ЖД" localSheetId="2">#REF!</definedName>
    <definedName name="оборудование_ЖД" localSheetId="4">#REF!</definedName>
    <definedName name="оборудование_ЖД" localSheetId="7">#REF!</definedName>
    <definedName name="оборудование_ЖД" localSheetId="5">#REF!</definedName>
    <definedName name="оборудование_ЖД" localSheetId="6">#REF!</definedName>
    <definedName name="оборудование_ЖД" localSheetId="8">#REF!</definedName>
    <definedName name="оборудование_ЖД">#REF!</definedName>
    <definedName name="общ" localSheetId="2">#REF!</definedName>
    <definedName name="общ" localSheetId="9">#REF!</definedName>
    <definedName name="общ" localSheetId="6">#REF!</definedName>
    <definedName name="общ">#REF!</definedName>
    <definedName name="объем">'[12]Осн. пара'!$C$6</definedName>
    <definedName name="объемгод">'[12]Осн. пара'!$C$7</definedName>
    <definedName name="ОС" localSheetId="2">'[54]ОС'!$D$27</definedName>
    <definedName name="ОС" localSheetId="9">'[41]ОС'!$D$27</definedName>
    <definedName name="ОС" localSheetId="6">'[67]ОС'!$D$27</definedName>
    <definedName name="ОС">'[24]ОС'!$D$27</definedName>
    <definedName name="отрасль">'[11]Б1'!$B$6</definedName>
    <definedName name="пер" localSheetId="2">#REF!</definedName>
    <definedName name="пер">#REF!</definedName>
    <definedName name="ПерЗ1" localSheetId="2">#REF!</definedName>
    <definedName name="ПерЗ1">#REF!</definedName>
    <definedName name="План_производства" localSheetId="2">#REF!</definedName>
    <definedName name="План_производства">#REF!</definedName>
    <definedName name="ПМ">'[4]Перем. затраты'!$K$3</definedName>
    <definedName name="подстанция" localSheetId="2">#REF!</definedName>
    <definedName name="подстанция" localSheetId="4">#REF!</definedName>
    <definedName name="подстанция" localSheetId="7">#REF!</definedName>
    <definedName name="подстанция" localSheetId="5">#REF!</definedName>
    <definedName name="подстанция" localSheetId="6">#REF!</definedName>
    <definedName name="подстанция" localSheetId="8">#REF!</definedName>
    <definedName name="подстанция">#REF!</definedName>
    <definedName name="Показатели" localSheetId="2">'[46]Главн'!$C$2</definedName>
    <definedName name="Показатели" localSheetId="9">'[32]Главн'!$C$2</definedName>
    <definedName name="Показатели" localSheetId="6">'[59]Главн'!$C$2</definedName>
    <definedName name="Показатели">'[21]Главн'!$C$2</definedName>
    <definedName name="пос" localSheetId="2">#REF!</definedName>
    <definedName name="пос">#REF!</definedName>
    <definedName name="ПОсД1" localSheetId="2">#REF!</definedName>
    <definedName name="ПОсД1">#REF!</definedName>
    <definedName name="пост" localSheetId="2">#REF!</definedName>
    <definedName name="пост">#REF!</definedName>
    <definedName name="ПостЗ1" localSheetId="2">#REF!</definedName>
    <definedName name="ПостЗ1">#REF!</definedName>
    <definedName name="приозернвй" localSheetId="0">#REF!</definedName>
    <definedName name="приозернвй" localSheetId="2">#REF!</definedName>
    <definedName name="приозернвй">#REF!</definedName>
    <definedName name="приозерный2" localSheetId="0">#REF!</definedName>
    <definedName name="приозерный2" localSheetId="2">#REF!</definedName>
    <definedName name="приозерный2">#REF!</definedName>
    <definedName name="приозерный3" localSheetId="0">#REF!</definedName>
    <definedName name="приозерный3" localSheetId="2">#REF!</definedName>
    <definedName name="приозерный3">#REF!</definedName>
    <definedName name="Проч" localSheetId="2">#REF!</definedName>
    <definedName name="Проч">#REF!</definedName>
    <definedName name="Проч1" localSheetId="2">#REF!</definedName>
    <definedName name="Проч1">#REF!</definedName>
    <definedName name="раб" localSheetId="2">'[56]Осн. пара'!$C$9</definedName>
    <definedName name="раб" localSheetId="9">'[43]Осн. пара'!$C$9</definedName>
    <definedName name="раб" localSheetId="6">'[69]Осн. пара'!$C$9</definedName>
    <definedName name="раб">'[30]Осн. пара'!$C$9</definedName>
    <definedName name="рас" localSheetId="2">'[54]Осн.показ'!$C$12</definedName>
    <definedName name="рас" localSheetId="9">'[41]Осн.показ'!$C$12</definedName>
    <definedName name="рас" localSheetId="6">'[67]Осн.показ'!$C$12</definedName>
    <definedName name="рас">'[24]Осн.показ'!$C$12</definedName>
    <definedName name="рбу" localSheetId="2">#REF!</definedName>
    <definedName name="рбу" localSheetId="4">#REF!</definedName>
    <definedName name="рбу" localSheetId="7">#REF!</definedName>
    <definedName name="рбу" localSheetId="5">#REF!</definedName>
    <definedName name="рбу" localSheetId="6">#REF!</definedName>
    <definedName name="рбу" localSheetId="8">#REF!</definedName>
    <definedName name="рбу">#REF!</definedName>
    <definedName name="рос" localSheetId="2">'[50]пост. пар.'!$C$8</definedName>
    <definedName name="рос" localSheetId="9">'[37]пост. пар.'!$C$8</definedName>
    <definedName name="рос" localSheetId="6">'[63]пост. пар.'!$C$8</definedName>
    <definedName name="рос">'[26]пост. пар.'!$C$8</definedName>
    <definedName name="руб" localSheetId="2">#REF!</definedName>
    <definedName name="руб" localSheetId="4">#REF!</definedName>
    <definedName name="руб" localSheetId="7">#REF!</definedName>
    <definedName name="руб" localSheetId="5">#REF!</definedName>
    <definedName name="руб" localSheetId="6">#REF!</definedName>
    <definedName name="руб" localSheetId="8">'ФОТ'!#REF!</definedName>
    <definedName name="руб">#REF!</definedName>
    <definedName name="себ" localSheetId="2">'3-Баланс'!#REF!</definedName>
    <definedName name="себ" localSheetId="11">'[16]ф2'!#REF!</definedName>
    <definedName name="себ" localSheetId="4">'2-ф2'!#REF!</definedName>
    <definedName name="себ" localSheetId="9">'[40]ф2'!#REF!</definedName>
    <definedName name="себ" localSheetId="7">'2-ф2'!#REF!</definedName>
    <definedName name="себ" localSheetId="5">'2-ф2'!#REF!</definedName>
    <definedName name="себ" localSheetId="6">'Услуги'!#REF!</definedName>
    <definedName name="себ" localSheetId="8">'2-ф2'!#REF!</definedName>
    <definedName name="себ">'2-ф2'!#REF!</definedName>
    <definedName name="ситиПалас" localSheetId="0">#REF!</definedName>
    <definedName name="ситиПалас" localSheetId="2">#REF!</definedName>
    <definedName name="ситиПалас">#REF!</definedName>
    <definedName name="ситиПалас2" localSheetId="0">#REF!</definedName>
    <definedName name="ситиПалас2" localSheetId="2">#REF!</definedName>
    <definedName name="ситиПалас2">#REF!</definedName>
    <definedName name="ситиПалас3" localSheetId="0">#REF!</definedName>
    <definedName name="ситиПалас3" localSheetId="2">#REF!</definedName>
    <definedName name="ситиПалас3">#REF!</definedName>
    <definedName name="склад_продукции" localSheetId="2">#REF!</definedName>
    <definedName name="склад_продукции" localSheetId="4">#REF!</definedName>
    <definedName name="склад_продукции" localSheetId="7">#REF!</definedName>
    <definedName name="склад_продукции" localSheetId="5">#REF!</definedName>
    <definedName name="склад_продукции" localSheetId="6">#REF!</definedName>
    <definedName name="склад_продукции" localSheetId="8">#REF!</definedName>
    <definedName name="склад_продукции">#REF!</definedName>
    <definedName name="склад_цем" localSheetId="2">#REF!</definedName>
    <definedName name="склад_цем" localSheetId="4">#REF!</definedName>
    <definedName name="склад_цем" localSheetId="7">#REF!</definedName>
    <definedName name="склад_цем" localSheetId="5">#REF!</definedName>
    <definedName name="склад_цем" localSheetId="6">#REF!</definedName>
    <definedName name="склад_цем" localSheetId="8">#REF!</definedName>
    <definedName name="склад_цем">#REF!</definedName>
    <definedName name="соц1" localSheetId="2">'[46]Главн'!$D$48</definedName>
    <definedName name="соц1" localSheetId="9">'[32]Главн'!$D$48</definedName>
    <definedName name="соц1" localSheetId="6">'[59]Главн'!$D$48</definedName>
    <definedName name="соц1">'[21]Главн'!$D$48</definedName>
    <definedName name="соц2" localSheetId="2">'[46]Главн'!$E$48</definedName>
    <definedName name="соц2" localSheetId="9">'[32]Главн'!$E$48</definedName>
    <definedName name="соц2" localSheetId="6">'[59]Главн'!$E$48</definedName>
    <definedName name="соц2">'[21]Главн'!$E$48</definedName>
    <definedName name="соц3" localSheetId="2">'[46]Главн'!$F$48</definedName>
    <definedName name="соц3" localSheetId="9">'[32]Главн'!$F$48</definedName>
    <definedName name="соц3" localSheetId="6">'[59]Главн'!$F$48</definedName>
    <definedName name="соц3">'[21]Главн'!$F$48</definedName>
    <definedName name="соц4" localSheetId="2">'[46]Главн'!$G$48</definedName>
    <definedName name="соц4" localSheetId="9">'[32]Главн'!$G$48</definedName>
    <definedName name="соц4" localSheetId="6">'[59]Главн'!$G$48</definedName>
    <definedName name="соц4">'[21]Главн'!$G$48</definedName>
    <definedName name="соц5" localSheetId="2">'[46]Главн'!$H$48</definedName>
    <definedName name="соц5" localSheetId="9">'[32]Главн'!$H$48</definedName>
    <definedName name="соц5" localSheetId="6">'[59]Главн'!$H$48</definedName>
    <definedName name="соц5">'[21]Главн'!$H$48</definedName>
    <definedName name="спецодежда" localSheetId="2">#REF!</definedName>
    <definedName name="спецодежда" localSheetId="4">#REF!</definedName>
    <definedName name="спецодежда" localSheetId="7">#REF!</definedName>
    <definedName name="спецодежда" localSheetId="5">#REF!</definedName>
    <definedName name="спецодежда" localSheetId="6">#REF!</definedName>
    <definedName name="спецодежда" localSheetId="8">#REF!</definedName>
    <definedName name="спецодежда">#REF!</definedName>
    <definedName name="Срок_инвестиций1" localSheetId="2">'[46]Invest'!$I$7:$I$240</definedName>
    <definedName name="Срок_инвестиций1" localSheetId="9">'[32]Invest'!$I$7:$I$240</definedName>
    <definedName name="Срок_инвестиций1" localSheetId="6">'[59]Invest'!$I$7:$I$240</definedName>
    <definedName name="Срок_инвестиций1">'[21]Invest'!$I$7:$I$240</definedName>
    <definedName name="Срок_инвестиций2" localSheetId="2">'[46]Invest'!$M$7:$M$240</definedName>
    <definedName name="Срок_инвестиций2" localSheetId="9">'[32]Invest'!$M$7:$M$240</definedName>
    <definedName name="Срок_инвестиций2" localSheetId="6">'[59]Invest'!$M$7:$M$240</definedName>
    <definedName name="Срок_инвестиций2">'[21]Invest'!$M$7:$M$240</definedName>
    <definedName name="Срок_инвестиций3" localSheetId="2">'[46]Invest'!$Q$7:$Q$240</definedName>
    <definedName name="Срок_инвестиций3" localSheetId="9">'[32]Invest'!$Q$7:$Q$240</definedName>
    <definedName name="Срок_инвестиций3" localSheetId="6">'[59]Invest'!$Q$7:$Q$240</definedName>
    <definedName name="Срок_инвестиций3">'[21]Invest'!$Q$7:$Q$240</definedName>
    <definedName name="Срок_инвестиций4" localSheetId="2">'[46]Invest'!$U$7:$U$240</definedName>
    <definedName name="Срок_инвестиций4" localSheetId="9">'[32]Invest'!$U$7:$U$240</definedName>
    <definedName name="Срок_инвестиций4" localSheetId="6">'[59]Invest'!$U$7:$U$240</definedName>
    <definedName name="Срок_инвестиций4">'[21]Invest'!$U$7:$U$240</definedName>
    <definedName name="СрокПроекта" localSheetId="2">#REF!</definedName>
    <definedName name="СрокПроекта">#REF!</definedName>
    <definedName name="ст" localSheetId="2">'[57]Норм'!$F$9</definedName>
    <definedName name="ст" localSheetId="9">'[44]Норм'!$F$9</definedName>
    <definedName name="ст" localSheetId="6">'[70]Норм'!$F$9</definedName>
    <definedName name="ст">'[31]Норм'!$F$9</definedName>
    <definedName name="СтавкаПроцента1">'[8]L-1'!$B$6</definedName>
    <definedName name="стоимость_в_долларах" localSheetId="2">'[48]объекты обществаКокшетау'!#REF!</definedName>
    <definedName name="стоимость_в_долларах" localSheetId="4">'[23]объекты обществаКокшетау'!#REF!</definedName>
    <definedName name="стоимость_в_долларах" localSheetId="9">'[34]объекты обществаКокшетау'!#REF!</definedName>
    <definedName name="стоимость_в_долларах" localSheetId="7">'[23]объекты обществаКокшетау'!#REF!</definedName>
    <definedName name="стоимость_в_долларах" localSheetId="5">'[23]объекты обществаКокшетау'!#REF!</definedName>
    <definedName name="стоимость_в_долларах" localSheetId="6">'[61]объекты обществаКокшетау'!#REF!</definedName>
    <definedName name="стоимость_в_долларах" localSheetId="8">'[23]объекты обществаКокшетау'!#REF!</definedName>
    <definedName name="стоимость_в_долларах">'[23]объекты обществаКокшетау'!#REF!</definedName>
    <definedName name="Сумма_инвест1" localSheetId="2">'[46]Invest'!$H$7:$H$240</definedName>
    <definedName name="Сумма_инвест1" localSheetId="9">'[32]Invest'!$H$7:$H$240</definedName>
    <definedName name="Сумма_инвест1" localSheetId="6">'[59]Invest'!$H$7:$H$240</definedName>
    <definedName name="Сумма_инвест1">'[21]Invest'!$H$7:$H$240</definedName>
    <definedName name="Сумма_инвест2" localSheetId="2">'[46]Invest'!$L$7:$L$240</definedName>
    <definedName name="Сумма_инвест2" localSheetId="9">'[32]Invest'!$L$7:$L$240</definedName>
    <definedName name="Сумма_инвест2" localSheetId="6">'[59]Invest'!$L$7:$L$240</definedName>
    <definedName name="Сумма_инвест2">'[21]Invest'!$L$7:$L$240</definedName>
    <definedName name="Сумма_инвест3" localSheetId="2">'[46]Invest'!$P$7:$P$240</definedName>
    <definedName name="Сумма_инвест3" localSheetId="9">'[32]Invest'!$P$7:$P$240</definedName>
    <definedName name="Сумма_инвест3" localSheetId="6">'[59]Invest'!$P$7:$P$240</definedName>
    <definedName name="Сумма_инвест3">'[21]Invest'!$P$7:$P$240</definedName>
    <definedName name="Сумма_инвест4" localSheetId="2">'[46]Invest'!$T$7:$T$240</definedName>
    <definedName name="Сумма_инвест4" localSheetId="9">'[32]Invest'!$T$7:$T$240</definedName>
    <definedName name="Сумма_инвест4" localSheetId="6">'[59]Invest'!$T$7:$T$240</definedName>
    <definedName name="Сумма_инвест4">'[21]Invest'!$T$7:$T$240</definedName>
    <definedName name="СуммаКредита1">'[8]L-1'!$B$5</definedName>
    <definedName name="СчОпл" localSheetId="2">#REF!</definedName>
    <definedName name="СчОпл">#REF!</definedName>
    <definedName name="СчОпл1" localSheetId="2">#REF!</definedName>
    <definedName name="СчОпл1">#REF!</definedName>
    <definedName name="Сырье" localSheetId="2">#REF!</definedName>
    <definedName name="Сырье">#REF!</definedName>
    <definedName name="ТА1" localSheetId="2">#REF!</definedName>
    <definedName name="ТА1">#REF!</definedName>
    <definedName name="таблица_цен" localSheetId="2">'[53]константы'!$F$2:$G$30</definedName>
    <definedName name="таблица_цен" localSheetId="9">'[39]константы'!$F$2:$G$30</definedName>
    <definedName name="таблица_цен" localSheetId="6">'[66]константы'!$F$2:$G$30</definedName>
    <definedName name="таблица_цен">'[28]константы'!$F$2:$G$30</definedName>
    <definedName name="тг" localSheetId="2">#REF!</definedName>
    <definedName name="тг" localSheetId="4">#REF!</definedName>
    <definedName name="тг" localSheetId="7">#REF!</definedName>
    <definedName name="тг" localSheetId="5">#REF!</definedName>
    <definedName name="тг" localSheetId="6">#REF!</definedName>
    <definedName name="тг" localSheetId="8">'ФОТ'!#REF!</definedName>
    <definedName name="тг">#REF!</definedName>
    <definedName name="Тов" localSheetId="2">#REF!</definedName>
    <definedName name="Тов">#REF!</definedName>
    <definedName name="Тов1" localSheetId="2">#REF!</definedName>
    <definedName name="Тов1">#REF!</definedName>
    <definedName name="ТовРеал1" localSheetId="2">#REF!</definedName>
    <definedName name="ТовРеал1" localSheetId="4">#REF!</definedName>
    <definedName name="ТовРеал1" localSheetId="7">#REF!</definedName>
    <definedName name="ТовРеал1" localSheetId="5">#REF!</definedName>
    <definedName name="ТовРеал1" localSheetId="6">#REF!</definedName>
    <definedName name="ТовРеал1" localSheetId="8">#REF!</definedName>
    <definedName name="ТовРеал1">#REF!</definedName>
    <definedName name="убн96">'[10]Нетто3!!!'!$A$2</definedName>
    <definedName name="УК1" localSheetId="2">#REF!</definedName>
    <definedName name="УК1">#REF!</definedName>
    <definedName name="цен">'[5]Осн.показ'!$D$5</definedName>
    <definedName name="цен1" localSheetId="2">'[54]Осн.показ'!$C$6</definedName>
    <definedName name="цен1" localSheetId="9">'[41]Осн.показ'!$C$6</definedName>
    <definedName name="цен1" localSheetId="6">'[67]Осн.показ'!$C$6</definedName>
    <definedName name="цен1">'[24]Осн.показ'!$C$6</definedName>
    <definedName name="цена">'[12]Осн. пара'!$C$2</definedName>
    <definedName name="Цена_бобов" localSheetId="2">'[9]Дох'!#REF!</definedName>
    <definedName name="Цена_бобов" localSheetId="4">'[9]Дох'!#REF!</definedName>
    <definedName name="Цена_бобов" localSheetId="7">'[9]Дох'!#REF!</definedName>
    <definedName name="Цена_бобов" localSheetId="5">'[9]Дох'!#REF!</definedName>
    <definedName name="Цена_бобов" localSheetId="6">'[9]Дох'!#REF!</definedName>
    <definedName name="Цена_бобов" localSheetId="8">'[9]Дох'!#REF!</definedName>
    <definedName name="Цена_бобов">'[9]Дох'!#REF!</definedName>
    <definedName name="Цена_реал" localSheetId="2">#REF!</definedName>
    <definedName name="Цена_реал">#REF!</definedName>
    <definedName name="цена1">'[12]Осн. пара'!$C$13</definedName>
    <definedName name="цех_пби" localSheetId="2">#REF!</definedName>
    <definedName name="цех_пби" localSheetId="4">#REF!</definedName>
    <definedName name="цех_пби" localSheetId="7">#REF!</definedName>
    <definedName name="цех_пби" localSheetId="5">#REF!</definedName>
    <definedName name="цех_пби" localSheetId="6">#REF!</definedName>
    <definedName name="цех_пби" localSheetId="8">#REF!</definedName>
    <definedName name="цех_пби">#REF!</definedName>
    <definedName name="цр" localSheetId="2">#REF!</definedName>
    <definedName name="цр">#REF!</definedName>
  </definedNames>
  <calcPr fullCalcOnLoad="1"/>
</workbook>
</file>

<file path=xl/comments6.xml><?xml version="1.0" encoding="utf-8"?>
<comments xmlns="http://schemas.openxmlformats.org/spreadsheetml/2006/main">
  <authors>
    <author>МСБ консалтинг</author>
  </authors>
  <commentList>
    <comment ref="D6" authorId="0">
      <text>
        <r>
          <rPr>
            <b/>
            <sz val="9"/>
            <rFont val="Tahoma"/>
            <family val="2"/>
          </rPr>
          <t>МСБ консалтинг:</t>
        </r>
        <r>
          <rPr>
            <sz val="9"/>
            <rFont val="Tahoma"/>
            <family val="2"/>
          </rPr>
          <t xml:space="preserve">
от выручки</t>
        </r>
      </text>
    </comment>
  </commentList>
</comments>
</file>

<file path=xl/sharedStrings.xml><?xml version="1.0" encoding="utf-8"?>
<sst xmlns="http://schemas.openxmlformats.org/spreadsheetml/2006/main" count="496" uniqueCount="322">
  <si>
    <t>Итого</t>
  </si>
  <si>
    <t>Налог на имущество</t>
  </si>
  <si>
    <t xml:space="preserve">Наименование          </t>
  </si>
  <si>
    <t>Выбытие</t>
  </si>
  <si>
    <t xml:space="preserve">Поступление </t>
  </si>
  <si>
    <t xml:space="preserve">Выбытие </t>
  </si>
  <si>
    <t>Значение</t>
  </si>
  <si>
    <t>Период</t>
  </si>
  <si>
    <t>Операционная деятельность</t>
  </si>
  <si>
    <t>Вознаграждение</t>
  </si>
  <si>
    <t>начисление %</t>
  </si>
  <si>
    <t>Погашено ОД</t>
  </si>
  <si>
    <t>Погашено %</t>
  </si>
  <si>
    <t>Остаток ОД</t>
  </si>
  <si>
    <t>Валовая прибыль</t>
  </si>
  <si>
    <t xml:space="preserve">    Поступление</t>
  </si>
  <si>
    <t>Результат операционной деятельности</t>
  </si>
  <si>
    <t>Инвестиционная деятельность</t>
  </si>
  <si>
    <t>Результат инвестиционной деятельности</t>
  </si>
  <si>
    <t>недостача избыток ден средств</t>
  </si>
  <si>
    <t>Финансовая деятельность</t>
  </si>
  <si>
    <t>Результат финансовой деятельности</t>
  </si>
  <si>
    <t>Чистые потоки денежных средств</t>
  </si>
  <si>
    <t>Расходы по процентам за кредиты</t>
  </si>
  <si>
    <t>Показатель</t>
  </si>
  <si>
    <t>Период окупаемости (дисконтированный)</t>
  </si>
  <si>
    <t>Сальдо по НДС</t>
  </si>
  <si>
    <t>Капитализ-я %</t>
  </si>
  <si>
    <t>Выплаты по дивидендам учредителям</t>
  </si>
  <si>
    <t>Выплата НДС</t>
  </si>
  <si>
    <t xml:space="preserve">Период окупаемости   </t>
  </si>
  <si>
    <t>№</t>
  </si>
  <si>
    <t>Должность</t>
  </si>
  <si>
    <t>Количество</t>
  </si>
  <si>
    <t>Исходные данные по проекту</t>
  </si>
  <si>
    <t>Ед. изм.</t>
  </si>
  <si>
    <t>НДС</t>
  </si>
  <si>
    <t>%</t>
  </si>
  <si>
    <t>без НДС</t>
  </si>
  <si>
    <t>Затраты</t>
  </si>
  <si>
    <t>ФОТ</t>
  </si>
  <si>
    <t>Пенсионные отчисления</t>
  </si>
  <si>
    <t>Подоходный налог</t>
  </si>
  <si>
    <t>Социальные отчисления</t>
  </si>
  <si>
    <t>Социальный налог</t>
  </si>
  <si>
    <t>К выдаче</t>
  </si>
  <si>
    <t>Соц.отчисления</t>
  </si>
  <si>
    <t>Расчет НДС</t>
  </si>
  <si>
    <t>Остаток на конец отчетного периода</t>
  </si>
  <si>
    <t>Ставка по кредиту</t>
  </si>
  <si>
    <t>max</t>
  </si>
  <si>
    <t>тыс.тг.</t>
  </si>
  <si>
    <t>Коэффициент НДС</t>
  </si>
  <si>
    <t>Net CF (all)</t>
  </si>
  <si>
    <t>CF before int. and loans</t>
  </si>
  <si>
    <t>CF inv</t>
  </si>
  <si>
    <t>NCF (Чистые денежные потоки)</t>
  </si>
  <si>
    <t>d NCF</t>
  </si>
  <si>
    <t>CCF</t>
  </si>
  <si>
    <t>dCCF</t>
  </si>
  <si>
    <t>PV (CCF)</t>
  </si>
  <si>
    <t>PV (CCF inv)</t>
  </si>
  <si>
    <t>NPV</t>
  </si>
  <si>
    <t>PI</t>
  </si>
  <si>
    <t>IRR</t>
  </si>
  <si>
    <t>Ставка дисконтирования</t>
  </si>
  <si>
    <t>Анализ безубыточности проекта</t>
  </si>
  <si>
    <t>Доля предельного дохода в выручке</t>
  </si>
  <si>
    <t>Запас финансовой устойчивости предприятия (%)</t>
  </si>
  <si>
    <t>Амортизация</t>
  </si>
  <si>
    <t>Кол-во периодов</t>
  </si>
  <si>
    <t>Страхование</t>
  </si>
  <si>
    <t>Стр-е гражданско-правовой ответ-ти работодателя</t>
  </si>
  <si>
    <t>Налоги (кроме налогов на ФЗП)</t>
  </si>
  <si>
    <t>Расчет амортизационных отчислений</t>
  </si>
  <si>
    <t>Норма амортизации</t>
  </si>
  <si>
    <t>Основные средства на начало</t>
  </si>
  <si>
    <t>Приход ОС</t>
  </si>
  <si>
    <t>Амортизационные отчисления, год</t>
  </si>
  <si>
    <t>Остаточная стоимость ОС</t>
  </si>
  <si>
    <t>Всего</t>
  </si>
  <si>
    <t>Балансовая прибыль</t>
  </si>
  <si>
    <t>Постоянные издержки</t>
  </si>
  <si>
    <t>Переменные издержки</t>
  </si>
  <si>
    <t>Сумма предельного дохода</t>
  </si>
  <si>
    <t>Предел безубыточности</t>
  </si>
  <si>
    <t>Адм.-управленческий персонал</t>
  </si>
  <si>
    <t>оклад</t>
  </si>
  <si>
    <t>Итого ЗП к начислению</t>
  </si>
  <si>
    <t>$ тыс.</t>
  </si>
  <si>
    <t>Освоение и погашение кредитных ресурсов, тыс.тг.</t>
  </si>
  <si>
    <t>Производственный персонал</t>
  </si>
  <si>
    <t>Обслуживающий персонал</t>
  </si>
  <si>
    <t>Услуги банка</t>
  </si>
  <si>
    <t>Курс доллар/тенге</t>
  </si>
  <si>
    <t>Безубыточность</t>
  </si>
  <si>
    <t>Заемные средства</t>
  </si>
  <si>
    <t>Оборудование</t>
  </si>
  <si>
    <t>Освоение</t>
  </si>
  <si>
    <t>Вспомогательный персонал</t>
  </si>
  <si>
    <t>Всего по персоналу</t>
  </si>
  <si>
    <t>Здание</t>
  </si>
  <si>
    <t>Отчет о доходах и расходах</t>
  </si>
  <si>
    <t>Доход от реализации услуг</t>
  </si>
  <si>
    <t>МЗП</t>
  </si>
  <si>
    <t>Баланс</t>
  </si>
  <si>
    <t>Активы</t>
  </si>
  <si>
    <t>Текущие активы</t>
  </si>
  <si>
    <t>Денежные средства</t>
  </si>
  <si>
    <t>Дебиторская задолженность</t>
  </si>
  <si>
    <t>Запасы</t>
  </si>
  <si>
    <t>Прочие краткосрочные активы</t>
  </si>
  <si>
    <t>Долгосрочные активы</t>
  </si>
  <si>
    <t>Основные средства</t>
  </si>
  <si>
    <t>Прочие долгосрочные активы</t>
  </si>
  <si>
    <t>Пассивы</t>
  </si>
  <si>
    <t>Краткосрочные обязательства</t>
  </si>
  <si>
    <t>Обязательства по кредитам</t>
  </si>
  <si>
    <t>Долгосрочные обязательства</t>
  </si>
  <si>
    <t>Прочие долгосрочные обязательства</t>
  </si>
  <si>
    <t>Капитал</t>
  </si>
  <si>
    <t>Уставный капитал</t>
  </si>
  <si>
    <t>Прибыль</t>
  </si>
  <si>
    <t>проверочная строка</t>
  </si>
  <si>
    <t>Изменение ДТ</t>
  </si>
  <si>
    <t>Изменение запасов</t>
  </si>
  <si>
    <t>Изменение КТ</t>
  </si>
  <si>
    <t>Итого изменение оборотного капитала</t>
  </si>
  <si>
    <t>Кап.затраты</t>
  </si>
  <si>
    <t>Чистый денежный поток</t>
  </si>
  <si>
    <t>Единица расчетов</t>
  </si>
  <si>
    <t>Налоговые ставки</t>
  </si>
  <si>
    <t>Расчет заработной платы</t>
  </si>
  <si>
    <t>Расходы периода</t>
  </si>
  <si>
    <t>Административные расходы</t>
  </si>
  <si>
    <t>ЧДП по Ф3</t>
  </si>
  <si>
    <t>Постоянные расходы в месяц</t>
  </si>
  <si>
    <t>Общие</t>
  </si>
  <si>
    <t>Параметры кредита</t>
  </si>
  <si>
    <t>Срок кредита</t>
  </si>
  <si>
    <t>лет</t>
  </si>
  <si>
    <t>Льготный период по выплате ОД</t>
  </si>
  <si>
    <t>Льготный период по выплате %</t>
  </si>
  <si>
    <t>мес</t>
  </si>
  <si>
    <t>Сумма</t>
  </si>
  <si>
    <t>Кол-во</t>
  </si>
  <si>
    <t>Цена</t>
  </si>
  <si>
    <t>Курс рос.рубль/тенге</t>
  </si>
  <si>
    <t>Прогноз движения денежных средств (Cash Flow)</t>
  </si>
  <si>
    <t>НДС к начислению</t>
  </si>
  <si>
    <t>НДС к зачету</t>
  </si>
  <si>
    <t>НДС к зачету по инвестициям</t>
  </si>
  <si>
    <t>Сальдо нарастающим итогом</t>
  </si>
  <si>
    <t>НДС к выплате</t>
  </si>
  <si>
    <t>Оборотный капитал</t>
  </si>
  <si>
    <t>Инвестиции в основной капитал</t>
  </si>
  <si>
    <t>Доля</t>
  </si>
  <si>
    <t>Валюта кредита</t>
  </si>
  <si>
    <t>тенге</t>
  </si>
  <si>
    <t>Процентная ставка, годовых</t>
  </si>
  <si>
    <t>Выплата процентов и основного долга</t>
  </si>
  <si>
    <t>ежемесячно</t>
  </si>
  <si>
    <t>Льготный период погашения процентов, мес.</t>
  </si>
  <si>
    <t>Внутренняя норма доходности (IRR)</t>
  </si>
  <si>
    <t>Чистая текущая стоимость (NPV), тыс.тг.</t>
  </si>
  <si>
    <t>Окупаемость проекта (простая), лет</t>
  </si>
  <si>
    <t>Окупаемость проекта (дисконтированная), лет</t>
  </si>
  <si>
    <t>Календарный план реализации проекта</t>
  </si>
  <si>
    <t>Здания и сооружения</t>
  </si>
  <si>
    <t>Наименование</t>
  </si>
  <si>
    <t>Вид налога</t>
  </si>
  <si>
    <t>Сумма, тыс.тг.</t>
  </si>
  <si>
    <t>Техника</t>
  </si>
  <si>
    <t>Срок погашения, лет</t>
  </si>
  <si>
    <t>Остаток денежных средств на начало периода</t>
  </si>
  <si>
    <t>Источник финансирования, тыс.тг.</t>
  </si>
  <si>
    <t>Ед.изм.</t>
  </si>
  <si>
    <t>Управляющий</t>
  </si>
  <si>
    <t>Доход до налогообложения</t>
  </si>
  <si>
    <t>Тип погашения основного долга</t>
  </si>
  <si>
    <t>Основные параметры проекта</t>
  </si>
  <si>
    <t>Необходимые средства</t>
  </si>
  <si>
    <t>Финансовые показатели</t>
  </si>
  <si>
    <t>Выплаты по кредитам долгосрочным</t>
  </si>
  <si>
    <t>Кредиторская задолженность</t>
  </si>
  <si>
    <t>Прочие обязательства</t>
  </si>
  <si>
    <t>Структура финансирования</t>
  </si>
  <si>
    <t>Проценты за кредит</t>
  </si>
  <si>
    <t>Поступления по кредитам</t>
  </si>
  <si>
    <t>Поступления по вкладам</t>
  </si>
  <si>
    <t>Разработка бизнес-плана</t>
  </si>
  <si>
    <t>Прочие ОС</t>
  </si>
  <si>
    <t>Приобретение ОС</t>
  </si>
  <si>
    <t>Расчет доходов</t>
  </si>
  <si>
    <t>Примечание</t>
  </si>
  <si>
    <t>Хоз.нужды</t>
  </si>
  <si>
    <t>Прочие</t>
  </si>
  <si>
    <t>Собственные средства</t>
  </si>
  <si>
    <t>Заработная плата</t>
  </si>
  <si>
    <t>Льготный период погашения осн. долга, мес.</t>
  </si>
  <si>
    <t>Налог на прибыль</t>
  </si>
  <si>
    <t>% повышения</t>
  </si>
  <si>
    <t>Налоги и обязательные платежи от ФОТ</t>
  </si>
  <si>
    <t>Первоначальные инвестиции</t>
  </si>
  <si>
    <t>Реклама</t>
  </si>
  <si>
    <t>Налог на наружную рекламу</t>
  </si>
  <si>
    <t>Постоянные расходы в год</t>
  </si>
  <si>
    <t>Транш 1</t>
  </si>
  <si>
    <t>Аннуитет</t>
  </si>
  <si>
    <t>Транш 2</t>
  </si>
  <si>
    <t>Транш 3</t>
  </si>
  <si>
    <t>НК РК</t>
  </si>
  <si>
    <t>Незавершенное строительство</t>
  </si>
  <si>
    <t>аннуитет</t>
  </si>
  <si>
    <t>Чистая прибыль</t>
  </si>
  <si>
    <t>Кумулятивная чистая прибыль</t>
  </si>
  <si>
    <t>Мероприятие</t>
  </si>
  <si>
    <t>Доходы</t>
  </si>
  <si>
    <t>Расходы</t>
  </si>
  <si>
    <t>Аренда помещения</t>
  </si>
  <si>
    <t>тыс.тг./мес.</t>
  </si>
  <si>
    <t>снятие наличных, переводы</t>
  </si>
  <si>
    <t>Статья доходов</t>
  </si>
  <si>
    <t>Цена, тг.</t>
  </si>
  <si>
    <t>в месяц</t>
  </si>
  <si>
    <t>Статья расходов</t>
  </si>
  <si>
    <t>Расчет переменных расходов</t>
  </si>
  <si>
    <t>Выполнение плана (от сред.), %</t>
  </si>
  <si>
    <t>Величина налоговых поступлений за 8 лет, тыс.тг.</t>
  </si>
  <si>
    <t>Прочие налоги и сборы</t>
  </si>
  <si>
    <t>Выручка от реализации</t>
  </si>
  <si>
    <t>Рентабельность продаж</t>
  </si>
  <si>
    <t>Чистая рентабельность</t>
  </si>
  <si>
    <t>Чистый денежный поток к распределению</t>
  </si>
  <si>
    <t>Размещение рекламы</t>
  </si>
  <si>
    <t>Набор персонала</t>
  </si>
  <si>
    <t>нет необходимости вставать на учет по НДС (обороты не превышают 30 000 * 1 731 (МРП) = 51 930 тыс.тг. / 12 мес. = 4 327,5 тыс.тг. в месяц)</t>
  </si>
  <si>
    <t>Кассовый аппарат</t>
  </si>
  <si>
    <t xml:space="preserve"> </t>
  </si>
  <si>
    <t>год</t>
  </si>
  <si>
    <t>метод WACC</t>
  </si>
  <si>
    <t>от оборота, упрощенный режим для ИП</t>
  </si>
  <si>
    <t>Подоходный налог, соц.налог ИП</t>
  </si>
  <si>
    <t>Объем оказываемых услуг</t>
  </si>
  <si>
    <t>Услуга</t>
  </si>
  <si>
    <t>Подоходный налог, соц.налог</t>
  </si>
  <si>
    <t>зарплата индивид.предпр-ля</t>
  </si>
  <si>
    <t>2013 год</t>
  </si>
  <si>
    <t>сен</t>
  </si>
  <si>
    <t>окт</t>
  </si>
  <si>
    <t>ноя</t>
  </si>
  <si>
    <t>дек</t>
  </si>
  <si>
    <t>Спецодежда</t>
  </si>
  <si>
    <t>Объемы</t>
  </si>
  <si>
    <t>дней</t>
  </si>
  <si>
    <t>Кол-во рабочих дней/мес</t>
  </si>
  <si>
    <t>тг/м2</t>
  </si>
  <si>
    <t>7% субсидируется АО "ФРП "Даму"</t>
  </si>
  <si>
    <t>м2</t>
  </si>
  <si>
    <t>Чистящие средства</t>
  </si>
  <si>
    <t>Норма расхода на м2</t>
  </si>
  <si>
    <t>Сумма, тг. на 1м2</t>
  </si>
  <si>
    <t>Переменные расходы в месяц, тыс.тг.</t>
  </si>
  <si>
    <t>Объем в месяц, м2</t>
  </si>
  <si>
    <t>Прибыль, тыс.тг.</t>
  </si>
  <si>
    <t>Рентабельность, %</t>
  </si>
  <si>
    <t>Выручка, тыс.тг.</t>
  </si>
  <si>
    <t>Сайт</t>
  </si>
  <si>
    <t>Пополнение инвентаря, инструментов</t>
  </si>
  <si>
    <t>Аренда офиса</t>
  </si>
  <si>
    <t>Услуги связи + интернет</t>
  </si>
  <si>
    <t>4G (4 500 тг) + абон.плата</t>
  </si>
  <si>
    <t>вкл. сопровождение сайта</t>
  </si>
  <si>
    <t>сдельно</t>
  </si>
  <si>
    <t>Прочие ОС, автотранспорт</t>
  </si>
  <si>
    <t>ГАЗель</t>
  </si>
  <si>
    <t>http://www.avtosystem.su/catalog/gaz/</t>
  </si>
  <si>
    <t>ГСМ</t>
  </si>
  <si>
    <t>10 л.*15 дней*110 тг/л</t>
  </si>
  <si>
    <t>Индекс окупаемости инвестиций (PI)</t>
  </si>
  <si>
    <t>Производственная программа</t>
  </si>
  <si>
    <t>Мощность (загрузка)</t>
  </si>
  <si>
    <t>Поиск оборудования, проведение переговоров</t>
  </si>
  <si>
    <t>Приобретение оборудования</t>
  </si>
  <si>
    <t>Начало деятельности</t>
  </si>
  <si>
    <t>Обучение, повышение квалификации</t>
  </si>
  <si>
    <t>янв</t>
  </si>
  <si>
    <t>2014 год</t>
  </si>
  <si>
    <t>Чистка промышленного оборудования</t>
  </si>
  <si>
    <t>м2/час</t>
  </si>
  <si>
    <t>http://www.blasting-s.ru/images/pdf/sbs%20hv.pdf</t>
  </si>
  <si>
    <t>Кол-во рабочих часов</t>
  </si>
  <si>
    <t>час/день</t>
  </si>
  <si>
    <t>Кол-во аппаратов</t>
  </si>
  <si>
    <t>ед</t>
  </si>
  <si>
    <t>Цена чистки пром.оборудования</t>
  </si>
  <si>
    <t>http://volins.ru/usl/ochistka-promyshlennogo-oborudovaniya/</t>
  </si>
  <si>
    <t>http://www.box-clean.ru/index.php?%20option=com_content&amp;view=article&amp;id=84&amp;Itemid=87</t>
  </si>
  <si>
    <t>мини-офис 17,5 м2 * 2 000 тг/м2</t>
  </si>
  <si>
    <t>Реагент для мягкого бластинга UHDO-130,70</t>
  </si>
  <si>
    <t>тг/кг</t>
  </si>
  <si>
    <t>http://ist-vrn.ru/products/158/</t>
  </si>
  <si>
    <t>Расход реагента</t>
  </si>
  <si>
    <t>кг/м2</t>
  </si>
  <si>
    <t>1 аппарат</t>
  </si>
  <si>
    <t>все аппараты</t>
  </si>
  <si>
    <t>Реагент</t>
  </si>
  <si>
    <t>кг</t>
  </si>
  <si>
    <t>17,5 м2 * 2 000 тг/м2</t>
  </si>
  <si>
    <t>Клинеры</t>
  </si>
  <si>
    <t>Аппарат для мягкого бластинга</t>
  </si>
  <si>
    <t>http://www.soda.ru/indexpro.php?razd=prod/nonliquids&amp;pg=showtorgs.php&amp;news=2012-09-27_002.txt</t>
  </si>
  <si>
    <t>http://www.blasting-s.ru/service/equipment</t>
  </si>
  <si>
    <t>Комплекс средств индивидуальной защиты</t>
  </si>
  <si>
    <t>Вспомогательное оборудование</t>
  </si>
  <si>
    <t>Чистка промышленного механического оборудования</t>
  </si>
  <si>
    <t>2017 год</t>
  </si>
  <si>
    <t>Показатели эффективности проекта (4 год)</t>
  </si>
  <si>
    <t>Разработка концепции и фирменного стиля</t>
  </si>
  <si>
    <t>Себестоимость реализ. услуг</t>
  </si>
  <si>
    <t>Доход от реализации</t>
  </si>
  <si>
    <t>Полная себестоимость</t>
  </si>
</sst>
</file>

<file path=xl/styles.xml><?xml version="1.0" encoding="utf-8"?>
<styleSheet xmlns="http://schemas.openxmlformats.org/spreadsheetml/2006/main">
  <numFmts count="6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%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"/>
    <numFmt numFmtId="177" formatCode="#,##0.0"/>
    <numFmt numFmtId="178" formatCode="#,##0.0_ ;[Red]\-#,##0.0\ "/>
    <numFmt numFmtId="179" formatCode="&quot;\&quot;#,##0;[Red]&quot;\&quot;\-#,##0"/>
    <numFmt numFmtId="180" formatCode="&quot;\&quot;#,##0.00;[Red]&quot;\&quot;\-#,##0.00"/>
    <numFmt numFmtId="181" formatCode="&quot;See Note &quot;\ #"/>
    <numFmt numFmtId="182" formatCode="\$\ #,##0"/>
    <numFmt numFmtId="183" formatCode="_-* #,##0.00[$€]_-;\-* #,##0.00[$€]_-;_-* &quot;-&quot;??[$€]_-;_-@_-"/>
    <numFmt numFmtId="184" formatCode="#,##0.000_ ;[Red]\-#,##0.000\ "/>
    <numFmt numFmtId="185" formatCode="#,##0.000"/>
    <numFmt numFmtId="186" formatCode="0.0000"/>
    <numFmt numFmtId="187" formatCode="0.000"/>
    <numFmt numFmtId="188" formatCode="0.000%"/>
    <numFmt numFmtId="189" formatCode="0.0000%"/>
    <numFmt numFmtId="190" formatCode="0.00000"/>
    <numFmt numFmtId="191" formatCode="0.000000"/>
    <numFmt numFmtId="192" formatCode="_-* #,##0.000_р_._-;\-* #,##0.000_р_._-;_-* &quot;-&quot;??_р_._-;_-@_-"/>
    <numFmt numFmtId="193" formatCode="_-* #,##0.0_р_._-;\-* #,##0.0_р_._-;_-* &quot;-&quot;??_р_._-;_-@_-"/>
    <numFmt numFmtId="194" formatCode="_-* #,##0_р_._-;\-* #,##0_р_._-;_-* &quot;-&quot;??_р_._-;_-@_-"/>
    <numFmt numFmtId="195" formatCode="[$-FC19]d\ mmmm\ yyyy\ &quot;г.&quot;"/>
    <numFmt numFmtId="196" formatCode="[$-419]mmmm;@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"/>
    <numFmt numFmtId="202" formatCode="0.00000000"/>
    <numFmt numFmtId="203" formatCode="_-* #,##0.0000_р_._-;\-* #,##0.0000_р_._-;_-* &quot;-&quot;??_р_._-;_-@_-"/>
    <numFmt numFmtId="204" formatCode="_-* #,##0\ _€_-;\-* #,##0\ _€_-;_-* &quot;-&quot;??\ _€_-;_-@_-"/>
    <numFmt numFmtId="205" formatCode="_-* #,##0.00\ _€_-;\-* #,##0.00\ _€_-;_-* &quot;-&quot;??\ _€_-;_-@_-"/>
    <numFmt numFmtId="206" formatCode="[$-419]mmmm\ yyyy;@"/>
    <numFmt numFmtId="207" formatCode="0.0000000000"/>
    <numFmt numFmtId="208" formatCode="0.000000000"/>
    <numFmt numFmtId="209" formatCode="#,##0_ ;\-#,##0\ "/>
    <numFmt numFmtId="210" formatCode="#,##0.0_ ;\-#,##0.0\ "/>
    <numFmt numFmtId="211" formatCode="#,##0.0000"/>
    <numFmt numFmtId="212" formatCode="#,##0.00000"/>
    <numFmt numFmtId="213" formatCode="#,##0.000000"/>
    <numFmt numFmtId="214" formatCode="#,##0.0000000"/>
    <numFmt numFmtId="215" formatCode="#,##0.00000000"/>
    <numFmt numFmtId="216" formatCode="#,##0.000000000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Helv"/>
      <family val="2"/>
    </font>
    <font>
      <b/>
      <sz val="8"/>
      <name val="Times New Roman"/>
      <family val="1"/>
    </font>
    <font>
      <sz val="10"/>
      <name val="ЏрЯмой Џроп"/>
      <family val="0"/>
    </font>
    <font>
      <sz val="8"/>
      <name val="Helv"/>
      <family val="2"/>
    </font>
    <font>
      <sz val="8"/>
      <name val="Times New Roman"/>
      <family val="1"/>
    </font>
    <font>
      <sz val="12"/>
      <name val="Times New Roman Cyr"/>
      <family val="0"/>
    </font>
    <font>
      <sz val="10"/>
      <name val="Geneva"/>
      <family val="0"/>
    </font>
    <font>
      <sz val="11"/>
      <name val="lr oSVbN"/>
      <family val="3"/>
    </font>
    <font>
      <sz val="8"/>
      <name val="Arial"/>
      <family val="2"/>
    </font>
    <font>
      <sz val="9"/>
      <color indexed="8"/>
      <name val="Futuris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i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62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i/>
      <sz val="8"/>
      <color indexed="62"/>
      <name val="Arial"/>
      <family val="2"/>
    </font>
    <font>
      <i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i/>
      <sz val="8"/>
      <color theme="3" tint="0.39998000860214233"/>
      <name val="Arial"/>
      <family val="2"/>
    </font>
    <font>
      <i/>
      <sz val="8"/>
      <color theme="0" tint="-0.4999699890613556"/>
      <name val="Arial"/>
      <family val="2"/>
    </font>
    <font>
      <b/>
      <sz val="8"/>
      <name val="Arial Cyr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 vertical="top" wrapText="1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83" fontId="0" fillId="0" borderId="0" applyFont="0" applyFill="0" applyBorder="0" applyAlignment="0" applyProtection="0"/>
    <xf numFmtId="0" fontId="7" fillId="0" borderId="0">
      <alignment/>
      <protection/>
    </xf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8" fillId="0" borderId="0">
      <alignment/>
      <protection/>
    </xf>
    <xf numFmtId="181" fontId="9" fillId="0" borderId="0">
      <alignment horizontal="left"/>
      <protection/>
    </xf>
    <xf numFmtId="182" fontId="10" fillId="0" borderId="0">
      <alignment/>
      <protection/>
    </xf>
    <xf numFmtId="181" fontId="9" fillId="0" borderId="0">
      <alignment horizontal="left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" fillId="0" borderId="0">
      <alignment/>
      <protection/>
    </xf>
    <xf numFmtId="0" fontId="65" fillId="0" borderId="0" applyNumberFormat="0" applyFill="0" applyBorder="0" applyAlignment="0" applyProtection="0"/>
    <xf numFmtId="0" fontId="1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3" fillId="0" borderId="0">
      <alignment/>
      <protection/>
    </xf>
    <xf numFmtId="180" fontId="13" fillId="0" borderId="0" applyFont="0" applyFill="0" applyBorder="0" applyAlignment="0" applyProtection="0"/>
    <xf numFmtId="179" fontId="13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16" fillId="0" borderId="0" xfId="70" applyFont="1" applyFill="1" applyBorder="1" applyAlignment="1">
      <alignment/>
      <protection/>
    </xf>
    <xf numFmtId="0" fontId="5" fillId="0" borderId="0" xfId="70" applyFont="1" applyFill="1" applyBorder="1">
      <alignment/>
      <protection/>
    </xf>
    <xf numFmtId="0" fontId="5" fillId="0" borderId="0" xfId="70" applyFont="1" applyFill="1" applyBorder="1" applyAlignment="1">
      <alignment horizontal="right"/>
      <protection/>
    </xf>
    <xf numFmtId="3" fontId="5" fillId="0" borderId="0" xfId="0" applyNumberFormat="1" applyFont="1" applyFill="1" applyBorder="1" applyAlignment="1">
      <alignment horizontal="center"/>
    </xf>
    <xf numFmtId="0" fontId="17" fillId="0" borderId="0" xfId="68" applyFont="1" applyFill="1" applyBorder="1" applyAlignment="1">
      <alignment horizontal="left"/>
      <protection/>
    </xf>
    <xf numFmtId="0" fontId="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0" fontId="5" fillId="0" borderId="0" xfId="70" applyFont="1" applyFill="1" applyBorder="1" applyAlignment="1">
      <alignment/>
      <protection/>
    </xf>
    <xf numFmtId="0" fontId="16" fillId="0" borderId="0" xfId="70" applyFont="1" applyFill="1" applyBorder="1" applyAlignment="1">
      <alignment horizontal="center"/>
      <protection/>
    </xf>
    <xf numFmtId="0" fontId="18" fillId="0" borderId="0" xfId="70" applyFont="1" applyFill="1" applyBorder="1">
      <alignment/>
      <protection/>
    </xf>
    <xf numFmtId="14" fontId="5" fillId="0" borderId="0" xfId="70" applyNumberFormat="1" applyFont="1" applyFill="1" applyBorder="1">
      <alignment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2" fontId="16" fillId="33" borderId="10" xfId="70" applyNumberFormat="1" applyFont="1" applyFill="1" applyBorder="1" applyAlignment="1">
      <alignment wrapText="1"/>
      <protection/>
    </xf>
    <xf numFmtId="3" fontId="16" fillId="33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horizontal="left" wrapText="1"/>
      <protection/>
    </xf>
    <xf numFmtId="3" fontId="16" fillId="33" borderId="10" xfId="70" applyNumberFormat="1" applyFont="1" applyFill="1" applyBorder="1" applyAlignment="1">
      <alignment/>
      <protection/>
    </xf>
    <xf numFmtId="0" fontId="16" fillId="0" borderId="0" xfId="0" applyFont="1" applyFill="1" applyAlignment="1">
      <alignment/>
    </xf>
    <xf numFmtId="0" fontId="16" fillId="34" borderId="11" xfId="70" applyFont="1" applyFill="1" applyBorder="1" applyAlignment="1">
      <alignment vertical="center"/>
      <protection/>
    </xf>
    <xf numFmtId="0" fontId="16" fillId="34" borderId="12" xfId="70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vertical="center"/>
      <protection/>
    </xf>
    <xf numFmtId="3" fontId="16" fillId="34" borderId="10" xfId="70" applyNumberFormat="1" applyFont="1" applyFill="1" applyBorder="1" applyAlignment="1">
      <alignment horizontal="right" vertical="center"/>
      <protection/>
    </xf>
    <xf numFmtId="0" fontId="16" fillId="0" borderId="10" xfId="70" applyFont="1" applyFill="1" applyBorder="1" applyAlignment="1">
      <alignment vertical="center" wrapText="1"/>
      <protection/>
    </xf>
    <xf numFmtId="3" fontId="16" fillId="0" borderId="10" xfId="70" applyNumberFormat="1" applyFont="1" applyFill="1" applyBorder="1" applyAlignment="1">
      <alignment horizontal="right" wrapText="1"/>
      <protection/>
    </xf>
    <xf numFmtId="0" fontId="5" fillId="0" borderId="10" xfId="70" applyFont="1" applyFill="1" applyBorder="1" applyAlignment="1">
      <alignment vertical="center" wrapText="1"/>
      <protection/>
    </xf>
    <xf numFmtId="3" fontId="5" fillId="0" borderId="10" xfId="70" applyNumberFormat="1" applyFont="1" applyFill="1" applyBorder="1" applyAlignment="1">
      <alignment horizontal="right"/>
      <protection/>
    </xf>
    <xf numFmtId="0" fontId="16" fillId="0" borderId="10" xfId="70" applyFont="1" applyFill="1" applyBorder="1" applyAlignment="1">
      <alignment horizontal="left" vertical="center" wrapText="1" indent="1"/>
      <protection/>
    </xf>
    <xf numFmtId="3" fontId="16" fillId="0" borderId="10" xfId="70" applyNumberFormat="1" applyFont="1" applyFill="1" applyBorder="1" applyAlignment="1">
      <alignment vertical="center" wrapText="1"/>
      <protection/>
    </xf>
    <xf numFmtId="9" fontId="16" fillId="0" borderId="10" xfId="70" applyNumberFormat="1" applyFont="1" applyFill="1" applyBorder="1" applyAlignment="1">
      <alignment horizontal="right" wrapText="1"/>
      <protection/>
    </xf>
    <xf numFmtId="3" fontId="5" fillId="0" borderId="10" xfId="70" applyNumberFormat="1" applyFont="1" applyFill="1" applyBorder="1" applyAlignment="1">
      <alignment horizontal="right" wrapText="1"/>
      <protection/>
    </xf>
    <xf numFmtId="0" fontId="16" fillId="33" borderId="10" xfId="70" applyFont="1" applyFill="1" applyBorder="1" applyAlignment="1">
      <alignment vertical="center" wrapText="1"/>
      <protection/>
    </xf>
    <xf numFmtId="3" fontId="16" fillId="34" borderId="10" xfId="70" applyNumberFormat="1" applyFont="1" applyFill="1" applyBorder="1" applyAlignment="1">
      <alignment horizontal="right" wrapText="1"/>
      <protection/>
    </xf>
    <xf numFmtId="3" fontId="16" fillId="0" borderId="10" xfId="70" applyNumberFormat="1" applyFont="1" applyFill="1" applyBorder="1" applyAlignment="1">
      <alignment horizontal="right"/>
      <protection/>
    </xf>
    <xf numFmtId="0" fontId="5" fillId="0" borderId="10" xfId="70" applyFont="1" applyFill="1" applyBorder="1" applyAlignment="1">
      <alignment wrapText="1"/>
      <protection/>
    </xf>
    <xf numFmtId="0" fontId="16" fillId="33" borderId="10" xfId="70" applyFont="1" applyFill="1" applyBorder="1" applyAlignment="1">
      <alignment wrapText="1"/>
      <protection/>
    </xf>
    <xf numFmtId="1" fontId="19" fillId="0" borderId="11" xfId="70" applyNumberFormat="1" applyFont="1" applyFill="1" applyBorder="1" applyAlignment="1">
      <alignment wrapText="1"/>
      <protection/>
    </xf>
    <xf numFmtId="3" fontId="20" fillId="0" borderId="10" xfId="70" applyNumberFormat="1" applyFont="1" applyFill="1" applyBorder="1" applyAlignment="1">
      <alignment horizontal="right" wrapText="1"/>
      <protection/>
    </xf>
    <xf numFmtId="3" fontId="19" fillId="0" borderId="10" xfId="70" applyNumberFormat="1" applyFont="1" applyFill="1" applyBorder="1" applyAlignment="1">
      <alignment horizontal="right" wrapText="1"/>
      <protection/>
    </xf>
    <xf numFmtId="1" fontId="20" fillId="0" borderId="0" xfId="0" applyNumberFormat="1" applyFont="1" applyFill="1" applyAlignment="1">
      <alignment/>
    </xf>
    <xf numFmtId="0" fontId="5" fillId="0" borderId="10" xfId="70" applyFont="1" applyFill="1" applyBorder="1" applyAlignment="1">
      <alignment vertical="center"/>
      <protection/>
    </xf>
    <xf numFmtId="3" fontId="5" fillId="0" borderId="10" xfId="0" applyNumberFormat="1" applyFont="1" applyFill="1" applyBorder="1" applyAlignment="1">
      <alignment horizontal="right"/>
    </xf>
    <xf numFmtId="172" fontId="5" fillId="0" borderId="11" xfId="64" applyNumberFormat="1" applyFont="1" applyFill="1" applyBorder="1" applyAlignment="1">
      <alignment vertical="center" wrapText="1"/>
      <protection/>
    </xf>
    <xf numFmtId="172" fontId="5" fillId="0" borderId="10" xfId="64" applyNumberFormat="1" applyFont="1" applyFill="1" applyBorder="1" applyAlignment="1">
      <alignment horizontal="right" vertical="center" wrapText="1"/>
      <protection/>
    </xf>
    <xf numFmtId="0" fontId="5" fillId="0" borderId="0" xfId="68" applyFont="1" applyFill="1">
      <alignment/>
      <protection/>
    </xf>
    <xf numFmtId="0" fontId="16" fillId="0" borderId="10" xfId="70" applyFont="1" applyFill="1" applyBorder="1" applyAlignment="1">
      <alignment vertical="center"/>
      <protection/>
    </xf>
    <xf numFmtId="3" fontId="16" fillId="35" borderId="10" xfId="70" applyNumberFormat="1" applyFont="1" applyFill="1" applyBorder="1" applyAlignment="1">
      <alignment horizontal="right" wrapText="1"/>
      <protection/>
    </xf>
    <xf numFmtId="172" fontId="16" fillId="0" borderId="10" xfId="70" applyNumberFormat="1" applyFont="1" applyFill="1" applyBorder="1" applyAlignment="1">
      <alignment horizontal="right" vertical="center"/>
      <protection/>
    </xf>
    <xf numFmtId="172" fontId="16" fillId="0" borderId="10" xfId="70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Border="1" applyAlignment="1">
      <alignment horizontal="center"/>
    </xf>
    <xf numFmtId="3" fontId="67" fillId="0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3" fontId="5" fillId="36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9" fontId="16" fillId="0" borderId="0" xfId="0" applyNumberFormat="1" applyFont="1" applyFill="1" applyBorder="1" applyAlignment="1">
      <alignment/>
    </xf>
    <xf numFmtId="0" fontId="5" fillId="0" borderId="0" xfId="66" applyFont="1">
      <alignment/>
      <protection/>
    </xf>
    <xf numFmtId="0" fontId="5" fillId="0" borderId="0" xfId="66" applyFont="1" applyAlignment="1">
      <alignment vertical="center"/>
      <protection/>
    </xf>
    <xf numFmtId="0" fontId="5" fillId="0" borderId="0" xfId="66" applyFont="1" applyAlignment="1">
      <alignment horizontal="right" vertical="center"/>
      <protection/>
    </xf>
    <xf numFmtId="0" fontId="5" fillId="0" borderId="0" xfId="66" applyFont="1" applyBorder="1" applyAlignment="1">
      <alignment vertical="center"/>
      <protection/>
    </xf>
    <xf numFmtId="3" fontId="5" fillId="0" borderId="0" xfId="66" applyNumberFormat="1" applyFont="1" applyBorder="1" applyAlignment="1">
      <alignment horizontal="right" vertical="center"/>
      <protection/>
    </xf>
    <xf numFmtId="0" fontId="5" fillId="0" borderId="0" xfId="66" applyFont="1" applyBorder="1" applyAlignment="1">
      <alignment horizontal="right" vertical="center"/>
      <protection/>
    </xf>
    <xf numFmtId="0" fontId="5" fillId="0" borderId="0" xfId="66" applyFont="1" applyBorder="1" applyAlignment="1">
      <alignment horizontal="left" vertical="center"/>
      <protection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9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/>
    </xf>
    <xf numFmtId="0" fontId="16" fillId="0" borderId="0" xfId="70" applyFont="1" applyFill="1" applyBorder="1" applyAlignment="1">
      <alignment horizontal="left" wrapText="1" shrinkToFit="1"/>
      <protection/>
    </xf>
    <xf numFmtId="0" fontId="5" fillId="0" borderId="0" xfId="70" applyFont="1" applyFill="1" applyBorder="1" applyAlignment="1">
      <alignment wrapText="1" shrinkToFit="1"/>
      <protection/>
    </xf>
    <xf numFmtId="0" fontId="16" fillId="0" borderId="0" xfId="70" applyFont="1" applyFill="1" applyBorder="1" applyAlignment="1">
      <alignment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3" fontId="5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0" borderId="11" xfId="70" applyFont="1" applyFill="1" applyBorder="1" applyAlignment="1">
      <alignment horizontal="left" vertical="top" wrapText="1" shrinkToFit="1"/>
      <protection/>
    </xf>
    <xf numFmtId="3" fontId="16" fillId="0" borderId="10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center"/>
      <protection/>
    </xf>
    <xf numFmtId="0" fontId="5" fillId="0" borderId="11" xfId="70" applyFont="1" applyFill="1" applyBorder="1" applyAlignment="1">
      <alignment horizontal="left" vertical="top" wrapText="1" indent="3" shrinkToFit="1"/>
      <protection/>
    </xf>
    <xf numFmtId="3" fontId="5" fillId="0" borderId="14" xfId="70" applyNumberFormat="1" applyFont="1" applyFill="1" applyBorder="1" applyAlignment="1">
      <alignment horizontal="center" vertical="center"/>
      <protection/>
    </xf>
    <xf numFmtId="3" fontId="16" fillId="0" borderId="14" xfId="70" applyNumberFormat="1" applyFont="1" applyFill="1" applyBorder="1" applyAlignment="1">
      <alignment horizontal="center" vertical="top"/>
      <protection/>
    </xf>
    <xf numFmtId="0" fontId="5" fillId="0" borderId="11" xfId="70" applyFont="1" applyFill="1" applyBorder="1" applyAlignment="1">
      <alignment horizontal="left" vertical="top" wrapText="1" shrinkToFit="1"/>
      <protection/>
    </xf>
    <xf numFmtId="172" fontId="16" fillId="0" borderId="10" xfId="70" applyNumberFormat="1" applyFont="1" applyFill="1" applyBorder="1" applyAlignment="1">
      <alignment horizontal="center" vertical="top"/>
      <protection/>
    </xf>
    <xf numFmtId="172" fontId="16" fillId="0" borderId="14" xfId="70" applyNumberFormat="1" applyFont="1" applyFill="1" applyBorder="1" applyAlignment="1">
      <alignment horizontal="center" vertical="top"/>
      <protection/>
    </xf>
    <xf numFmtId="0" fontId="5" fillId="0" borderId="0" xfId="70" applyFont="1" applyFill="1" applyBorder="1" applyAlignment="1">
      <alignment horizontal="left" vertical="top" wrapText="1" shrinkToFit="1"/>
      <protection/>
    </xf>
    <xf numFmtId="0" fontId="5" fillId="0" borderId="0" xfId="70" applyFont="1" applyFill="1" applyBorder="1" applyAlignment="1">
      <alignment horizontal="left" vertical="top"/>
      <protection/>
    </xf>
    <xf numFmtId="0" fontId="21" fillId="0" borderId="0" xfId="70" applyFont="1" applyFill="1" applyBorder="1" applyAlignment="1">
      <alignment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172" fontId="16" fillId="34" borderId="12" xfId="7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16" fillId="34" borderId="10" xfId="70" applyFont="1" applyFill="1" applyBorder="1" applyAlignment="1">
      <alignment horizontal="right" vertical="center"/>
      <protection/>
    </xf>
    <xf numFmtId="3" fontId="5" fillId="34" borderId="10" xfId="70" applyNumberFormat="1" applyFont="1" applyFill="1" applyBorder="1" applyAlignment="1">
      <alignment horizontal="center" vertical="center"/>
      <protection/>
    </xf>
    <xf numFmtId="0" fontId="16" fillId="34" borderId="10" xfId="70" applyFont="1" applyFill="1" applyBorder="1" applyAlignment="1">
      <alignment horizontal="center" vertical="center"/>
      <protection/>
    </xf>
    <xf numFmtId="172" fontId="5" fillId="0" borderId="10" xfId="67" applyNumberFormat="1" applyFont="1" applyBorder="1" applyAlignment="1">
      <alignment vertical="center" wrapText="1" shrinkToFit="1"/>
      <protection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16" fillId="0" borderId="0" xfId="71" applyFont="1" applyFill="1" applyBorder="1" applyAlignment="1">
      <alignment horizontal="left" wrapText="1" shrinkToFit="1"/>
      <protection/>
    </xf>
    <xf numFmtId="0" fontId="5" fillId="0" borderId="0" xfId="71" applyFont="1" applyFill="1" applyBorder="1" applyAlignment="1">
      <alignment wrapText="1" shrinkToFit="1"/>
      <protection/>
    </xf>
    <xf numFmtId="3" fontId="5" fillId="0" borderId="0" xfId="71" applyNumberFormat="1" applyFont="1" applyFill="1" applyBorder="1" applyAlignment="1">
      <alignment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34" borderId="14" xfId="71" applyFont="1" applyFill="1" applyBorder="1" applyAlignment="1">
      <alignment horizontal="center" vertical="center"/>
      <protection/>
    </xf>
    <xf numFmtId="3" fontId="5" fillId="34" borderId="10" xfId="71" applyNumberFormat="1" applyFont="1" applyFill="1" applyBorder="1" applyAlignment="1">
      <alignment horizontal="center" vertical="center"/>
      <protection/>
    </xf>
    <xf numFmtId="0" fontId="16" fillId="0" borderId="11" xfId="71" applyFont="1" applyFill="1" applyBorder="1" applyAlignment="1">
      <alignment horizontal="left" vertical="top" wrapText="1" shrinkToFit="1"/>
      <protection/>
    </xf>
    <xf numFmtId="3" fontId="16" fillId="0" borderId="10" xfId="71" applyNumberFormat="1" applyFont="1" applyFill="1" applyBorder="1" applyAlignment="1">
      <alignment horizontal="center" vertical="center"/>
      <protection/>
    </xf>
    <xf numFmtId="3" fontId="16" fillId="0" borderId="14" xfId="71" applyNumberFormat="1" applyFont="1" applyFill="1" applyBorder="1" applyAlignment="1">
      <alignment horizontal="center" vertical="center"/>
      <protection/>
    </xf>
    <xf numFmtId="172" fontId="16" fillId="0" borderId="0" xfId="71" applyNumberFormat="1" applyFont="1" applyFill="1" applyBorder="1" applyAlignment="1" applyProtection="1">
      <alignment wrapText="1" shrinkToFit="1"/>
      <protection locked="0"/>
    </xf>
    <xf numFmtId="0" fontId="16" fillId="0" borderId="0" xfId="71" applyFont="1" applyFill="1" applyBorder="1" applyAlignment="1">
      <alignment wrapText="1" shrinkToFit="1"/>
      <protection/>
    </xf>
    <xf numFmtId="0" fontId="5" fillId="0" borderId="11" xfId="71" applyFont="1" applyFill="1" applyBorder="1" applyAlignment="1">
      <alignment horizontal="left" vertical="top" wrapText="1" indent="1" shrinkToFit="1"/>
      <protection/>
    </xf>
    <xf numFmtId="3" fontId="5" fillId="0" borderId="14" xfId="71" applyNumberFormat="1" applyFont="1" applyFill="1" applyBorder="1" applyAlignment="1">
      <alignment horizontal="center" vertical="center"/>
      <protection/>
    </xf>
    <xf numFmtId="3" fontId="5" fillId="0" borderId="10" xfId="71" applyNumberFormat="1" applyFont="1" applyFill="1" applyBorder="1" applyAlignment="1">
      <alignment horizontal="center" vertical="center"/>
      <protection/>
    </xf>
    <xf numFmtId="0" fontId="5" fillId="0" borderId="0" xfId="71" applyFont="1" applyFill="1" applyBorder="1" applyAlignment="1">
      <alignment horizontal="left" vertical="top" wrapText="1" shrinkToFit="1"/>
      <protection/>
    </xf>
    <xf numFmtId="0" fontId="5" fillId="0" borderId="0" xfId="71" applyFont="1" applyFill="1" applyBorder="1" applyAlignment="1">
      <alignment horizontal="left" vertical="top"/>
      <protection/>
    </xf>
    <xf numFmtId="0" fontId="17" fillId="0" borderId="15" xfId="71" applyFont="1" applyFill="1" applyBorder="1" applyAlignment="1">
      <alignment wrapText="1" shrinkToFit="1"/>
      <protection/>
    </xf>
    <xf numFmtId="0" fontId="5" fillId="0" borderId="15" xfId="71" applyFont="1" applyFill="1" applyBorder="1" applyAlignment="1">
      <alignment wrapText="1" shrinkToFit="1"/>
      <protection/>
    </xf>
    <xf numFmtId="4" fontId="5" fillId="0" borderId="15" xfId="71" applyNumberFormat="1" applyFont="1" applyFill="1" applyBorder="1" applyAlignment="1">
      <alignment wrapText="1" shrinkToFit="1"/>
      <protection/>
    </xf>
    <xf numFmtId="0" fontId="16" fillId="0" borderId="0" xfId="0" applyFont="1" applyAlignment="1">
      <alignment horizontal="center"/>
    </xf>
    <xf numFmtId="0" fontId="16" fillId="34" borderId="10" xfId="0" applyFont="1" applyFill="1" applyBorder="1" applyAlignment="1">
      <alignment/>
    </xf>
    <xf numFmtId="0" fontId="16" fillId="34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3" fontId="16" fillId="37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 shrinkToFit="1"/>
    </xf>
    <xf numFmtId="0" fontId="16" fillId="37" borderId="10" xfId="0" applyFont="1" applyFill="1" applyBorder="1" applyAlignment="1">
      <alignment horizontal="left" vertical="center" wrapText="1" shrinkToFit="1"/>
    </xf>
    <xf numFmtId="3" fontId="5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 vertical="center" wrapText="1" shrinkToFit="1"/>
    </xf>
    <xf numFmtId="9" fontId="16" fillId="0" borderId="0" xfId="0" applyNumberFormat="1" applyFont="1" applyAlignment="1">
      <alignment/>
    </xf>
    <xf numFmtId="3" fontId="16" fillId="38" borderId="10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5" fillId="0" borderId="10" xfId="0" applyFont="1" applyBorder="1" applyAlignment="1">
      <alignment wrapText="1"/>
    </xf>
    <xf numFmtId="3" fontId="16" fillId="34" borderId="10" xfId="0" applyNumberFormat="1" applyFont="1" applyFill="1" applyBorder="1" applyAlignment="1">
      <alignment/>
    </xf>
    <xf numFmtId="177" fontId="5" fillId="0" borderId="0" xfId="0" applyNumberFormat="1" applyFont="1" applyAlignment="1">
      <alignment/>
    </xf>
    <xf numFmtId="173" fontId="5" fillId="33" borderId="10" xfId="76" applyNumberFormat="1" applyFont="1" applyFill="1" applyBorder="1" applyAlignment="1">
      <alignment/>
    </xf>
    <xf numFmtId="177" fontId="5" fillId="0" borderId="10" xfId="0" applyNumberFormat="1" applyFont="1" applyBorder="1" applyAlignment="1">
      <alignment/>
    </xf>
    <xf numFmtId="209" fontId="5" fillId="0" borderId="0" xfId="0" applyNumberFormat="1" applyFont="1" applyAlignment="1">
      <alignment/>
    </xf>
    <xf numFmtId="173" fontId="5" fillId="0" borderId="10" xfId="76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9" fontId="5" fillId="0" borderId="10" xfId="76" applyFont="1" applyFill="1" applyBorder="1" applyAlignment="1">
      <alignment/>
    </xf>
    <xf numFmtId="194" fontId="5" fillId="0" borderId="10" xfId="82" applyNumberFormat="1" applyFont="1" applyBorder="1" applyAlignment="1">
      <alignment/>
    </xf>
    <xf numFmtId="9" fontId="5" fillId="33" borderId="10" xfId="76" applyFont="1" applyFill="1" applyBorder="1" applyAlignment="1">
      <alignment/>
    </xf>
    <xf numFmtId="0" fontId="5" fillId="0" borderId="0" xfId="65" applyFont="1" applyFill="1" applyProtection="1">
      <alignment/>
      <protection locked="0"/>
    </xf>
    <xf numFmtId="0" fontId="16" fillId="0" borderId="0" xfId="65" applyFont="1" applyFill="1" applyProtection="1">
      <alignment/>
      <protection locked="0"/>
    </xf>
    <xf numFmtId="9" fontId="17" fillId="0" borderId="0" xfId="65" applyNumberFormat="1" applyFont="1" applyFill="1" applyProtection="1">
      <alignment/>
      <protection locked="0"/>
    </xf>
    <xf numFmtId="172" fontId="5" fillId="0" borderId="0" xfId="65" applyNumberFormat="1" applyFont="1" applyFill="1" applyProtection="1">
      <alignment/>
      <protection locked="0"/>
    </xf>
    <xf numFmtId="172" fontId="17" fillId="0" borderId="0" xfId="65" applyNumberFormat="1" applyFont="1" applyFill="1" applyProtection="1">
      <alignment/>
      <protection locked="0"/>
    </xf>
    <xf numFmtId="9" fontId="16" fillId="0" borderId="0" xfId="65" applyNumberFormat="1" applyFont="1" applyFill="1" applyProtection="1">
      <alignment/>
      <protection locked="0"/>
    </xf>
    <xf numFmtId="0" fontId="21" fillId="0" borderId="0" xfId="65" applyFont="1" applyFill="1" applyProtection="1">
      <alignment/>
      <protection locked="0"/>
    </xf>
    <xf numFmtId="0" fontId="5" fillId="0" borderId="10" xfId="65" applyFont="1" applyFill="1" applyBorder="1" applyAlignment="1" applyProtection="1">
      <alignment vertical="top"/>
      <protection locked="0"/>
    </xf>
    <xf numFmtId="0" fontId="5" fillId="0" borderId="10" xfId="69" applyFont="1" applyFill="1" applyBorder="1" applyAlignment="1">
      <alignment horizontal="left" vertical="center" wrapText="1"/>
      <protection/>
    </xf>
    <xf numFmtId="0" fontId="16" fillId="0" borderId="10" xfId="69" applyFont="1" applyFill="1" applyBorder="1" applyAlignment="1">
      <alignment horizontal="center" vertical="center"/>
      <protection/>
    </xf>
    <xf numFmtId="0" fontId="5" fillId="0" borderId="10" xfId="71" applyFont="1" applyFill="1" applyBorder="1" applyAlignment="1">
      <alignment horizontal="center" vertical="center"/>
      <protection/>
    </xf>
    <xf numFmtId="0" fontId="16" fillId="0" borderId="10" xfId="71" applyFont="1" applyFill="1" applyBorder="1" applyAlignment="1">
      <alignment horizontal="center" vertical="center"/>
      <protection/>
    </xf>
    <xf numFmtId="0" fontId="5" fillId="0" borderId="0" xfId="65" applyFont="1" applyFill="1" applyAlignment="1" applyProtection="1">
      <alignment horizontal="center"/>
      <protection locked="0"/>
    </xf>
    <xf numFmtId="172" fontId="5" fillId="0" borderId="10" xfId="69" applyNumberFormat="1" applyFont="1" applyFill="1" applyBorder="1" applyAlignment="1">
      <alignment horizontal="right" vertical="center"/>
      <protection/>
    </xf>
    <xf numFmtId="172" fontId="5" fillId="0" borderId="10" xfId="65" applyNumberFormat="1" applyFont="1" applyFill="1" applyBorder="1" applyAlignment="1" applyProtection="1">
      <alignment/>
      <protection locked="0"/>
    </xf>
    <xf numFmtId="172" fontId="16" fillId="0" borderId="10" xfId="65" applyNumberFormat="1" applyFont="1" applyFill="1" applyBorder="1" applyAlignment="1" applyProtection="1">
      <alignment/>
      <protection locked="0"/>
    </xf>
    <xf numFmtId="0" fontId="5" fillId="0" borderId="0" xfId="65" applyFont="1" applyFill="1" applyAlignment="1" applyProtection="1">
      <alignment/>
      <protection locked="0"/>
    </xf>
    <xf numFmtId="0" fontId="5" fillId="0" borderId="0" xfId="65" applyFont="1" applyFill="1" applyAlignment="1" applyProtection="1">
      <alignment vertical="center"/>
      <protection locked="0"/>
    </xf>
    <xf numFmtId="0" fontId="5" fillId="36" borderId="10" xfId="69" applyFont="1" applyFill="1" applyBorder="1" applyAlignment="1">
      <alignment horizontal="left" vertical="center" wrapText="1" indent="2"/>
      <protection/>
    </xf>
    <xf numFmtId="172" fontId="5" fillId="39" borderId="10" xfId="65" applyNumberFormat="1" applyFont="1" applyFill="1" applyBorder="1" applyAlignment="1" applyProtection="1">
      <alignment/>
      <protection locked="0"/>
    </xf>
    <xf numFmtId="172" fontId="5" fillId="0" borderId="0" xfId="65" applyNumberFormat="1" applyFont="1" applyFill="1" applyAlignment="1" applyProtection="1">
      <alignment/>
      <protection locked="0"/>
    </xf>
    <xf numFmtId="172" fontId="68" fillId="0" borderId="0" xfId="65" applyNumberFormat="1" applyFont="1" applyFill="1" applyProtection="1">
      <alignment/>
      <protection locked="0"/>
    </xf>
    <xf numFmtId="3" fontId="5" fillId="0" borderId="0" xfId="0" applyNumberFormat="1" applyFont="1" applyAlignment="1">
      <alignment/>
    </xf>
    <xf numFmtId="210" fontId="5" fillId="0" borderId="0" xfId="0" applyNumberFormat="1" applyFont="1" applyAlignment="1">
      <alignment/>
    </xf>
    <xf numFmtId="1" fontId="5" fillId="34" borderId="14" xfId="70" applyNumberFormat="1" applyFont="1" applyFill="1" applyBorder="1" applyAlignment="1">
      <alignment horizontal="center" vertical="center" wrapText="1" shrinkToFit="1"/>
      <protection/>
    </xf>
    <xf numFmtId="0" fontId="16" fillId="37" borderId="10" xfId="0" applyFont="1" applyFill="1" applyBorder="1" applyAlignment="1">
      <alignment horizontal="left"/>
    </xf>
    <xf numFmtId="3" fontId="16" fillId="3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3" fontId="16" fillId="0" borderId="0" xfId="0" applyNumberFormat="1" applyFont="1" applyAlignment="1">
      <alignment/>
    </xf>
    <xf numFmtId="0" fontId="16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justify" vertical="top" wrapText="1"/>
    </xf>
    <xf numFmtId="3" fontId="5" fillId="0" borderId="10" xfId="0" applyNumberFormat="1" applyFont="1" applyBorder="1" applyAlignment="1">
      <alignment horizontal="right"/>
    </xf>
    <xf numFmtId="3" fontId="22" fillId="0" borderId="10" xfId="0" applyNumberFormat="1" applyFont="1" applyFill="1" applyBorder="1" applyAlignment="1">
      <alignment horizontal="right" vertical="top" wrapText="1"/>
    </xf>
    <xf numFmtId="3" fontId="22" fillId="0" borderId="10" xfId="0" applyNumberFormat="1" applyFont="1" applyBorder="1" applyAlignment="1">
      <alignment horizontal="right" vertical="top" wrapText="1"/>
    </xf>
    <xf numFmtId="187" fontId="22" fillId="0" borderId="10" xfId="0" applyNumberFormat="1" applyFont="1" applyBorder="1" applyAlignment="1">
      <alignment horizontal="right" vertical="top" wrapText="1"/>
    </xf>
    <xf numFmtId="0" fontId="23" fillId="0" borderId="10" xfId="0" applyFont="1" applyBorder="1" applyAlignment="1">
      <alignment horizontal="justify" vertical="top" wrapText="1"/>
    </xf>
    <xf numFmtId="9" fontId="23" fillId="0" borderId="10" xfId="0" applyNumberFormat="1" applyFont="1" applyBorder="1" applyAlignment="1">
      <alignment horizontal="right" vertical="top" wrapText="1"/>
    </xf>
    <xf numFmtId="0" fontId="16" fillId="2" borderId="10" xfId="0" applyFont="1" applyFill="1" applyBorder="1" applyAlignment="1">
      <alignment/>
    </xf>
    <xf numFmtId="3" fontId="16" fillId="2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0" borderId="10" xfId="66" applyFont="1" applyBorder="1" applyAlignment="1">
      <alignment vertical="center"/>
      <protection/>
    </xf>
    <xf numFmtId="3" fontId="5" fillId="0" borderId="10" xfId="66" applyNumberFormat="1" applyFont="1" applyFill="1" applyBorder="1" applyAlignment="1">
      <alignment horizontal="right" vertical="center"/>
      <protection/>
    </xf>
    <xf numFmtId="0" fontId="16" fillId="0" borderId="10" xfId="66" applyFont="1" applyBorder="1" applyAlignment="1">
      <alignment vertical="center"/>
      <protection/>
    </xf>
    <xf numFmtId="3" fontId="16" fillId="0" borderId="10" xfId="66" applyNumberFormat="1" applyFont="1" applyFill="1" applyBorder="1" applyAlignment="1">
      <alignment horizontal="right" vertical="center"/>
      <protection/>
    </xf>
    <xf numFmtId="0" fontId="16" fillId="2" borderId="11" xfId="67" applyFont="1" applyFill="1" applyBorder="1" applyAlignment="1">
      <alignment vertical="center"/>
      <protection/>
    </xf>
    <xf numFmtId="9" fontId="5" fillId="0" borderId="10" xfId="66" applyNumberFormat="1" applyFont="1" applyFill="1" applyBorder="1" applyAlignment="1">
      <alignment horizontal="right" vertical="center"/>
      <protection/>
    </xf>
    <xf numFmtId="9" fontId="16" fillId="0" borderId="10" xfId="66" applyNumberFormat="1" applyFont="1" applyFill="1" applyBorder="1" applyAlignment="1">
      <alignment horizontal="right" vertical="center"/>
      <protection/>
    </xf>
    <xf numFmtId="177" fontId="5" fillId="0" borderId="10" xfId="66" applyNumberFormat="1" applyFont="1" applyFill="1" applyBorder="1" applyAlignment="1">
      <alignment horizontal="right" vertical="center"/>
      <protection/>
    </xf>
    <xf numFmtId="0" fontId="16" fillId="0" borderId="0" xfId="66" applyFont="1" applyAlignment="1">
      <alignment vertical="center"/>
      <protection/>
    </xf>
    <xf numFmtId="0" fontId="5" fillId="0" borderId="10" xfId="66" applyFont="1" applyBorder="1" applyAlignment="1">
      <alignment vertical="center" wrapText="1"/>
      <protection/>
    </xf>
    <xf numFmtId="3" fontId="5" fillId="2" borderId="10" xfId="66" applyNumberFormat="1" applyFont="1" applyFill="1" applyBorder="1" applyAlignment="1">
      <alignment horizontal="right" vertical="center"/>
      <protection/>
    </xf>
    <xf numFmtId="0" fontId="16" fillId="2" borderId="10" xfId="0" applyFont="1" applyFill="1" applyBorder="1" applyAlignment="1">
      <alignment horizontal="center"/>
    </xf>
    <xf numFmtId="177" fontId="5" fillId="35" borderId="10" xfId="0" applyNumberFormat="1" applyFont="1" applyFill="1" applyBorder="1" applyAlignment="1">
      <alignment/>
    </xf>
    <xf numFmtId="0" fontId="47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 horizontal="left"/>
      <protection/>
    </xf>
    <xf numFmtId="0" fontId="5" fillId="0" borderId="0" xfId="71" applyFont="1" applyFill="1" applyBorder="1" applyAlignment="1">
      <alignment/>
      <protection/>
    </xf>
    <xf numFmtId="0" fontId="16" fillId="0" borderId="0" xfId="71" applyFont="1" applyFill="1" applyBorder="1" applyAlignment="1">
      <alignment/>
      <protection/>
    </xf>
    <xf numFmtId="0" fontId="16" fillId="0" borderId="0" xfId="0" applyFont="1" applyAlignment="1">
      <alignment/>
    </xf>
    <xf numFmtId="0" fontId="5" fillId="0" borderId="0" xfId="71" applyFont="1" applyFill="1" applyBorder="1" applyAlignment="1">
      <alignment horizontal="center"/>
      <protection/>
    </xf>
    <xf numFmtId="3" fontId="5" fillId="33" borderId="10" xfId="0" applyNumberFormat="1" applyFont="1" applyFill="1" applyBorder="1" applyAlignment="1">
      <alignment horizontal="right"/>
    </xf>
    <xf numFmtId="173" fontId="5" fillId="33" borderId="10" xfId="0" applyNumberFormat="1" applyFont="1" applyFill="1" applyBorder="1" applyAlignment="1">
      <alignment/>
    </xf>
    <xf numFmtId="0" fontId="16" fillId="2" borderId="10" xfId="0" applyFont="1" applyFill="1" applyBorder="1" applyAlignment="1">
      <alignment horizontal="center" vertical="center" wrapText="1"/>
    </xf>
    <xf numFmtId="9" fontId="5" fillId="0" borderId="14" xfId="71" applyNumberFormat="1" applyFont="1" applyFill="1" applyBorder="1" applyAlignment="1">
      <alignment horizontal="center" vertical="center"/>
      <protection/>
    </xf>
    <xf numFmtId="9" fontId="5" fillId="35" borderId="14" xfId="71" applyNumberFormat="1" applyFont="1" applyFill="1" applyBorder="1" applyAlignment="1">
      <alignment horizontal="center" vertical="center"/>
      <protection/>
    </xf>
    <xf numFmtId="3" fontId="24" fillId="0" borderId="0" xfId="0" applyNumberFormat="1" applyFont="1" applyAlignment="1">
      <alignment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16" fillId="2" borderId="10" xfId="0" applyFont="1" applyFill="1" applyBorder="1" applyAlignment="1">
      <alignment wrapText="1"/>
    </xf>
    <xf numFmtId="172" fontId="69" fillId="0" borderId="0" xfId="70" applyNumberFormat="1" applyFont="1" applyFill="1" applyBorder="1" applyAlignment="1">
      <alignment horizontal="center" wrapText="1" shrinkToFit="1"/>
      <protection/>
    </xf>
    <xf numFmtId="3" fontId="70" fillId="0" borderId="0" xfId="70" applyNumberFormat="1" applyFont="1" applyFill="1" applyBorder="1">
      <alignment/>
      <protection/>
    </xf>
    <xf numFmtId="9" fontId="5" fillId="0" borderId="0" xfId="0" applyNumberFormat="1" applyFont="1" applyAlignment="1">
      <alignment/>
    </xf>
    <xf numFmtId="0" fontId="25" fillId="0" borderId="10" xfId="0" applyFont="1" applyBorder="1" applyAlignment="1">
      <alignment horizontal="justify" vertical="top" wrapText="1"/>
    </xf>
    <xf numFmtId="9" fontId="25" fillId="0" borderId="10" xfId="0" applyNumberFormat="1" applyFont="1" applyBorder="1" applyAlignment="1">
      <alignment horizontal="right" vertical="top" wrapText="1"/>
    </xf>
    <xf numFmtId="3" fontId="5" fillId="0" borderId="15" xfId="71" applyNumberFormat="1" applyFont="1" applyFill="1" applyBorder="1" applyAlignment="1">
      <alignment/>
      <protection/>
    </xf>
    <xf numFmtId="0" fontId="16" fillId="2" borderId="10" xfId="66" applyFont="1" applyFill="1" applyBorder="1" applyAlignment="1">
      <alignment vertical="center"/>
      <protection/>
    </xf>
    <xf numFmtId="3" fontId="16" fillId="2" borderId="10" xfId="66" applyNumberFormat="1" applyFont="1" applyFill="1" applyBorder="1" applyAlignment="1">
      <alignment horizontal="right" vertical="center"/>
      <protection/>
    </xf>
    <xf numFmtId="173" fontId="5" fillId="0" borderId="10" xfId="66" applyNumberFormat="1" applyFont="1" applyFill="1" applyBorder="1" applyAlignment="1">
      <alignment horizontal="right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185" fontId="5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3" fontId="5" fillId="0" borderId="0" xfId="71" applyNumberFormat="1" applyFont="1" applyFill="1" applyBorder="1" applyAlignment="1">
      <alignment/>
      <protection/>
    </xf>
    <xf numFmtId="0" fontId="5" fillId="0" borderId="0" xfId="71" applyFont="1" applyFill="1" applyBorder="1" applyAlignment="1">
      <alignment horizontal="right"/>
      <protection/>
    </xf>
    <xf numFmtId="173" fontId="5" fillId="33" borderId="10" xfId="0" applyNumberFormat="1" applyFont="1" applyFill="1" applyBorder="1" applyAlignment="1">
      <alignment vertical="center"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16" fillId="2" borderId="10" xfId="0" applyFont="1" applyFill="1" applyBorder="1" applyAlignment="1">
      <alignment horizontal="center" wrapText="1"/>
    </xf>
    <xf numFmtId="3" fontId="5" fillId="0" borderId="0" xfId="70" applyNumberFormat="1" applyFont="1" applyFill="1" applyBorder="1">
      <alignment/>
      <protection/>
    </xf>
    <xf numFmtId="0" fontId="17" fillId="0" borderId="0" xfId="0" applyFont="1" applyAlignment="1">
      <alignment/>
    </xf>
    <xf numFmtId="3" fontId="5" fillId="35" borderId="10" xfId="0" applyNumberFormat="1" applyFont="1" applyFill="1" applyBorder="1" applyAlignment="1">
      <alignment horizontal="right"/>
    </xf>
    <xf numFmtId="173" fontId="5" fillId="0" borderId="0" xfId="0" applyNumberFormat="1" applyFont="1" applyAlignment="1">
      <alignment/>
    </xf>
    <xf numFmtId="0" fontId="17" fillId="0" borderId="10" xfId="66" applyFont="1" applyBorder="1" applyAlignment="1">
      <alignment vertical="center"/>
      <protection/>
    </xf>
    <xf numFmtId="3" fontId="17" fillId="0" borderId="10" xfId="66" applyNumberFormat="1" applyFont="1" applyFill="1" applyBorder="1" applyAlignment="1">
      <alignment horizontal="right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1" fontId="5" fillId="0" borderId="0" xfId="0" applyNumberFormat="1" applyFont="1" applyAlignment="1">
      <alignment/>
    </xf>
    <xf numFmtId="0" fontId="16" fillId="2" borderId="10" xfId="0" applyFont="1" applyFill="1" applyBorder="1" applyAlignment="1">
      <alignment vertical="center"/>
    </xf>
    <xf numFmtId="0" fontId="16" fillId="2" borderId="10" xfId="0" applyFont="1" applyFill="1" applyBorder="1" applyAlignment="1">
      <alignment horizontal="center" vertical="center"/>
    </xf>
    <xf numFmtId="9" fontId="17" fillId="35" borderId="10" xfId="0" applyNumberFormat="1" applyFont="1" applyFill="1" applyBorder="1" applyAlignment="1">
      <alignment/>
    </xf>
    <xf numFmtId="0" fontId="5" fillId="0" borderId="16" xfId="0" applyFont="1" applyBorder="1" applyAlignment="1">
      <alignment wrapText="1"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17" fillId="0" borderId="16" xfId="0" applyFont="1" applyBorder="1" applyAlignment="1">
      <alignment vertical="center" wrapText="1"/>
    </xf>
    <xf numFmtId="0" fontId="16" fillId="0" borderId="0" xfId="0" applyFont="1" applyBorder="1" applyAlignment="1">
      <alignment/>
    </xf>
    <xf numFmtId="0" fontId="21" fillId="0" borderId="0" xfId="65" applyFont="1" applyFill="1" applyBorder="1" applyProtection="1">
      <alignment/>
      <protection locked="0"/>
    </xf>
    <xf numFmtId="3" fontId="5" fillId="0" borderId="0" xfId="65" applyNumberFormat="1" applyFont="1" applyFill="1" applyBorder="1" applyAlignment="1" applyProtection="1">
      <alignment horizontal="center"/>
      <protection locked="0"/>
    </xf>
    <xf numFmtId="173" fontId="17" fillId="0" borderId="10" xfId="65" applyNumberFormat="1" applyFont="1" applyFill="1" applyBorder="1" applyProtection="1">
      <alignment/>
      <protection locked="0"/>
    </xf>
    <xf numFmtId="0" fontId="16" fillId="0" borderId="0" xfId="65" applyFont="1" applyFill="1" applyBorder="1" applyProtection="1">
      <alignment/>
      <protection locked="0"/>
    </xf>
    <xf numFmtId="3" fontId="5" fillId="0" borderId="0" xfId="65" applyNumberFormat="1" applyFont="1" applyFill="1" applyProtection="1">
      <alignment/>
      <protection locked="0"/>
    </xf>
    <xf numFmtId="0" fontId="17" fillId="0" borderId="10" xfId="65" applyFont="1" applyFill="1" applyBorder="1" applyProtection="1">
      <alignment/>
      <protection locked="0"/>
    </xf>
    <xf numFmtId="172" fontId="17" fillId="0" borderId="10" xfId="65" applyNumberFormat="1" applyFont="1" applyFill="1" applyBorder="1" applyAlignment="1" applyProtection="1">
      <alignment/>
      <protection locked="0"/>
    </xf>
    <xf numFmtId="0" fontId="17" fillId="0" borderId="0" xfId="66" applyFont="1">
      <alignment/>
      <protection/>
    </xf>
    <xf numFmtId="0" fontId="16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left" vertical="center"/>
    </xf>
    <xf numFmtId="9" fontId="5" fillId="0" borderId="11" xfId="66" applyNumberFormat="1" applyFont="1" applyFill="1" applyBorder="1" applyAlignment="1">
      <alignment horizontal="center" vertical="center"/>
      <protection/>
    </xf>
    <xf numFmtId="3" fontId="16" fillId="2" borderId="10" xfId="67" applyNumberFormat="1" applyFont="1" applyFill="1" applyBorder="1" applyAlignment="1">
      <alignment horizontal="center" vertical="center"/>
      <protection/>
    </xf>
    <xf numFmtId="9" fontId="5" fillId="33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center"/>
    </xf>
    <xf numFmtId="3" fontId="16" fillId="2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center"/>
    </xf>
    <xf numFmtId="9" fontId="5" fillId="0" borderId="10" xfId="0" applyNumberFormat="1" applyFont="1" applyFill="1" applyBorder="1" applyAlignment="1">
      <alignment horizontal="right"/>
    </xf>
    <xf numFmtId="9" fontId="5" fillId="0" borderId="11" xfId="66" applyNumberFormat="1" applyFont="1" applyFill="1" applyBorder="1" applyAlignment="1">
      <alignment vertical="center"/>
      <protection/>
    </xf>
    <xf numFmtId="9" fontId="5" fillId="0" borderId="10" xfId="66" applyNumberFormat="1" applyFont="1" applyFill="1" applyBorder="1" applyAlignment="1">
      <alignment horizontal="center" vertical="center"/>
      <protection/>
    </xf>
    <xf numFmtId="3" fontId="5" fillId="0" borderId="10" xfId="66" applyNumberFormat="1" applyFont="1" applyFill="1" applyBorder="1" applyAlignment="1">
      <alignment horizontal="center" vertical="center"/>
      <protection/>
    </xf>
    <xf numFmtId="3" fontId="17" fillId="0" borderId="10" xfId="66" applyNumberFormat="1" applyFont="1" applyFill="1" applyBorder="1" applyAlignment="1">
      <alignment horizontal="center" vertical="center"/>
      <protection/>
    </xf>
    <xf numFmtId="3" fontId="5" fillId="0" borderId="0" xfId="66" applyNumberFormat="1" applyFont="1">
      <alignment/>
      <protection/>
    </xf>
    <xf numFmtId="9" fontId="5" fillId="33" borderId="10" xfId="76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right" vertical="center"/>
    </xf>
    <xf numFmtId="3" fontId="16" fillId="2" borderId="10" xfId="67" applyNumberFormat="1" applyFont="1" applyFill="1" applyBorder="1" applyAlignment="1">
      <alignment horizontal="center" vertical="center"/>
      <protection/>
    </xf>
    <xf numFmtId="0" fontId="1" fillId="0" borderId="0" xfId="53" applyAlignment="1" applyProtection="1">
      <alignment/>
      <protection/>
    </xf>
    <xf numFmtId="4" fontId="5" fillId="35" borderId="10" xfId="0" applyNumberFormat="1" applyFont="1" applyFill="1" applyBorder="1" applyAlignment="1">
      <alignment/>
    </xf>
    <xf numFmtId="0" fontId="5" fillId="0" borderId="13" xfId="0" applyFont="1" applyBorder="1" applyAlignment="1">
      <alignment vertical="center" wrapText="1"/>
    </xf>
    <xf numFmtId="9" fontId="5" fillId="35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3" fontId="16" fillId="2" borderId="13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/>
    </xf>
    <xf numFmtId="9" fontId="5" fillId="0" borderId="12" xfId="0" applyNumberFormat="1" applyFont="1" applyBorder="1" applyAlignment="1">
      <alignment/>
    </xf>
    <xf numFmtId="0" fontId="5" fillId="0" borderId="10" xfId="71" applyFont="1" applyFill="1" applyBorder="1" applyAlignment="1">
      <alignment horizontal="left" vertical="center"/>
      <protection/>
    </xf>
    <xf numFmtId="177" fontId="16" fillId="0" borderId="0" xfId="0" applyNumberFormat="1" applyFont="1" applyFill="1" applyBorder="1" applyAlignment="1">
      <alignment/>
    </xf>
    <xf numFmtId="0" fontId="5" fillId="0" borderId="10" xfId="66" applyFont="1" applyBorder="1" applyAlignment="1">
      <alignment horizontal="left" vertical="center"/>
      <protection/>
    </xf>
    <xf numFmtId="9" fontId="5" fillId="0" borderId="10" xfId="66" applyNumberFormat="1" applyFont="1" applyFill="1" applyBorder="1" applyAlignment="1">
      <alignment vertical="center"/>
      <protection/>
    </xf>
    <xf numFmtId="3" fontId="16" fillId="3" borderId="13" xfId="0" applyNumberFormat="1" applyFont="1" applyFill="1" applyBorder="1" applyAlignment="1">
      <alignment horizontal="right" vertical="center"/>
    </xf>
    <xf numFmtId="0" fontId="5" fillId="0" borderId="10" xfId="71" applyFont="1" applyFill="1" applyBorder="1" applyAlignment="1">
      <alignment horizontal="left" vertical="top"/>
      <protection/>
    </xf>
    <xf numFmtId="3" fontId="1" fillId="0" borderId="0" xfId="53" applyNumberFormat="1" applyAlignment="1" applyProtection="1">
      <alignment/>
      <protection/>
    </xf>
    <xf numFmtId="0" fontId="16" fillId="0" borderId="13" xfId="70" applyFont="1" applyFill="1" applyBorder="1" applyAlignment="1">
      <alignment horizontal="center" vertical="center" wrapText="1"/>
      <protection/>
    </xf>
    <xf numFmtId="0" fontId="16" fillId="0" borderId="14" xfId="70" applyFont="1" applyFill="1" applyBorder="1" applyAlignment="1">
      <alignment horizontal="center" vertical="center" wrapText="1"/>
      <protection/>
    </xf>
    <xf numFmtId="0" fontId="16" fillId="0" borderId="10" xfId="70" applyFont="1" applyFill="1" applyBorder="1" applyAlignment="1">
      <alignment horizontal="center" vertical="center" wrapText="1"/>
      <protection/>
    </xf>
    <xf numFmtId="172" fontId="16" fillId="34" borderId="17" xfId="70" applyNumberFormat="1" applyFont="1" applyFill="1" applyBorder="1" applyAlignment="1">
      <alignment horizontal="center" vertical="center"/>
      <protection/>
    </xf>
    <xf numFmtId="0" fontId="16" fillId="34" borderId="17" xfId="70" applyFont="1" applyFill="1" applyBorder="1" applyAlignment="1">
      <alignment horizontal="center" vertical="center"/>
      <protection/>
    </xf>
    <xf numFmtId="0" fontId="16" fillId="34" borderId="12" xfId="70" applyFont="1" applyFill="1" applyBorder="1" applyAlignment="1">
      <alignment horizontal="center" vertical="center"/>
      <protection/>
    </xf>
    <xf numFmtId="172" fontId="16" fillId="34" borderId="10" xfId="70" applyNumberFormat="1" applyFont="1" applyFill="1" applyBorder="1" applyAlignment="1">
      <alignment horizontal="center" vertical="center" wrapText="1" shrinkToFit="1"/>
      <protection/>
    </xf>
    <xf numFmtId="0" fontId="16" fillId="34" borderId="18" xfId="70" applyFont="1" applyFill="1" applyBorder="1" applyAlignment="1">
      <alignment horizontal="center" vertical="center" wrapText="1" shrinkToFit="1"/>
      <protection/>
    </xf>
    <xf numFmtId="0" fontId="16" fillId="34" borderId="19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 wrapText="1" shrinkToFit="1"/>
      <protection/>
    </xf>
    <xf numFmtId="0" fontId="16" fillId="34" borderId="14" xfId="70" applyFont="1" applyFill="1" applyBorder="1" applyAlignment="1">
      <alignment horizontal="center" vertical="center" wrapText="1" shrinkToFit="1"/>
      <protection/>
    </xf>
    <xf numFmtId="0" fontId="16" fillId="34" borderId="10" xfId="70" applyFont="1" applyFill="1" applyBorder="1" applyAlignment="1">
      <alignment horizontal="center" vertical="center" wrapText="1" shrinkToFit="1"/>
      <protection/>
    </xf>
    <xf numFmtId="0" fontId="16" fillId="34" borderId="13" xfId="70" applyFont="1" applyFill="1" applyBorder="1" applyAlignment="1">
      <alignment horizontal="center" vertical="center"/>
      <protection/>
    </xf>
    <xf numFmtId="0" fontId="16" fillId="34" borderId="14" xfId="70" applyFont="1" applyFill="1" applyBorder="1" applyAlignment="1">
      <alignment horizontal="center" vertical="center"/>
      <protection/>
    </xf>
    <xf numFmtId="0" fontId="16" fillId="34" borderId="18" xfId="71" applyFont="1" applyFill="1" applyBorder="1" applyAlignment="1">
      <alignment horizontal="center" vertical="center" wrapText="1" shrinkToFit="1"/>
      <protection/>
    </xf>
    <xf numFmtId="0" fontId="16" fillId="34" borderId="19" xfId="71" applyFont="1" applyFill="1" applyBorder="1" applyAlignment="1">
      <alignment horizontal="center" vertical="center" wrapText="1" shrinkToFit="1"/>
      <protection/>
    </xf>
    <xf numFmtId="0" fontId="16" fillId="34" borderId="10" xfId="71" applyFont="1" applyFill="1" applyBorder="1" applyAlignment="1">
      <alignment horizontal="center" vertical="center"/>
      <protection/>
    </xf>
    <xf numFmtId="172" fontId="16" fillId="34" borderId="10" xfId="71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center"/>
    </xf>
    <xf numFmtId="0" fontId="16" fillId="2" borderId="14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34" borderId="18" xfId="71" applyFont="1" applyFill="1" applyBorder="1" applyAlignment="1">
      <alignment horizontal="center" vertical="center"/>
      <protection/>
    </xf>
    <xf numFmtId="0" fontId="16" fillId="34" borderId="19" xfId="71" applyFont="1" applyFill="1" applyBorder="1" applyAlignment="1">
      <alignment horizontal="center" vertical="center"/>
      <protection/>
    </xf>
    <xf numFmtId="0" fontId="16" fillId="34" borderId="13" xfId="71" applyFont="1" applyFill="1" applyBorder="1" applyAlignment="1">
      <alignment horizontal="center" vertical="center" wrapText="1"/>
      <protection/>
    </xf>
    <xf numFmtId="0" fontId="16" fillId="34" borderId="14" xfId="7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16" fillId="0" borderId="10" xfId="71" applyFont="1" applyFill="1" applyBorder="1" applyAlignment="1">
      <alignment horizontal="center" vertical="center" wrapText="1"/>
      <protection/>
    </xf>
    <xf numFmtId="172" fontId="16" fillId="34" borderId="11" xfId="70" applyNumberFormat="1" applyFont="1" applyFill="1" applyBorder="1" applyAlignment="1">
      <alignment horizontal="center" vertical="center" wrapText="1" shrinkToFit="1"/>
      <protection/>
    </xf>
    <xf numFmtId="172" fontId="16" fillId="34" borderId="17" xfId="70" applyNumberFormat="1" applyFont="1" applyFill="1" applyBorder="1" applyAlignment="1">
      <alignment horizontal="center" vertical="center" wrapText="1" shrinkToFit="1"/>
      <protection/>
    </xf>
    <xf numFmtId="172" fontId="16" fillId="34" borderId="12" xfId="70" applyNumberFormat="1" applyFont="1" applyFill="1" applyBorder="1" applyAlignment="1">
      <alignment horizontal="center" vertical="center" wrapText="1" shrinkToFit="1"/>
      <protection/>
    </xf>
    <xf numFmtId="0" fontId="16" fillId="34" borderId="10" xfId="0" applyFont="1" applyFill="1" applyBorder="1" applyAlignment="1">
      <alignment horizontal="left" vertical="center"/>
    </xf>
    <xf numFmtId="0" fontId="16" fillId="34" borderId="10" xfId="0" applyFont="1" applyFill="1" applyBorder="1" applyAlignment="1">
      <alignment horizontal="center" vertical="center" wrapText="1" shrinkToFit="1"/>
    </xf>
    <xf numFmtId="0" fontId="16" fillId="34" borderId="10" xfId="0" applyFont="1" applyFill="1" applyBorder="1" applyAlignment="1">
      <alignment horizontal="center" vertical="center" wrapText="1"/>
    </xf>
    <xf numFmtId="0" fontId="16" fillId="2" borderId="13" xfId="67" applyFont="1" applyFill="1" applyBorder="1" applyAlignment="1">
      <alignment horizontal="left" vertical="center"/>
      <protection/>
    </xf>
    <xf numFmtId="0" fontId="16" fillId="2" borderId="14" xfId="67" applyFont="1" applyFill="1" applyBorder="1" applyAlignment="1">
      <alignment horizontal="left" vertical="center"/>
      <protection/>
    </xf>
    <xf numFmtId="3" fontId="16" fillId="2" borderId="11" xfId="67" applyNumberFormat="1" applyFont="1" applyFill="1" applyBorder="1" applyAlignment="1">
      <alignment horizontal="center" vertical="center"/>
      <protection/>
    </xf>
    <xf numFmtId="3" fontId="16" fillId="2" borderId="17" xfId="67" applyNumberFormat="1" applyFont="1" applyFill="1" applyBorder="1" applyAlignment="1">
      <alignment horizontal="center" vertical="center"/>
      <protection/>
    </xf>
    <xf numFmtId="3" fontId="16" fillId="2" borderId="12" xfId="67" applyNumberFormat="1" applyFont="1" applyFill="1" applyBorder="1" applyAlignment="1">
      <alignment horizontal="center" vertical="center"/>
      <protection/>
    </xf>
  </cellXfs>
  <cellStyles count="76">
    <cellStyle name="Normal" xfId="0"/>
    <cellStyle name="_Бюджет_2007_3_22,12,06 вар.после набл.совета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Euro" xfId="34"/>
    <cellStyle name="Flag" xfId="35"/>
    <cellStyle name="Milliers [0]_JULY97" xfId="36"/>
    <cellStyle name="Milliers_JULY97" xfId="37"/>
    <cellStyle name="Monétaire [0]_JULY97" xfId="38"/>
    <cellStyle name="Monétaire_JULY97" xfId="39"/>
    <cellStyle name="Normal_Assump." xfId="40"/>
    <cellStyle name="Option" xfId="41"/>
    <cellStyle name="Price" xfId="42"/>
    <cellStyle name="Unit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Алтын-ОрдаНовыйБП" xfId="64"/>
    <cellStyle name="Обычный_Алтын-ОрдаНовыйБП 2" xfId="65"/>
    <cellStyle name="Обычный_БП кир завод 3.3  (40 млн. +20 забут реал на 18.07.06 для АФ увел курс)" xfId="66"/>
    <cellStyle name="Обычный_Копия cityrus4-18 лет СМР 52 млн $" xfId="67"/>
    <cellStyle name="Обычный_НовыйМир" xfId="68"/>
    <cellStyle name="Обычный_ПереченьКЗ" xfId="69"/>
    <cellStyle name="Обычный_Формы отчетов" xfId="70"/>
    <cellStyle name="Обычный_Формы отчетов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Процентный 2" xfId="77"/>
    <cellStyle name="Связанная ячейка" xfId="78"/>
    <cellStyle name="Стиль 1" xfId="79"/>
    <cellStyle name="Текст предупреждения" xfId="80"/>
    <cellStyle name="Тысячи [0]" xfId="81"/>
    <cellStyle name="Comma" xfId="82"/>
    <cellStyle name="Comma [0]" xfId="83"/>
    <cellStyle name="Хороший" xfId="84"/>
    <cellStyle name="桁区切り [0.00]_PERSONAL" xfId="85"/>
    <cellStyle name="桁区切り_PERSONAL" xfId="86"/>
    <cellStyle name="標準_PERSONAL" xfId="87"/>
    <cellStyle name="通貨 [0.00]_PERSONAL" xfId="88"/>
    <cellStyle name="通貨_PERSON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externalLink" Target="externalLinks/externalLink24.xml" /><Relationship Id="rId40" Type="http://schemas.openxmlformats.org/officeDocument/2006/relationships/externalLink" Target="externalLinks/externalLink25.xml" /><Relationship Id="rId41" Type="http://schemas.openxmlformats.org/officeDocument/2006/relationships/externalLink" Target="externalLinks/externalLink26.xml" /><Relationship Id="rId42" Type="http://schemas.openxmlformats.org/officeDocument/2006/relationships/externalLink" Target="externalLinks/externalLink27.xml" /><Relationship Id="rId43" Type="http://schemas.openxmlformats.org/officeDocument/2006/relationships/externalLink" Target="externalLinks/externalLink28.xml" /><Relationship Id="rId44" Type="http://schemas.openxmlformats.org/officeDocument/2006/relationships/externalLink" Target="externalLinks/externalLink29.xml" /><Relationship Id="rId45" Type="http://schemas.openxmlformats.org/officeDocument/2006/relationships/externalLink" Target="externalLinks/externalLink30.xml" /><Relationship Id="rId46" Type="http://schemas.openxmlformats.org/officeDocument/2006/relationships/externalLink" Target="externalLinks/externalLink31.xml" /><Relationship Id="rId47" Type="http://schemas.openxmlformats.org/officeDocument/2006/relationships/externalLink" Target="externalLinks/externalLink32.xml" /><Relationship Id="rId48" Type="http://schemas.openxmlformats.org/officeDocument/2006/relationships/externalLink" Target="externalLinks/externalLink33.xml" /><Relationship Id="rId49" Type="http://schemas.openxmlformats.org/officeDocument/2006/relationships/externalLink" Target="externalLinks/externalLink34.xml" /><Relationship Id="rId50" Type="http://schemas.openxmlformats.org/officeDocument/2006/relationships/externalLink" Target="externalLinks/externalLink35.xml" /><Relationship Id="rId51" Type="http://schemas.openxmlformats.org/officeDocument/2006/relationships/externalLink" Target="externalLinks/externalLink36.xml" /><Relationship Id="rId52" Type="http://schemas.openxmlformats.org/officeDocument/2006/relationships/externalLink" Target="externalLinks/externalLink37.xml" /><Relationship Id="rId53" Type="http://schemas.openxmlformats.org/officeDocument/2006/relationships/externalLink" Target="externalLinks/externalLink38.xml" /><Relationship Id="rId54" Type="http://schemas.openxmlformats.org/officeDocument/2006/relationships/externalLink" Target="externalLinks/externalLink39.xml" /><Relationship Id="rId55" Type="http://schemas.openxmlformats.org/officeDocument/2006/relationships/externalLink" Target="externalLinks/externalLink40.xml" /><Relationship Id="rId56" Type="http://schemas.openxmlformats.org/officeDocument/2006/relationships/externalLink" Target="externalLinks/externalLink41.xml" /><Relationship Id="rId57" Type="http://schemas.openxmlformats.org/officeDocument/2006/relationships/externalLink" Target="externalLinks/externalLink42.xml" /><Relationship Id="rId58" Type="http://schemas.openxmlformats.org/officeDocument/2006/relationships/externalLink" Target="externalLinks/externalLink43.xml" /><Relationship Id="rId59" Type="http://schemas.openxmlformats.org/officeDocument/2006/relationships/externalLink" Target="externalLinks/externalLink44.xml" /><Relationship Id="rId60" Type="http://schemas.openxmlformats.org/officeDocument/2006/relationships/externalLink" Target="externalLinks/externalLink45.xml" /><Relationship Id="rId61" Type="http://schemas.openxmlformats.org/officeDocument/2006/relationships/externalLink" Target="externalLinks/externalLink46.xml" /><Relationship Id="rId62" Type="http://schemas.openxmlformats.org/officeDocument/2006/relationships/externalLink" Target="externalLinks/externalLink47.xml" /><Relationship Id="rId63" Type="http://schemas.openxmlformats.org/officeDocument/2006/relationships/externalLink" Target="externalLinks/externalLink48.xml" /><Relationship Id="rId64" Type="http://schemas.openxmlformats.org/officeDocument/2006/relationships/externalLink" Target="externalLinks/externalLink49.xml" /><Relationship Id="rId65" Type="http://schemas.openxmlformats.org/officeDocument/2006/relationships/externalLink" Target="externalLinks/externalLink50.xml" /><Relationship Id="rId66" Type="http://schemas.openxmlformats.org/officeDocument/2006/relationships/externalLink" Target="externalLinks/externalLink51.xml" /><Relationship Id="rId67" Type="http://schemas.openxmlformats.org/officeDocument/2006/relationships/externalLink" Target="externalLinks/externalLink52.xml" /><Relationship Id="rId68" Type="http://schemas.openxmlformats.org/officeDocument/2006/relationships/externalLink" Target="externalLinks/externalLink53.xml" /><Relationship Id="rId69" Type="http://schemas.openxmlformats.org/officeDocument/2006/relationships/externalLink" Target="externalLinks/externalLink54.xml" /><Relationship Id="rId70" Type="http://schemas.openxmlformats.org/officeDocument/2006/relationships/externalLink" Target="externalLinks/externalLink55.xml" /><Relationship Id="rId71" Type="http://schemas.openxmlformats.org/officeDocument/2006/relationships/externalLink" Target="externalLinks/externalLink56.xml" /><Relationship Id="rId72" Type="http://schemas.openxmlformats.org/officeDocument/2006/relationships/externalLink" Target="externalLinks/externalLink57.xml" /><Relationship Id="rId73" Type="http://schemas.openxmlformats.org/officeDocument/2006/relationships/externalLink" Target="externalLinks/externalLink58.xml" /><Relationship Id="rId74" Type="http://schemas.openxmlformats.org/officeDocument/2006/relationships/externalLink" Target="externalLinks/externalLink59.xml" /><Relationship Id="rId75" Type="http://schemas.openxmlformats.org/officeDocument/2006/relationships/externalLink" Target="externalLinks/externalLink60.xml" /><Relationship Id="rId76" Type="http://schemas.openxmlformats.org/officeDocument/2006/relationships/externalLink" Target="externalLinks/externalLink61.xml" /><Relationship Id="rId77" Type="http://schemas.openxmlformats.org/officeDocument/2006/relationships/externalLink" Target="externalLinks/externalLink62.xml" /><Relationship Id="rId78" Type="http://schemas.openxmlformats.org/officeDocument/2006/relationships/externalLink" Target="externalLinks/externalLink63.xml" /><Relationship Id="rId79" Type="http://schemas.openxmlformats.org/officeDocument/2006/relationships/externalLink" Target="externalLinks/externalLink64.xml" /><Relationship Id="rId80" Type="http://schemas.openxmlformats.org/officeDocument/2006/relationships/externalLink" Target="externalLinks/externalLink65.xml" /><Relationship Id="rId81" Type="http://schemas.openxmlformats.org/officeDocument/2006/relationships/externalLink" Target="externalLinks/externalLink66.xml" /><Relationship Id="rId82" Type="http://schemas.openxmlformats.org/officeDocument/2006/relationships/externalLink" Target="externalLinks/externalLink67.xml" /><Relationship Id="rId83" Type="http://schemas.openxmlformats.org/officeDocument/2006/relationships/externalLink" Target="externalLinks/externalLink68.xml" /><Relationship Id="rId84" Type="http://schemas.openxmlformats.org/officeDocument/2006/relationships/externalLink" Target="externalLinks/externalLink69.xml" /><Relationship Id="rId85" Type="http://schemas.openxmlformats.org/officeDocument/2006/relationships/externalLink" Target="externalLinks/externalLink70.xml" /><Relationship Id="rId8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74;&#1089;&#1103;&#1082;&#1080;&#1081;%20&#1073;&#1091;&#1090;&#1086;&#1088;\SYS\98WIN\TEMP\&#1055;&#1088;&#1080;&#1083;&#1086;&#1078;&#1077;&#1085;&#1080;&#1077;%201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7;&#1077;&#1088;&#1085;&#1086;&#1074;&#1072;&#1103;_&#1051;&#1050;\Proj_&#1047;&#1051;&#1050;_&#1087;&#1096;&#1077;&#1085;&#1080;&#1094;&#1072;_50%_&#1083;&#1080;&#1079;_&#1087;&#1083;&#1072;&#109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AL_&#1047;&#1077;&#1088;&#1085;&#1051;&#105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~1\GH_KUS~1\LOCALS~1\Temp\bat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usmanov\&#1052;&#1086;&#1080;%20&#1076;&#1086;&#1082;&#1091;&#1084;&#1077;&#1085;&#1090;&#1099;\Documents%20and%20Settings\kusmanov\Desktop\&#1069;&#1082;&#1086;&#1090;&#1086;&#1085;+_&#1040;&#1082;&#1090;&#1102;&#1073;&#1080;&#1085;&#1089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64;&#1072;&#1073;&#1083;&#1086;&#1085;&#1099;\&#1064;&#1072;&#1073;&#1083;&#1086;&#1085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1;&#1044;&#1050;%20&#1060;3+&#1060;2%20&#1073;&#1077;&#1079;%20&#1048;&#1060;&#105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55;&#1088;&#1086;&#1095;&#1080;&#1077;%20&#1087;&#1088;&#1086;&#1077;&#1082;&#1090;&#1099;\&#1050;&#1072;&#1092;&#1077;\&#1058;&#1069;&#1054;%2010.09.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52;&#1051;&#1044;&#1050;%20&#1060;3+&#1060;2%20&#1073;&#1077;&#1079;%20&#1048;&#1060;&#105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56;&#1054;&#1045;&#1050;&#1058;&#1067;\&#1041;&#1055;%20&#1070;&#1076;&#1072;&#1096;&#1082;&#1080;&#1085;\&#1070;&#1076;&#1072;&#1096;&#1082;&#1080;&#1085;%20&#1075;&#1086;&#1090;&#1086;&#1074;&#1099;&#1081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q\&#1056;&#1072;&#1073;&#1086;&#1095;&#1080;&#1081;%20&#1089;&#1090;&#1086;&#1083;\&#1056;&#1040;&#1057;&#1063;&#1045;&#1058;&#10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54;&#1073;&#1097;&#1080;&#1077;%20&#1076;&#1086;&#1082;&#1091;&#1084;&#1077;&#1085;&#1090;&#1099;\Documents%20and%20Settings\k_abdrahmanov\&#1056;&#1072;&#1073;&#1086;&#1095;&#1080;&#1081;%20&#1089;&#1090;&#1086;&#1083;\&#1048;&#1085;&#1092;&#1086;%20&#1040;&#1082;&#1090;&#1086;&#1073;&#1077;\&#1085;&#1086;&#1074;&#1099;&#1081;%20&#1041;&#1055;%20%20&#1080;&#1089;&#1087;&#1088;%20&#1089;%20&#1091;&#1095;.%20&#1092;&#1080;&#1085;.%20NB%2007.02.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erver\monitoring\Shared\&#1050;&#1086;&#1087;&#1080;&#1103;%20&#1056;&#1077;&#1085;&#1090;&#1072;&#1073;&#1077;&#1083;&#1100;&#1085;&#1086;&#1089;&#1090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I_FROL~1\LOCALS~1\Temp\bat\ENKI\&#1053;&#1077;&#1088;&#1091;&#1076;%20&#1084;&#1086;&#1080;%20&#1088;&#1072;&#1089;&#1095;&#1105;&#1090;&#1099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6A75EE9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est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G_SVEC~1\LOCALS~1\Temp\bat\15E674E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m_anfinogenov\&#1056;&#1072;&#1073;&#1086;&#1095;&#1080;&#1081;%20&#1089;&#1090;&#1086;&#1083;\&#1047;&#1086;&#1083;&#1086;&#1090;&#1086;&#1081;%20&#1087;&#1088;&#1080;&#1080;&#1089;&#1082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2;&#1051;&#1044;&#1050;%20&#1060;3+&#1060;2%20&#1073;&#1077;&#1079;%20&#1048;&#1060;&#1050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6A75EE9B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WINDOWS\TEMP\Rar$DI01.712\&#1069;&#1082;&#1086;&#1090;&#1086;&#1085;%2011.03.04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40;&#1085;&#1092;&#1080;&#1085;&#1086;&#1075;&#1077;&#1085;&#1086;&#1074;\&#1056;&#1072;&#1089;&#1095;&#1077;&#1090;&#1099;,%20&#1041;&#1055;\&#1052;&#1080;&#1085;&#1080;&#1084;&#1072;&#1088;&#1082;&#1077;&#1090;%20&#1085;&#1072;%205%20&#1084;&#1083;&#1085;\&#1056;&#1072;&#1089;&#1095;&#1077;&#1090;%20&#1087;&#1086;%20&#1084;&#1080;&#1085;&#1080;&#1084;&#1072;&#1088;&#1082;&#1077;&#1090;&#1091;%2011,5%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I_FROL~1\LOCALS~1\Temp\bat\ENKI\&#1053;&#1077;&#1088;&#1091;&#1076;%20&#1084;&#1086;&#1080;%20&#1088;&#1072;&#1089;&#1095;&#1105;&#1090;&#1099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G_SVEC~1\LOCALS~1\Temp\bat\15E674E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03_&#1040;&#1082;&#1089;&#1091;&#1072;&#1090;&#1089;&#1082;&#1080;&#1081;%20&#1101;&#1083;&#1077;&#1074;&#1072;&#1090;&#1086;&#1088;+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65_&#1069;&#1083;&#1077;&#1074;&#1072;&#1090;&#1086;&#1088;&#1099;\_&#1056;&#1072;&#1089;&#1095;&#1077;&#1090;&#1099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6A75EE9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0;&#1091;&#1089;&#1084;&#1072;&#1085;&#1086;&#1074;%20&#1046;&#1077;&#1085;&#1080;&#1089;%20&#1050;&#1072;&#1081;&#1088;&#1073;&#1072;&#1077;&#1074;&#1080;&#1095;\&#1041;&#1055;%20&#1097;&#1077;&#1073;&#1077;&#1085;&#1100;%201.05%20&#1076;&#1083;&#1103;%20&#1041;&#1058;&#1040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51;&#1044;&#1050;%20&#1060;3+&#1060;2%20&#1073;&#1077;&#1079;%20&#1048;&#1060;&#1050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6;&#1072;&#1089;&#1095;&#1077;&#1090;%20&#1090;&#1077;&#1082;&#1089;&#1090;&#1080;&#1083;&#1100;_&#1089;%20&#1082;&#1086;&#1088;_01.05.1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test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I_FROL~1\LOCALS~1\Temp\bat\ENKI\&#1053;&#1077;&#1088;&#1091;&#1076;%20&#1084;&#1086;&#1080;%20&#1088;&#1072;&#1089;&#1095;&#1105;&#1090;&#1099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~1\G_SVEC~1\LOCALS~1\Temp\bat\15E674EE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09-2010\21_&#1058;&#1077;&#1082;&#1089;&#1090;&#1080;&#1083;&#1100;&#1085;&#1072;&#1103;%20&#1092;&#1072;&#1073;&#1088;&#1080;&#1082;&#107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6;&#1072;&#1089;&#1095;&#1077;&#1090;%20&#1072;&#1087;&#1090;&#1077;&#1082;&#1080;+&#1086;&#1087;&#1090;.&#1089;&#1082;&#1083;&#1072;&#1076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b_altynbai\&#1052;&#1086;&#1080;%20&#1076;&#1086;&#1082;&#1091;&#1084;&#1077;&#1085;&#1090;&#1099;\&#1052;&#1086;&#1080;%20&#1087;&#1088;&#1086;&#1077;&#1082;&#1090;&#1099;\&#1060;&#1072;&#1088;&#1084;%20&#1043;&#1083;&#1072;&#1089;&#1089;\+&#1058;&#1041;&#1054;-&#1040;&#1082;&#1090;&#1086;&#1073;&#1077;_board\&#1047;&#1072;&#1082;&#1083;&#1102;&#1095;&#1077;&#1085;&#1080;&#1077;\&#1041;&#1055;%20&#1058;&#1041;&#1054;%20&#1040;&#1082;&#1090;&#1086;&#1073;&#107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2;&#1051;&#1044;&#1050;\&#1056;&#1072;&#1089;&#1095;&#1077;&#1090;&#1099;\&#1056;&#1072;&#1089;&#1095;&#1077;&#1090;%20&#1087;&#1086;%20&#1082;&#1088;&#1077;&#1076;&#1080;&#1090;&#1072;&#1084;%20&#1040;&#1060;\&#1043;&#1088;&#1072;&#1092;&#1080;&#1082;&#1080;%20&#1086;&#1090;%20&#1040;&#1060;\&#1057;&#1074;&#1086;&#1076;_&#1043;&#1088;&#1072;&#1092;&#1080;&#1082;&#1080;%20&#1087;&#1086;%20ICCM_&#1074;&#1077;&#1088;&#1089;&#1080;&#1103;%20&#1040;&#1060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G_Ibraeva\&#1056;&#1072;&#1073;&#1086;&#1095;&#1080;&#1081;%20&#1089;&#1090;&#1086;&#1083;\DOCUME~1\AHMETO~1\LOCALS~1\Temp\Rar$DI00.531\&#1041;&#1102;&#1076;&#1078;&#1077;&#1090;&#1055;&#1088;&#1086;&#1076;&#1072;&#1078;&#1042;&#1085;&#1077;&#1096;&#1085;&#1080;&#1081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6A75EE9B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3;&#1077;&#1088;&#1091;&#1076;-&#1050;&#1086;&#1096;&#1077;&#1090;&#1072;&#1091;\&#1053;&#1077;&#1088;&#1091;&#1076;\&#1050;&#1086;&#1088;&#1088;&#1077;&#1082;&#1090;&#1080;&#1088;&#1086;&#1074;&#1082;&#1072;%202-&#1086;&#1077;%20&#1087;&#1086;&#1083;&#1091;&#1075;&#1086;&#1076;&#1080;&#1077;%202007%20&#1075;\&#1041;&#1102;&#1076;&#1078;&#1077;&#1090;%20&#1085;&#1072;%202-%20&#1086;&#1077;%20&#1087;&#1086;&#1083;&#1091;&#1075;&#1086;&#1076;&#1080;&#1077;%202007%20&#1075;.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74;%20&#1060;&#1056;&#1052;&#1055;\&#1088;&#1072;&#1089;&#1095;&#1077;&#1090;%20&#1080;&#1079;&#1084;&#1077;&#1085;&#1077;&#1085;&#1080;&#1081;%20&#1074;%20&#1076;&#1086;&#1075;%20&#1060;&#1051;1_2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51;&#1044;&#1050;%20&#1060;3+&#1060;2%20&#1073;&#1077;&#1079;%20&#1048;&#1060;&#1050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test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I_FROL~1\LOCALS~1\Temp\bat\ENKI\&#1053;&#1077;&#1088;&#1091;&#1076;%20&#1084;&#1086;&#1080;%20&#1088;&#1072;&#1089;&#1095;&#1105;&#1090;&#1099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~1\G_SVEC~1\LOCALS~1\Temp\bat\15E674E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Documents%20and%20Settings\&#1040;&#1076;&#1084;&#1080;&#1085;&#1080;&#1089;&#1090;&#1088;&#1072;&#1090;&#1086;&#1088;\&#1056;&#1072;&#1073;&#1086;&#1095;&#1080;&#1081;%20&#1089;&#1090;&#1086;&#1083;\&#1041;&#1055;\&#1041;&#1055;%20&#1082;&#1080;&#1088;%20&#1079;&#1072;&#1074;&#1086;&#1076;%203.3%20%20(40%20&#1084;&#1083;&#1085;.%20+20%20&#1079;&#1072;&#1073;&#1091;&#1090;%20&#1088;&#1077;&#1072;&#1083;%20&#1085;&#1072;%2018.07.06%20&#1076;&#1083;&#1103;%20&#1040;&#1060;%20&#1091;&#1074;&#1077;&#1083;%20&#1082;&#1091;&#1088;&#1089;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Documents%20and%20Settings\kusmanov\&#1052;&#1086;&#1080;%20&#1076;&#1086;&#1082;&#1091;&#1084;&#1077;&#1085;&#1090;&#1099;\&#1048;&#1085;&#1092;&#1086;&#1088;&#1084;\&#1041;&#1087;%20breton\&#1041;&#1087;%20breton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2;&#1080;&#1093;&#1072;&#1080;&#1083;\Documents\&#1044;&#1086;&#1082;&#1091;&#1084;&#1077;&#1085;&#1090;&#1099;%20&#1040;&#1085;&#1092;&#1080;&#1085;&#1086;&#1075;&#1077;&#1085;&#1086;&#1074;\&#1056;&#1072;&#1089;&#1095;&#1077;&#1090;&#1099;,%20&#1041;&#1055;\2010-2011\37_&#1057;&#1077;&#1090;&#1100;%20&#1072;&#1087;&#1090;&#1077;&#1082;\&#1052;&#1086;&#1080;%20&#1076;&#1086;&#1082;&#1091;&#1084;&#1077;&#1085;&#1090;&#1099;\&#1055;&#1088;&#1086;&#1077;&#1082;&#1090;&#1099;\&#1050;&#1080;&#1088;&#1087;&#1080;&#1095;\&#1041;&#1080;&#1079;&#1085;&#1077;&#1089;-&#1087;&#1083;&#1072;&#1085;\&#1041;&#1055;%20&#1082;&#1080;&#1088;%20&#1079;&#1072;&#1074;&#1086;&#1076;%204%20%20(14.01.08)%20&#1087;&#1077;&#1089;&#1089;&#1080;&#10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dc\&#1086;&#1073;&#1097;&#1080;&#1077;%20&#1076;&#1086;&#1082;&#1091;&#1084;&#1077;&#1085;&#1090;&#1099;\&#1052;&#1086;&#1080;%20&#1076;&#1086;&#1082;&#1091;&#1084;&#1077;&#1085;&#1090;&#1099;\&#1041;%20&#1055;\&#1047;&#1072;&#1074;&#1086;&#1076;%20&#1084;&#1080;&#1085;&#1077;&#1088;&#1072;&#1083;&#1086;&#1074;&#1072;&#1090;&#1085;&#1099;&#1093;%20&#1080;&#1079;&#1076;&#1077;&#1083;&#1080;&#1081;\Proj_&#1057;&#1072;&#1088;&#1076;&#1072;&#1083;&#107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shpan_zh\temp\ERLAN\Zakluchenia\&#1040;&#1050;&#1058;&#1048;&#1042;\Proj_&#1040;&#1050;&#1058;&#1048;&#1042;_7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МЗ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схД+"/>
      <sheetName val="КапЗатр+"/>
      <sheetName val="Вып1+"/>
      <sheetName val="Капит_1"/>
      <sheetName val="Вып2"/>
      <sheetName val="Капит_2"/>
      <sheetName val="Вып3"/>
      <sheetName val="Капит_3"/>
      <sheetName val="Вып4"/>
      <sheetName val="Капит_4"/>
      <sheetName val="СвВып+"/>
      <sheetName val="Аморт"/>
      <sheetName val="ВырРеал+"/>
      <sheetName val="Зерно"/>
      <sheetName val="Зерно_1"/>
      <sheetName val="Себест+"/>
      <sheetName val="ОбКап+"/>
      <sheetName val="Нетто3!!!"/>
      <sheetName val="отчприб1"/>
      <sheetName val="РостАкт+"/>
      <sheetName val="Приб+"/>
      <sheetName val="ПотокНал+"/>
      <sheetName val="потокден1"/>
      <sheetName val="ФинПок+"/>
      <sheetName val="Налоги"/>
      <sheetName val="СтоимПр1+"/>
      <sheetName val="СтоимПр2"/>
      <sheetName val="ЗЛК_осн"/>
      <sheetName val="ЗЛК_%"/>
      <sheetName val="ЗЛК_цена"/>
      <sheetName val="Не_удалять!!!"/>
      <sheetName val="Графики"/>
      <sheetName val="ПрогБал"/>
      <sheetName val="КоэфЧувств-ти"/>
      <sheetName val="РезЧувств"/>
      <sheetName val="Залог"/>
      <sheetName val="РискЗалога"/>
      <sheetName val="РезЗал"/>
      <sheetName val="Чувств1"/>
      <sheetName val="Чувств1-1"/>
      <sheetName val="Чувств1-2"/>
      <sheetName val="Чувств2"/>
      <sheetName val="Чувств2-1"/>
      <sheetName val="Чувств2-2"/>
      <sheetName val="Чувств3"/>
      <sheetName val="Чувтсв3-1"/>
      <sheetName val="Чувств3-2"/>
      <sheetName val="Чувств4"/>
      <sheetName val="Чувств4-1"/>
      <sheetName val="Чувств4-2"/>
      <sheetName val="Чувств5"/>
      <sheetName val="IRR"/>
    </sheetNames>
    <sheetDataSet>
      <sheetData sheetId="0">
        <row r="2">
          <cell r="A2" t="str">
            <v>Проект "Передача с/х техники на лизинговой основе зернопроизводителям Акмолинской, Костанайской и Северо-Казахстанской областей.</v>
          </cell>
        </row>
      </sheetData>
      <sheetData sheetId="17">
        <row r="2">
          <cell r="A2" t="str">
            <v>Наименование предприятия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сх докум"/>
      <sheetName val="Указатель"/>
      <sheetName val="Б1"/>
      <sheetName val="О1"/>
      <sheetName val="Б2"/>
      <sheetName val="О2"/>
      <sheetName val="Б3!!!"/>
      <sheetName val="О3!!!"/>
      <sheetName val="Исх.1"/>
      <sheetName val="Исх.2"/>
      <sheetName val="Исх.3!!!"/>
      <sheetName val="Нетто1"/>
      <sheetName val="Нетто2"/>
      <sheetName val="Нетто3!!!"/>
      <sheetName val="Гориз"/>
      <sheetName val="Верт!!!"/>
      <sheetName val="К-ф!!!"/>
      <sheetName val="Активы (размещ)!!!"/>
      <sheetName val="Уровень показателей!!!"/>
      <sheetName val="Фин. ресурсы!!!"/>
      <sheetName val="Наличие об ср-в!!!"/>
      <sheetName val="Кт!!!"/>
      <sheetName val="Дин. оборотн. ср-в!!!"/>
      <sheetName val="Дт"/>
      <sheetName val="Ликв баланса!!!"/>
      <sheetName val="Самофинанс!!!"/>
      <sheetName val="Рынок сырья"/>
      <sheetName val="Вид продукции"/>
      <sheetName val="Справка_НБ"/>
      <sheetName val="Анализ"/>
      <sheetName val="Показатели"/>
      <sheetName val="Модуль2"/>
      <sheetName val="Аванс кап"/>
      <sheetName val="Текст"/>
    </sheetNames>
    <sheetDataSet>
      <sheetData sheetId="3">
        <row r="6">
          <cell r="B6" t="str">
            <v>услуги по аренде машин оборудования без оператора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</sheetData>
      <sheetData sheetId="7">
        <row r="58">
          <cell r="C58">
            <v>0</v>
          </cell>
        </row>
      </sheetData>
      <sheetData sheetId="19">
        <row r="18">
          <cell r="E18" t="e">
            <v>#DIV/0!</v>
          </cell>
        </row>
      </sheetData>
      <sheetData sheetId="23">
        <row r="17">
          <cell r="B17">
            <v>0</v>
          </cell>
          <cell r="F17">
            <v>0</v>
          </cell>
        </row>
        <row r="18">
          <cell r="B18">
            <v>0</v>
          </cell>
          <cell r="F18">
            <v>26676.6</v>
          </cell>
        </row>
        <row r="19">
          <cell r="B19">
            <v>0</v>
          </cell>
          <cell r="F19">
            <v>8.2</v>
          </cell>
        </row>
        <row r="20">
          <cell r="B20">
            <v>0</v>
          </cell>
          <cell r="F20">
            <v>0</v>
          </cell>
        </row>
        <row r="25">
          <cell r="B25">
            <v>0</v>
          </cell>
          <cell r="F25">
            <v>296249.3</v>
          </cell>
        </row>
        <row r="26">
          <cell r="B26">
            <v>0</v>
          </cell>
          <cell r="F26">
            <v>1718930</v>
          </cell>
        </row>
        <row r="27">
          <cell r="B27">
            <v>0</v>
          </cell>
          <cell r="F27">
            <v>0</v>
          </cell>
        </row>
        <row r="28">
          <cell r="B28">
            <v>0</v>
          </cell>
          <cell r="F28">
            <v>0</v>
          </cell>
        </row>
        <row r="29">
          <cell r="B29">
            <v>0</v>
          </cell>
          <cell r="F29">
            <v>11298.7</v>
          </cell>
        </row>
        <row r="30">
          <cell r="B30">
            <v>0</v>
          </cell>
          <cell r="F30">
            <v>0</v>
          </cell>
        </row>
        <row r="31">
          <cell r="B31">
            <v>0</v>
          </cell>
          <cell r="F31">
            <v>12793.8</v>
          </cell>
        </row>
        <row r="33">
          <cell r="B33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2">
          <cell r="C2">
            <v>32.173913043478265</v>
          </cell>
        </row>
        <row r="4">
          <cell r="C4">
            <v>127</v>
          </cell>
        </row>
        <row r="6">
          <cell r="C6">
            <v>5000000</v>
          </cell>
        </row>
        <row r="7">
          <cell r="C7">
            <v>60000000</v>
          </cell>
        </row>
        <row r="8">
          <cell r="C8">
            <v>161</v>
          </cell>
        </row>
        <row r="13">
          <cell r="C13">
            <v>22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6 год"/>
      <sheetName val="График 2007 год"/>
      <sheetName val="Баланс прибылей"/>
      <sheetName val="cash-flow"/>
      <sheetName val="Форма №1"/>
      <sheetName val="Форма №2"/>
      <sheetName val="Врем.смета"/>
      <sheetName val="Форма №3"/>
      <sheetName val="Приобретение О.С."/>
      <sheetName val="Лист1"/>
      <sheetName val="Лизинг"/>
      <sheetName val="Кредит КБ"/>
      <sheetName val="Кредит СЗБ (А-Ф)"/>
      <sheetName val="Кредит доп"/>
      <sheetName val="Кредит доп2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45">
          <cell r="P45">
            <v>140</v>
          </cell>
        </row>
        <row r="47">
          <cell r="P47">
            <v>0.15</v>
          </cell>
        </row>
        <row r="48">
          <cell r="P48">
            <v>0.16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инпоки1"/>
      <sheetName val="ф3 2"/>
      <sheetName val="ф2 3"/>
      <sheetName val="Площади 4"/>
      <sheetName val="Кап.затр 5"/>
      <sheetName val="Доходы 6"/>
      <sheetName val="кредит 7"/>
      <sheetName val="Аморт 8"/>
      <sheetName val="Пост.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Ф3"/>
      <sheetName val="ф2"/>
      <sheetName val="кр"/>
      <sheetName val="График"/>
      <sheetName val="пост"/>
      <sheetName val="безубыт"/>
      <sheetName val="сметы работ"/>
      <sheetName val="исх"/>
      <sheetName val="штат"/>
      <sheetName val="дох"/>
      <sheetName val="расх матер"/>
      <sheetName val="амор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ер"/>
      <sheetName val="Пост"/>
      <sheetName val="Инв"/>
      <sheetName val="NPV"/>
      <sheetName val="График"/>
      <sheetName val="Пост."/>
    </sheetNames>
    <sheetDataSet>
      <sheetData sheetId="1">
        <row r="9">
          <cell r="C9">
            <v>0.13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"/>
      <sheetName val="Данные,рентаб"/>
      <sheetName val="Оценка"/>
      <sheetName val="Финпоказатели"/>
      <sheetName val="ЧП"/>
      <sheetName val="IRR NPV"/>
      <sheetName val="Ф3"/>
      <sheetName val="Ф2-баланс"/>
      <sheetName val="КРЕДИТЫ"/>
      <sheetName val="произ.моя"/>
      <sheetName val="обучение мое"/>
      <sheetName val="приобретение мое"/>
      <sheetName val="капит.мое"/>
      <sheetName val="коммун.мое"/>
      <sheetName val="себестоимость моя"/>
      <sheetName val="Лист2"/>
      <sheetName val="налоги"/>
      <sheetName val="ПриобрОС"/>
      <sheetName val="Затр. на про-во"/>
      <sheetName val="Пост.затр"/>
      <sheetName val="Пр-во сбыт"/>
      <sheetName val="Перем. затр"/>
      <sheetName val="штат"/>
      <sheetName val="Врем.смета"/>
    </sheetNames>
    <sheetDataSet>
      <sheetData sheetId="1">
        <row r="23">
          <cell r="C23">
            <v>121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RR"/>
      <sheetName val="Ф3"/>
      <sheetName val="Ф2"/>
      <sheetName val="ПриобрОС"/>
      <sheetName val="Фин. пок-ли"/>
      <sheetName val="Пр-во сбыт"/>
      <sheetName val="Врем.смета"/>
      <sheetName val="Перем. затр"/>
      <sheetName val="Пост.затр"/>
      <sheetName val="Затр. на про-во"/>
      <sheetName val="штат"/>
      <sheetName val="АФ1"/>
      <sheetName val="АФ"/>
      <sheetName val="БВУ"/>
      <sheetName val="Доп"/>
      <sheetName val="Ф1"/>
    </sheetNames>
    <sheetDataSet>
      <sheetData sheetId="5">
        <row r="17">
          <cell r="C17">
            <v>0.13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 (2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дание"/>
      <sheetName val="NPV"/>
      <sheetName val="IRRa"/>
      <sheetName val="IRRb"/>
    </sheetNames>
    <sheetDataSet>
      <sheetData sheetId="1">
        <row r="18">
          <cell r="F18">
            <v>-1000000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  <row r="16">
          <cell r="C16">
            <v>25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ин. пок-ли"/>
      <sheetName val="Перем. затраты"/>
      <sheetName val="Пост.затраты"/>
      <sheetName val="Затр. на произ-во"/>
      <sheetName val="Анализ себест-ти"/>
      <sheetName val="Анализ с-ст-ти"/>
      <sheetName val="Вспом.расчеты"/>
      <sheetName val="План производства"/>
      <sheetName val="План сбыта"/>
      <sheetName val="График 2004 год"/>
      <sheetName val="График 2005 год"/>
      <sheetName val="Баланс прибылей"/>
      <sheetName val="cash-flow"/>
      <sheetName val="Форма №1"/>
      <sheetName val="Форма №2"/>
      <sheetName val="Форма №3"/>
      <sheetName val="Врем.смета"/>
      <sheetName val="Приобретение О.С."/>
      <sheetName val="Лизинг"/>
      <sheetName val="Кредит БРК"/>
      <sheetName val="Кредит СЗБ (А-Ф)"/>
      <sheetName val="Кредит доп"/>
      <sheetName val="Кредит А-Ф"/>
      <sheetName val="Шт.расп.Блоки"/>
      <sheetName val="Шт.расп.АУП"/>
      <sheetName val="Шт.расп.Вспом.персонал"/>
      <sheetName val="Сводное штатное расписание"/>
      <sheetName val="Шт.расп.Армир.эл."/>
    </sheetNames>
    <sheetDataSet>
      <sheetData sheetId="1">
        <row r="3">
          <cell r="K3">
            <v>126620</v>
          </cell>
        </row>
        <row r="45">
          <cell r="P45">
            <v>150</v>
          </cell>
        </row>
        <row r="46">
          <cell r="P46">
            <v>919</v>
          </cell>
        </row>
        <row r="47">
          <cell r="P47">
            <v>0.15</v>
          </cell>
        </row>
        <row r="48">
          <cell r="P48">
            <v>0.16</v>
          </cell>
        </row>
      </sheetData>
      <sheetData sheetId="17">
        <row r="3">
          <cell r="F3">
            <v>0.87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кр"/>
      <sheetName val="План"/>
      <sheetName val="ф2"/>
      <sheetName val="Ф3"/>
      <sheetName val="Пост"/>
      <sheetName val="Инв"/>
      <sheetName val="безубыт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ф3"/>
      <sheetName val="ф2"/>
      <sheetName val="Баланс"/>
      <sheetName val="Исх"/>
      <sheetName val="Объемы"/>
      <sheetName val="Цены"/>
      <sheetName val="Перем"/>
      <sheetName val="Пост"/>
      <sheetName val="кр"/>
      <sheetName val="безубыт"/>
    </sheetNames>
    <sheetDataSet>
      <sheetData sheetId="2">
        <row r="32">
          <cell r="Q32">
            <v>109.48954266069855</v>
          </cell>
          <cell r="R32">
            <v>109.48954266069855</v>
          </cell>
          <cell r="S32">
            <v>108.45296951069854</v>
          </cell>
          <cell r="T32">
            <v>106.37982321069852</v>
          </cell>
          <cell r="U32">
            <v>103.27010376069849</v>
          </cell>
          <cell r="V32">
            <v>103.27010376069849</v>
          </cell>
          <cell r="W32">
            <v>103.27010376069849</v>
          </cell>
          <cell r="X32">
            <v>99.20125340855881</v>
          </cell>
          <cell r="Y32">
            <v>99.20125340855881</v>
          </cell>
          <cell r="Z32">
            <v>99.20125340855881</v>
          </cell>
          <cell r="AA32">
            <v>99.20125340855881</v>
          </cell>
          <cell r="AB32">
            <v>82.61608300855879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ар Свод"/>
      <sheetName val="3Ф"/>
      <sheetName val="2Ф "/>
      <sheetName val="кр"/>
      <sheetName val="Гр стр"/>
      <sheetName val="Пост"/>
      <sheetName val="оборуд"/>
      <sheetName val="Перем."/>
      <sheetName val="IRR NPV"/>
      <sheetName val="Штат до ввода"/>
      <sheetName val="Штат пос ввода"/>
      <sheetName val="карьеры"/>
      <sheetName val="Налог(имущ)"/>
      <sheetName val="Осн.показ"/>
    </sheetNames>
    <sheetDataSet>
      <sheetData sheetId="13">
        <row r="5">
          <cell r="D5">
            <v>1052.6315789473686</v>
          </cell>
        </row>
        <row r="8">
          <cell r="D8">
            <v>907200</v>
          </cell>
        </row>
        <row r="9">
          <cell r="D9">
            <v>388800</v>
          </cell>
        </row>
        <row r="13">
          <cell r="D13">
            <v>164</v>
          </cell>
        </row>
        <row r="15">
          <cell r="D15">
            <v>1.14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Ф3"/>
      <sheetName val="ф2"/>
      <sheetName val="Баланс"/>
      <sheetName val="Доходы"/>
      <sheetName val="Себестоимость"/>
      <sheetName val="Расх пост"/>
      <sheetName val="кр"/>
      <sheetName val="Инв"/>
      <sheetName val="Безубыт"/>
      <sheetName val="Графики"/>
    </sheetNames>
    <sheetDataSet>
      <sheetData sheetId="1">
        <row r="5">
          <cell r="C5">
            <v>148</v>
          </cell>
        </row>
        <row r="8">
          <cell r="C8">
            <v>0.12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Осн п"/>
      <sheetName val="Исх"/>
      <sheetName val="ФОТ"/>
      <sheetName val="Дох"/>
      <sheetName val="Движение товара"/>
      <sheetName val="ф2"/>
      <sheetName val="Ф3"/>
      <sheetName val="Пост"/>
      <sheetName val="Пост склад"/>
      <sheetName val="кр"/>
      <sheetName val="Пост аптеки"/>
      <sheetName val="Инв скл"/>
      <sheetName val="Инв апт"/>
      <sheetName val="безубыт"/>
      <sheetName val="Лист1"/>
    </sheetNames>
    <sheetDataSet>
      <sheetData sheetId="1">
        <row r="5">
          <cell r="C5">
            <v>147</v>
          </cell>
        </row>
        <row r="7">
          <cell r="C7">
            <v>0.12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"/>
      <sheetName val="Пояснения"/>
      <sheetName val="Эффективность"/>
      <sheetName val="Рас.эффект"/>
      <sheetName val="№ 2 Товар.выпуск"/>
      <sheetName val="№ 3 Реализация"/>
      <sheetName val="Доходы"/>
      <sheetName val="Себест реал"/>
      <sheetName val="Cash"/>
      <sheetName val="CF"/>
      <sheetName val="P&amp;L"/>
      <sheetName val="Кредиты"/>
      <sheetName val="Кредиты 2"/>
      <sheetName val="Кредиты 3"/>
      <sheetName val="№ 1 Произв.прогр"/>
      <sheetName val="Произв.мощн"/>
      <sheetName val="График работ"/>
      <sheetName val="Invest"/>
      <sheetName val="Лист1"/>
      <sheetName val="Граф кап инвестиц"/>
      <sheetName val="Граф произв инвестиц"/>
      <sheetName val="Амортиз"/>
      <sheetName val="Спр.мат"/>
      <sheetName val="Материалы"/>
      <sheetName val="№ 4 Материалы полн"/>
      <sheetName val="Материалы по ассорт"/>
      <sheetName val="Упаковка"/>
      <sheetName val="№ 4-1 Мат 0,5 ЗС"/>
      <sheetName val="№ 4-2 Мат 0,7 ЗС"/>
      <sheetName val="№ 4-3 Мат 0,5 обл"/>
      <sheetName val="№ 4-4 Мат 0,5 ст"/>
      <sheetName val="№ 4-5 Мат 0,5 ст шелкогр"/>
      <sheetName val="Мат 6"/>
      <sheetName val="Мат 7"/>
      <sheetName val="Мат 8"/>
      <sheetName val="Мат 9"/>
      <sheetName val="Мат 10"/>
      <sheetName val="Мат 11"/>
      <sheetName val="Мат 12"/>
      <sheetName val="Мат 13"/>
      <sheetName val="Мат 14"/>
      <sheetName val="Мат Тов-15"/>
      <sheetName val="Мат Тов-16"/>
      <sheetName val="Мат Тов-17"/>
      <sheetName val="Мат Тов-18"/>
      <sheetName val="Мат Тов-19"/>
      <sheetName val="Мат Тов-20"/>
      <sheetName val="№ 5 Энерго"/>
      <sheetName val="Персонал"/>
      <sheetName val="Налоги"/>
      <sheetName val="№ 6-1 Свод затрат без НДС"/>
      <sheetName val="№ 6-2 Свод затрат с НДС"/>
      <sheetName val="№ 7 КАЛЬКУЛ 1-2"/>
      <sheetName val="№ 7 КАЛЬКУЛ 3-4"/>
      <sheetName val="КАЛЬКУЛ 5"/>
      <sheetName val="Затраты по месяцам"/>
      <sheetName val="Нал на трансп"/>
      <sheetName val="Ставки соц"/>
      <sheetName val="Ставки под.физ"/>
      <sheetName val="ГСМ"/>
      <sheetName val="График"/>
    </sheetNames>
    <sheetDataSet>
      <sheetData sheetId="0">
        <row r="2">
          <cell r="C2" t="str">
            <v>Участники  Производство стеклотары</v>
          </cell>
        </row>
        <row r="7">
          <cell r="C7" t="str">
            <v>Участники</v>
          </cell>
        </row>
        <row r="8">
          <cell r="C8" t="str">
            <v>Банк Казахстан</v>
          </cell>
        </row>
        <row r="9">
          <cell r="C9" t="str">
            <v>Банк Иностранный</v>
          </cell>
        </row>
        <row r="10">
          <cell r="C10" t="str">
            <v>Банк Иностранный2</v>
          </cell>
        </row>
        <row r="19">
          <cell r="C19" t="str">
            <v>EUR</v>
          </cell>
        </row>
        <row r="21">
          <cell r="C21" t="str">
            <v>EUR</v>
          </cell>
        </row>
        <row r="31">
          <cell r="C31">
            <v>169</v>
          </cell>
        </row>
        <row r="35">
          <cell r="C35">
            <v>0</v>
          </cell>
        </row>
        <row r="41">
          <cell r="D41">
            <v>1</v>
          </cell>
          <cell r="E41">
            <v>1</v>
          </cell>
          <cell r="F41">
            <v>1</v>
          </cell>
          <cell r="G41">
            <v>1</v>
          </cell>
          <cell r="H41">
            <v>1</v>
          </cell>
        </row>
        <row r="42">
          <cell r="D42">
            <v>0.14</v>
          </cell>
          <cell r="E42">
            <v>0.14</v>
          </cell>
          <cell r="F42">
            <v>0.14</v>
          </cell>
          <cell r="G42">
            <v>0.14</v>
          </cell>
          <cell r="H42">
            <v>0.14</v>
          </cell>
          <cell r="I42">
            <v>0.12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0.01</v>
          </cell>
          <cell r="J44">
            <v>0.01</v>
          </cell>
          <cell r="K44">
            <v>0.01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0.3</v>
          </cell>
          <cell r="J46">
            <v>0.3</v>
          </cell>
          <cell r="K46">
            <v>0.3</v>
          </cell>
        </row>
        <row r="48">
          <cell r="D48">
            <v>0.18</v>
          </cell>
          <cell r="E48">
            <v>0.18</v>
          </cell>
          <cell r="F48">
            <v>0.18</v>
          </cell>
          <cell r="G48">
            <v>0.18</v>
          </cell>
          <cell r="H48">
            <v>0.18</v>
          </cell>
        </row>
      </sheetData>
      <sheetData sheetId="17">
        <row r="9">
          <cell r="C9" t="str">
            <v>Земля</v>
          </cell>
          <cell r="H9">
            <v>320359.28143712576</v>
          </cell>
          <cell r="I9" t="str">
            <v>1,7</v>
          </cell>
          <cell r="L9">
            <v>0</v>
          </cell>
          <cell r="P9">
            <v>0</v>
          </cell>
          <cell r="T9">
            <v>0</v>
          </cell>
        </row>
        <row r="10">
          <cell r="C10" t="str">
            <v>Прочие</v>
          </cell>
          <cell r="H10">
            <v>1430167.4321260366</v>
          </cell>
          <cell r="I10" t="str">
            <v>1,8</v>
          </cell>
          <cell r="L10">
            <v>0</v>
          </cell>
          <cell r="P10">
            <v>286781.17998506344</v>
          </cell>
          <cell r="Q10" t="str">
            <v>1,9</v>
          </cell>
          <cell r="T10">
            <v>0</v>
          </cell>
        </row>
        <row r="11">
          <cell r="H11">
            <v>0</v>
          </cell>
          <cell r="L11">
            <v>0</v>
          </cell>
          <cell r="P11">
            <v>0</v>
          </cell>
          <cell r="T11">
            <v>0</v>
          </cell>
        </row>
        <row r="14">
          <cell r="C14" t="str">
            <v>Производственное оборудование</v>
          </cell>
          <cell r="H14">
            <v>0</v>
          </cell>
          <cell r="L14">
            <v>0</v>
          </cell>
          <cell r="P14">
            <v>36711270</v>
          </cell>
          <cell r="Q14" t="str">
            <v>1,8</v>
          </cell>
          <cell r="T14">
            <v>0</v>
          </cell>
          <cell r="U14" t="str">
            <v>1,1</v>
          </cell>
        </row>
        <row r="15">
          <cell r="C15" t="str">
            <v>Производственное оборудование</v>
          </cell>
          <cell r="H15">
            <v>0</v>
          </cell>
          <cell r="L15">
            <v>0</v>
          </cell>
          <cell r="P15">
            <v>3812038.834951456</v>
          </cell>
          <cell r="Q15" t="str">
            <v>1,8</v>
          </cell>
          <cell r="T15">
            <v>0</v>
          </cell>
        </row>
        <row r="16">
          <cell r="C16" t="str">
            <v>Производственное оборудование</v>
          </cell>
          <cell r="H16">
            <v>0</v>
          </cell>
          <cell r="L16">
            <v>0</v>
          </cell>
          <cell r="P16">
            <v>823002.2404779687</v>
          </cell>
          <cell r="Q16" t="str">
            <v>1,8</v>
          </cell>
          <cell r="T16">
            <v>0</v>
          </cell>
        </row>
        <row r="17">
          <cell r="C17" t="str">
            <v>Производственное оборудование</v>
          </cell>
          <cell r="H17">
            <v>0</v>
          </cell>
          <cell r="L17">
            <v>0</v>
          </cell>
          <cell r="P17">
            <v>900000</v>
          </cell>
          <cell r="Q17" t="str">
            <v>1,8</v>
          </cell>
          <cell r="T17">
            <v>0</v>
          </cell>
        </row>
        <row r="18">
          <cell r="C18" t="str">
            <v>Прочие</v>
          </cell>
          <cell r="H18">
            <v>0</v>
          </cell>
          <cell r="L18">
            <v>0</v>
          </cell>
          <cell r="P18">
            <v>1060000</v>
          </cell>
          <cell r="Q18" t="str">
            <v>1,8</v>
          </cell>
          <cell r="T18">
            <v>0</v>
          </cell>
        </row>
        <row r="19">
          <cell r="C19" t="str">
            <v>Прочие</v>
          </cell>
          <cell r="H19">
            <v>0</v>
          </cell>
          <cell r="L19">
            <v>0</v>
          </cell>
          <cell r="P19">
            <v>1320000</v>
          </cell>
          <cell r="Q19" t="str">
            <v>1,8</v>
          </cell>
          <cell r="T19">
            <v>0</v>
          </cell>
        </row>
        <row r="20">
          <cell r="C20" t="str">
            <v>Прочие</v>
          </cell>
          <cell r="H20">
            <v>1170104.34</v>
          </cell>
          <cell r="I20" t="str">
            <v>2,5</v>
          </cell>
          <cell r="L20">
            <v>0</v>
          </cell>
          <cell r="P20">
            <v>815434.5821556898</v>
          </cell>
          <cell r="Q20" t="str">
            <v>2,5</v>
          </cell>
          <cell r="T20">
            <v>0</v>
          </cell>
        </row>
        <row r="21">
          <cell r="C21" t="str">
            <v>Прочее оборудование </v>
          </cell>
          <cell r="H21">
            <v>410754.2942494399</v>
          </cell>
          <cell r="I21" t="str">
            <v>1,9</v>
          </cell>
          <cell r="L21">
            <v>0</v>
          </cell>
          <cell r="P21">
            <v>0</v>
          </cell>
          <cell r="T21">
            <v>0</v>
          </cell>
        </row>
        <row r="22">
          <cell r="C22" t="str">
            <v>Прочее оборудование </v>
          </cell>
          <cell r="H22">
            <v>0</v>
          </cell>
          <cell r="L22">
            <v>389614.3426779898</v>
          </cell>
          <cell r="M22" t="str">
            <v>1,12</v>
          </cell>
          <cell r="P22">
            <v>0</v>
          </cell>
          <cell r="T22">
            <v>0</v>
          </cell>
        </row>
        <row r="23">
          <cell r="H23">
            <v>0</v>
          </cell>
          <cell r="L23">
            <v>0</v>
          </cell>
          <cell r="P23">
            <v>0</v>
          </cell>
          <cell r="T23">
            <v>0</v>
          </cell>
        </row>
        <row r="24">
          <cell r="H24">
            <v>0</v>
          </cell>
          <cell r="L24">
            <v>0</v>
          </cell>
          <cell r="P24">
            <v>0</v>
          </cell>
          <cell r="T24">
            <v>0</v>
          </cell>
        </row>
        <row r="25">
          <cell r="H25">
            <v>0</v>
          </cell>
          <cell r="L25">
            <v>0</v>
          </cell>
          <cell r="P25">
            <v>0</v>
          </cell>
          <cell r="T25">
            <v>0</v>
          </cell>
        </row>
        <row r="26">
          <cell r="H26">
            <v>0</v>
          </cell>
          <cell r="L26">
            <v>0</v>
          </cell>
          <cell r="P26">
            <v>0</v>
          </cell>
          <cell r="T26">
            <v>0</v>
          </cell>
        </row>
        <row r="27">
          <cell r="H27">
            <v>0</v>
          </cell>
          <cell r="L27">
            <v>0</v>
          </cell>
          <cell r="P27">
            <v>0</v>
          </cell>
          <cell r="T27">
            <v>0</v>
          </cell>
        </row>
        <row r="28">
          <cell r="H28">
            <v>0</v>
          </cell>
          <cell r="L28">
            <v>0</v>
          </cell>
          <cell r="P28">
            <v>0</v>
          </cell>
          <cell r="T28">
            <v>0</v>
          </cell>
        </row>
        <row r="29">
          <cell r="H29">
            <v>0</v>
          </cell>
          <cell r="L29">
            <v>0</v>
          </cell>
          <cell r="P29">
            <v>0</v>
          </cell>
          <cell r="T29">
            <v>0</v>
          </cell>
        </row>
        <row r="30">
          <cell r="H30">
            <v>0</v>
          </cell>
          <cell r="L30">
            <v>0</v>
          </cell>
          <cell r="P30">
            <v>0</v>
          </cell>
          <cell r="T30">
            <v>0</v>
          </cell>
        </row>
        <row r="31">
          <cell r="H31">
            <v>0</v>
          </cell>
          <cell r="L31">
            <v>0</v>
          </cell>
          <cell r="P31">
            <v>0</v>
          </cell>
          <cell r="T31">
            <v>0</v>
          </cell>
        </row>
        <row r="32">
          <cell r="H32">
            <v>0</v>
          </cell>
          <cell r="L32">
            <v>0</v>
          </cell>
          <cell r="P32">
            <v>0</v>
          </cell>
          <cell r="T32">
            <v>0</v>
          </cell>
        </row>
        <row r="33">
          <cell r="H33">
            <v>1580858.63424944</v>
          </cell>
          <cell r="L33">
            <v>389614.3426779898</v>
          </cell>
          <cell r="P33">
            <v>45441745.657585114</v>
          </cell>
          <cell r="T33">
            <v>0</v>
          </cell>
        </row>
        <row r="36">
          <cell r="H36">
            <v>0</v>
          </cell>
          <cell r="L36">
            <v>0</v>
          </cell>
          <cell r="P36">
            <v>0</v>
          </cell>
          <cell r="T36">
            <v>0</v>
          </cell>
        </row>
        <row r="37">
          <cell r="C37" t="str">
            <v>Прочие</v>
          </cell>
          <cell r="H37">
            <v>0</v>
          </cell>
          <cell r="L37">
            <v>173652.69461077845</v>
          </cell>
          <cell r="M37" t="str">
            <v>1,8</v>
          </cell>
          <cell r="P37">
            <v>0</v>
          </cell>
          <cell r="T37">
            <v>0</v>
          </cell>
        </row>
        <row r="38">
          <cell r="C38" t="str">
            <v>Здания, сооружения</v>
          </cell>
          <cell r="H38">
            <v>0</v>
          </cell>
          <cell r="L38">
            <v>0</v>
          </cell>
          <cell r="P38">
            <v>2673637.0425690813</v>
          </cell>
          <cell r="Q38" t="str">
            <v>1,9</v>
          </cell>
          <cell r="T38">
            <v>0</v>
          </cell>
        </row>
        <row r="39">
          <cell r="C39" t="str">
            <v>Здания, сооружения</v>
          </cell>
          <cell r="H39">
            <v>0</v>
          </cell>
          <cell r="L39">
            <v>0</v>
          </cell>
          <cell r="P39">
            <v>1784914.1150112024</v>
          </cell>
          <cell r="Q39" t="str">
            <v>1,9</v>
          </cell>
          <cell r="T39">
            <v>0</v>
          </cell>
        </row>
        <row r="40">
          <cell r="C40" t="str">
            <v>Здания, сооружения</v>
          </cell>
          <cell r="H40">
            <v>0</v>
          </cell>
          <cell r="L40">
            <v>0</v>
          </cell>
          <cell r="P40">
            <v>1045556.3853622107</v>
          </cell>
          <cell r="Q40" t="str">
            <v>1,11</v>
          </cell>
          <cell r="T40">
            <v>0</v>
          </cell>
        </row>
        <row r="41">
          <cell r="C41" t="str">
            <v>Здания, сооружения</v>
          </cell>
          <cell r="H41">
            <v>0</v>
          </cell>
          <cell r="L41">
            <v>0</v>
          </cell>
          <cell r="P41">
            <v>298730.39581777446</v>
          </cell>
          <cell r="Q41" t="str">
            <v>1,11</v>
          </cell>
          <cell r="T41">
            <v>0</v>
          </cell>
        </row>
        <row r="42">
          <cell r="C42" t="str">
            <v>Здания, сооружения</v>
          </cell>
          <cell r="H42">
            <v>0</v>
          </cell>
          <cell r="L42">
            <v>0</v>
          </cell>
          <cell r="P42">
            <v>291262.1359223301</v>
          </cell>
          <cell r="Q42" t="str">
            <v>1,12</v>
          </cell>
          <cell r="T42">
            <v>0</v>
          </cell>
        </row>
        <row r="43">
          <cell r="C43" t="str">
            <v>Прочие</v>
          </cell>
          <cell r="H43">
            <v>0</v>
          </cell>
          <cell r="L43">
            <v>0</v>
          </cell>
          <cell r="P43">
            <v>377147.12471994024</v>
          </cell>
          <cell r="Q43" t="str">
            <v>1,12</v>
          </cell>
          <cell r="T43">
            <v>0</v>
          </cell>
        </row>
        <row r="44">
          <cell r="C44" t="str">
            <v>Прочие</v>
          </cell>
          <cell r="H44">
            <v>0</v>
          </cell>
          <cell r="L44">
            <v>0</v>
          </cell>
          <cell r="P44">
            <v>1030619.8655713219</v>
          </cell>
          <cell r="Q44" t="str">
            <v>1,12</v>
          </cell>
          <cell r="T44">
            <v>0</v>
          </cell>
        </row>
        <row r="45">
          <cell r="H45">
            <v>0</v>
          </cell>
          <cell r="L45">
            <v>0</v>
          </cell>
          <cell r="P45">
            <v>0</v>
          </cell>
          <cell r="T45">
            <v>0</v>
          </cell>
        </row>
        <row r="46">
          <cell r="C46" t="str">
            <v>Прочие</v>
          </cell>
          <cell r="H46">
            <v>0</v>
          </cell>
          <cell r="L46">
            <v>143712.5748502994</v>
          </cell>
          <cell r="M46" t="str">
            <v>1,8</v>
          </cell>
          <cell r="P46">
            <v>0</v>
          </cell>
          <cell r="T46">
            <v>0</v>
          </cell>
        </row>
        <row r="47">
          <cell r="C47" t="str">
            <v>Прочие</v>
          </cell>
          <cell r="H47">
            <v>0</v>
          </cell>
          <cell r="L47">
            <v>86826.34730538922</v>
          </cell>
          <cell r="M47" t="str">
            <v>1,8</v>
          </cell>
          <cell r="P47">
            <v>0</v>
          </cell>
          <cell r="T47">
            <v>0</v>
          </cell>
        </row>
        <row r="48">
          <cell r="C48" t="str">
            <v>Прочие</v>
          </cell>
          <cell r="H48">
            <v>0</v>
          </cell>
          <cell r="L48">
            <v>543485.0299401197</v>
          </cell>
          <cell r="M48" t="str">
            <v>1,8</v>
          </cell>
          <cell r="P48">
            <v>0</v>
          </cell>
          <cell r="T48">
            <v>0</v>
          </cell>
        </row>
        <row r="49">
          <cell r="C49" t="str">
            <v>Прочие</v>
          </cell>
          <cell r="H49">
            <v>0</v>
          </cell>
          <cell r="L49">
            <v>271742.51497005986</v>
          </cell>
          <cell r="M49" t="str">
            <v>1,8</v>
          </cell>
          <cell r="P49">
            <v>0</v>
          </cell>
          <cell r="T49">
            <v>0</v>
          </cell>
        </row>
        <row r="50">
          <cell r="C50" t="str">
            <v>Прочие</v>
          </cell>
          <cell r="H50">
            <v>0</v>
          </cell>
          <cell r="L50">
            <v>191616.76646706587</v>
          </cell>
          <cell r="M50" t="str">
            <v>1,8</v>
          </cell>
          <cell r="P50">
            <v>0</v>
          </cell>
          <cell r="T50">
            <v>0</v>
          </cell>
        </row>
        <row r="51">
          <cell r="C51" t="str">
            <v>Здания, сооружения</v>
          </cell>
          <cell r="H51">
            <v>0</v>
          </cell>
          <cell r="L51">
            <v>1365269.4610778443</v>
          </cell>
          <cell r="M51" t="str">
            <v>1,8</v>
          </cell>
          <cell r="P51">
            <v>0</v>
          </cell>
          <cell r="T51">
            <v>0</v>
          </cell>
        </row>
        <row r="52">
          <cell r="C52" t="str">
            <v>Здания, сооружения</v>
          </cell>
          <cell r="H52">
            <v>0</v>
          </cell>
          <cell r="L52">
            <v>625748.502994012</v>
          </cell>
          <cell r="M52" t="str">
            <v>1,8</v>
          </cell>
          <cell r="P52">
            <v>0</v>
          </cell>
          <cell r="T52">
            <v>0</v>
          </cell>
        </row>
        <row r="53">
          <cell r="C53" t="str">
            <v>Здания, сооружения</v>
          </cell>
          <cell r="H53">
            <v>0</v>
          </cell>
          <cell r="L53">
            <v>1221556.8862275449</v>
          </cell>
          <cell r="M53" t="str">
            <v>1,8</v>
          </cell>
          <cell r="P53">
            <v>0</v>
          </cell>
          <cell r="T53">
            <v>0</v>
          </cell>
        </row>
        <row r="54">
          <cell r="C54" t="str">
            <v>Здания, сооружения</v>
          </cell>
          <cell r="H54">
            <v>0</v>
          </cell>
          <cell r="L54">
            <v>140119.76047904193</v>
          </cell>
          <cell r="M54" t="str">
            <v>1,9</v>
          </cell>
          <cell r="P54">
            <v>0</v>
          </cell>
          <cell r="T54">
            <v>0</v>
          </cell>
        </row>
        <row r="55">
          <cell r="C55" t="str">
            <v>Здания, сооружения</v>
          </cell>
          <cell r="H55">
            <v>0</v>
          </cell>
          <cell r="L55">
            <v>140119.76047904193</v>
          </cell>
          <cell r="M55" t="str">
            <v>1,9</v>
          </cell>
          <cell r="P55">
            <v>0</v>
          </cell>
          <cell r="T55">
            <v>0</v>
          </cell>
        </row>
        <row r="56">
          <cell r="C56" t="str">
            <v>Здания, сооружения</v>
          </cell>
          <cell r="H56">
            <v>0</v>
          </cell>
          <cell r="L56">
            <v>1916167.6646706588</v>
          </cell>
          <cell r="M56" t="str">
            <v>1,9</v>
          </cell>
          <cell r="P56">
            <v>0</v>
          </cell>
          <cell r="T56">
            <v>0</v>
          </cell>
        </row>
        <row r="57">
          <cell r="C57" t="str">
            <v>Здания, сооружения</v>
          </cell>
          <cell r="H57">
            <v>0</v>
          </cell>
          <cell r="L57">
            <v>543485.0299401197</v>
          </cell>
          <cell r="M57" t="str">
            <v>1,9</v>
          </cell>
          <cell r="P57">
            <v>0</v>
          </cell>
          <cell r="T57">
            <v>0</v>
          </cell>
        </row>
        <row r="58">
          <cell r="C58" t="str">
            <v>Здания, сооружения</v>
          </cell>
          <cell r="H58">
            <v>0</v>
          </cell>
          <cell r="L58">
            <v>598802.3952095809</v>
          </cell>
          <cell r="M58" t="str">
            <v>2,1</v>
          </cell>
          <cell r="P58">
            <v>0</v>
          </cell>
          <cell r="T58">
            <v>0</v>
          </cell>
        </row>
        <row r="59">
          <cell r="C59" t="str">
            <v>Прочие</v>
          </cell>
          <cell r="H59">
            <v>0</v>
          </cell>
          <cell r="L59">
            <v>0</v>
          </cell>
          <cell r="P59">
            <v>0</v>
          </cell>
          <cell r="T59">
            <v>0</v>
          </cell>
        </row>
        <row r="60">
          <cell r="C60" t="str">
            <v>Прочие</v>
          </cell>
          <cell r="H60">
            <v>0</v>
          </cell>
          <cell r="L60">
            <v>359281.4371257485</v>
          </cell>
          <cell r="M60" t="str">
            <v>1,10</v>
          </cell>
          <cell r="P60">
            <v>0</v>
          </cell>
          <cell r="T60">
            <v>0</v>
          </cell>
        </row>
        <row r="61">
          <cell r="C61" t="str">
            <v>Здания, сооружения</v>
          </cell>
          <cell r="H61">
            <v>0</v>
          </cell>
          <cell r="L61">
            <v>209580.8383233533</v>
          </cell>
          <cell r="M61" t="str">
            <v>2,3</v>
          </cell>
          <cell r="P61">
            <v>0</v>
          </cell>
          <cell r="T61">
            <v>0</v>
          </cell>
        </row>
        <row r="62">
          <cell r="C62" t="str">
            <v>Прочие</v>
          </cell>
          <cell r="H62">
            <v>0</v>
          </cell>
          <cell r="L62">
            <v>21916.16766467066</v>
          </cell>
          <cell r="M62" t="str">
            <v>2,3</v>
          </cell>
          <cell r="P62">
            <v>0</v>
          </cell>
          <cell r="T62">
            <v>0</v>
          </cell>
        </row>
        <row r="63">
          <cell r="C63" t="str">
            <v>Прочие</v>
          </cell>
          <cell r="H63">
            <v>0</v>
          </cell>
          <cell r="L63">
            <v>10958.08383233533</v>
          </cell>
          <cell r="M63" t="str">
            <v>2,3</v>
          </cell>
          <cell r="P63">
            <v>0</v>
          </cell>
          <cell r="T63">
            <v>0</v>
          </cell>
        </row>
        <row r="64">
          <cell r="C64" t="str">
            <v>Прочие</v>
          </cell>
          <cell r="H64">
            <v>0</v>
          </cell>
          <cell r="L64">
            <v>419161.6766467066</v>
          </cell>
          <cell r="M64" t="str">
            <v>2,1</v>
          </cell>
          <cell r="P64">
            <v>0</v>
          </cell>
          <cell r="T64">
            <v>0</v>
          </cell>
        </row>
        <row r="65">
          <cell r="H65">
            <v>0</v>
          </cell>
          <cell r="L65">
            <v>0</v>
          </cell>
          <cell r="P65">
            <v>0</v>
          </cell>
          <cell r="T65">
            <v>0</v>
          </cell>
        </row>
        <row r="66">
          <cell r="C66" t="str">
            <v>Здания, сооружения</v>
          </cell>
          <cell r="H66">
            <v>0</v>
          </cell>
          <cell r="L66">
            <v>802091.1127707245</v>
          </cell>
          <cell r="M66" t="str">
            <v>2,3</v>
          </cell>
          <cell r="P66">
            <v>0</v>
          </cell>
          <cell r="T66">
            <v>0</v>
          </cell>
        </row>
        <row r="67">
          <cell r="C67" t="str">
            <v>Здания, сооружения</v>
          </cell>
          <cell r="H67">
            <v>0</v>
          </cell>
          <cell r="L67">
            <v>11013381</v>
          </cell>
          <cell r="M67" t="str">
            <v>2,5</v>
          </cell>
          <cell r="P67">
            <v>0</v>
          </cell>
          <cell r="T67">
            <v>0</v>
          </cell>
        </row>
        <row r="68">
          <cell r="C68" t="str">
            <v>Здания, сооружения</v>
          </cell>
          <cell r="H68">
            <v>0</v>
          </cell>
          <cell r="L68">
            <v>535474.2345033607</v>
          </cell>
          <cell r="M68" t="str">
            <v>2,3</v>
          </cell>
          <cell r="P68">
            <v>0</v>
          </cell>
          <cell r="T68">
            <v>0</v>
          </cell>
        </row>
        <row r="69">
          <cell r="C69" t="str">
            <v>Здания, сооружения</v>
          </cell>
          <cell r="H69">
            <v>0</v>
          </cell>
          <cell r="L69">
            <v>1143611.650485437</v>
          </cell>
          <cell r="M69" t="str">
            <v>2,3</v>
          </cell>
          <cell r="P69">
            <v>0</v>
          </cell>
          <cell r="T69">
            <v>0</v>
          </cell>
        </row>
        <row r="70">
          <cell r="C70" t="str">
            <v>Здания, сооружения</v>
          </cell>
          <cell r="H70">
            <v>0</v>
          </cell>
          <cell r="L70">
            <v>113144.13741598208</v>
          </cell>
          <cell r="M70" t="str">
            <v>2,3</v>
          </cell>
          <cell r="P70">
            <v>0</v>
          </cell>
          <cell r="T70">
            <v>0</v>
          </cell>
        </row>
        <row r="71">
          <cell r="C71" t="str">
            <v>Здания, сооружения</v>
          </cell>
          <cell r="H71">
            <v>0</v>
          </cell>
          <cell r="L71">
            <v>627333.8312173263</v>
          </cell>
          <cell r="M71" t="str">
            <v>2,3</v>
          </cell>
          <cell r="P71">
            <v>0</v>
          </cell>
          <cell r="T71">
            <v>0</v>
          </cell>
        </row>
        <row r="72">
          <cell r="C72" t="str">
            <v>Здания, сооружения</v>
          </cell>
          <cell r="H72">
            <v>0</v>
          </cell>
          <cell r="L72">
            <v>309185.9596713966</v>
          </cell>
          <cell r="M72" t="str">
            <v>2,3</v>
          </cell>
          <cell r="P72">
            <v>0</v>
          </cell>
          <cell r="T72">
            <v>0</v>
          </cell>
        </row>
        <row r="73">
          <cell r="C73" t="str">
            <v>Здания, сооружения</v>
          </cell>
          <cell r="H73">
            <v>0</v>
          </cell>
          <cell r="L73">
            <v>89619.11874533234</v>
          </cell>
          <cell r="M73" t="str">
            <v>2,3</v>
          </cell>
          <cell r="P73">
            <v>0</v>
          </cell>
          <cell r="T73">
            <v>0</v>
          </cell>
        </row>
        <row r="74">
          <cell r="C74" t="str">
            <v>Прочие</v>
          </cell>
          <cell r="H74">
            <v>0</v>
          </cell>
          <cell r="L74">
            <v>51800</v>
          </cell>
          <cell r="M74" t="str">
            <v>2,3</v>
          </cell>
          <cell r="P74">
            <v>0</v>
          </cell>
          <cell r="T74">
            <v>0</v>
          </cell>
        </row>
        <row r="75">
          <cell r="C75" t="str">
            <v>Здания, сооружения</v>
          </cell>
          <cell r="H75">
            <v>0</v>
          </cell>
          <cell r="L75">
            <v>87378.64077669903</v>
          </cell>
          <cell r="M75" t="str">
            <v>2,3</v>
          </cell>
          <cell r="P75">
            <v>0</v>
          </cell>
          <cell r="T75">
            <v>0</v>
          </cell>
        </row>
        <row r="76">
          <cell r="C76" t="str">
            <v>Производственное оборудование</v>
          </cell>
          <cell r="H76">
            <v>0</v>
          </cell>
          <cell r="L76">
            <v>246900.6721433906</v>
          </cell>
          <cell r="M76" t="str">
            <v>2,3</v>
          </cell>
          <cell r="P76">
            <v>0</v>
          </cell>
          <cell r="T76">
            <v>0</v>
          </cell>
        </row>
        <row r="77">
          <cell r="C77" t="str">
            <v>Прочие</v>
          </cell>
          <cell r="H77">
            <v>0</v>
          </cell>
          <cell r="L77">
            <v>50410.75429424944</v>
          </cell>
          <cell r="M77" t="str">
            <v>2,3</v>
          </cell>
          <cell r="P77">
            <v>0</v>
          </cell>
          <cell r="T77">
            <v>0</v>
          </cell>
        </row>
        <row r="78">
          <cell r="C78" t="str">
            <v>Прочее оборудование </v>
          </cell>
          <cell r="H78">
            <v>0</v>
          </cell>
          <cell r="L78">
            <v>47904.19161676647</v>
          </cell>
          <cell r="M78" t="str">
            <v>2,3</v>
          </cell>
          <cell r="P78">
            <v>0</v>
          </cell>
          <cell r="T78">
            <v>0</v>
          </cell>
        </row>
        <row r="79">
          <cell r="C79" t="str">
            <v>Прочее оборудование </v>
          </cell>
          <cell r="H79">
            <v>0</v>
          </cell>
          <cell r="L79">
            <v>26946.107784431137</v>
          </cell>
          <cell r="M79" t="str">
            <v>2,3</v>
          </cell>
          <cell r="P79">
            <v>0</v>
          </cell>
          <cell r="T79">
            <v>0</v>
          </cell>
        </row>
        <row r="80">
          <cell r="C80" t="str">
            <v>Прочее оборудование </v>
          </cell>
          <cell r="H80">
            <v>0</v>
          </cell>
          <cell r="L80">
            <v>114970.05988023953</v>
          </cell>
          <cell r="M80" t="str">
            <v>2,3</v>
          </cell>
          <cell r="P80">
            <v>0</v>
          </cell>
          <cell r="T80">
            <v>0</v>
          </cell>
        </row>
        <row r="81">
          <cell r="H81">
            <v>0</v>
          </cell>
          <cell r="L81">
            <v>0</v>
          </cell>
          <cell r="P81">
            <v>0</v>
          </cell>
          <cell r="T81">
            <v>0</v>
          </cell>
        </row>
        <row r="82">
          <cell r="H82">
            <v>0</v>
          </cell>
          <cell r="L82">
            <v>0</v>
          </cell>
          <cell r="P82">
            <v>0</v>
          </cell>
          <cell r="T82">
            <v>0</v>
          </cell>
        </row>
        <row r="83">
          <cell r="H83">
            <v>0</v>
          </cell>
          <cell r="L83">
            <v>0</v>
          </cell>
          <cell r="P83">
            <v>0</v>
          </cell>
          <cell r="T83">
            <v>0</v>
          </cell>
        </row>
        <row r="84">
          <cell r="H84">
            <v>0</v>
          </cell>
          <cell r="L84">
            <v>0</v>
          </cell>
          <cell r="P84">
            <v>0</v>
          </cell>
          <cell r="T84">
            <v>0</v>
          </cell>
        </row>
        <row r="85">
          <cell r="H85">
            <v>0</v>
          </cell>
          <cell r="L85">
            <v>0</v>
          </cell>
          <cell r="P85">
            <v>0</v>
          </cell>
          <cell r="T85">
            <v>0</v>
          </cell>
        </row>
        <row r="86">
          <cell r="H86">
            <v>0</v>
          </cell>
          <cell r="L86">
            <v>0</v>
          </cell>
          <cell r="P86">
            <v>0</v>
          </cell>
          <cell r="T86">
            <v>0</v>
          </cell>
        </row>
        <row r="87">
          <cell r="H87">
            <v>0</v>
          </cell>
          <cell r="L87">
            <v>0</v>
          </cell>
          <cell r="P87">
            <v>0</v>
          </cell>
          <cell r="T87">
            <v>0</v>
          </cell>
        </row>
        <row r="88">
          <cell r="H88">
            <v>0</v>
          </cell>
          <cell r="L88">
            <v>0</v>
          </cell>
          <cell r="P88">
            <v>0</v>
          </cell>
          <cell r="T88">
            <v>0</v>
          </cell>
        </row>
        <row r="89">
          <cell r="H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H90">
            <v>0</v>
          </cell>
          <cell r="L90">
            <v>0</v>
          </cell>
          <cell r="P90">
            <v>0</v>
          </cell>
          <cell r="T90">
            <v>0</v>
          </cell>
        </row>
        <row r="91">
          <cell r="H91">
            <v>0</v>
          </cell>
          <cell r="L91">
            <v>0</v>
          </cell>
          <cell r="P91">
            <v>0</v>
          </cell>
          <cell r="T91">
            <v>0</v>
          </cell>
        </row>
        <row r="92">
          <cell r="H92">
            <v>0</v>
          </cell>
          <cell r="L92">
            <v>24243355.064119708</v>
          </cell>
          <cell r="P92">
            <v>7501867.064973861</v>
          </cell>
          <cell r="T92">
            <v>0</v>
          </cell>
        </row>
        <row r="95">
          <cell r="C95" t="str">
            <v>Прочие</v>
          </cell>
          <cell r="H95">
            <v>0</v>
          </cell>
          <cell r="L95">
            <v>713218.8200149365</v>
          </cell>
          <cell r="M95" t="str">
            <v>1,12</v>
          </cell>
          <cell r="P95">
            <v>0</v>
          </cell>
          <cell r="T95">
            <v>0</v>
          </cell>
        </row>
        <row r="96">
          <cell r="C96" t="str">
            <v>Прочие</v>
          </cell>
          <cell r="H96">
            <v>0</v>
          </cell>
          <cell r="L96">
            <v>215085.884988798</v>
          </cell>
          <cell r="M96" t="str">
            <v>2,1</v>
          </cell>
          <cell r="P96">
            <v>0</v>
          </cell>
          <cell r="T96">
            <v>0</v>
          </cell>
        </row>
        <row r="97">
          <cell r="C97" t="str">
            <v>Прочие</v>
          </cell>
          <cell r="H97">
            <v>0</v>
          </cell>
          <cell r="L97">
            <v>62733.3831217326</v>
          </cell>
          <cell r="M97" t="str">
            <v>1,8</v>
          </cell>
          <cell r="P97">
            <v>0</v>
          </cell>
          <cell r="T97">
            <v>0</v>
          </cell>
        </row>
        <row r="98">
          <cell r="C98" t="str">
            <v>Прочие</v>
          </cell>
          <cell r="H98">
            <v>0</v>
          </cell>
          <cell r="L98">
            <v>30246.4525765497</v>
          </cell>
          <cell r="M98" t="str">
            <v>1,8</v>
          </cell>
          <cell r="P98">
            <v>0</v>
          </cell>
          <cell r="T98">
            <v>0</v>
          </cell>
        </row>
        <row r="99">
          <cell r="C99" t="str">
            <v>Прочие</v>
          </cell>
          <cell r="H99">
            <v>0</v>
          </cell>
          <cell r="L99">
            <v>504107.5429424944</v>
          </cell>
          <cell r="M99" t="str">
            <v>1,9</v>
          </cell>
          <cell r="P99">
            <v>0</v>
          </cell>
          <cell r="T99">
            <v>0</v>
          </cell>
        </row>
        <row r="100">
          <cell r="C100" t="str">
            <v>Прочие</v>
          </cell>
          <cell r="H100">
            <v>138909.634055265</v>
          </cell>
          <cell r="I100" t="str">
            <v>1,8</v>
          </cell>
          <cell r="L100">
            <v>0</v>
          </cell>
          <cell r="P100">
            <v>0</v>
          </cell>
          <cell r="T100">
            <v>0</v>
          </cell>
        </row>
        <row r="101">
          <cell r="C101" t="str">
            <v>Прочие</v>
          </cell>
          <cell r="H101">
            <v>38922.1556886228</v>
          </cell>
          <cell r="I101" t="str">
            <v>1,8</v>
          </cell>
          <cell r="L101">
            <v>0</v>
          </cell>
          <cell r="P101">
            <v>0</v>
          </cell>
          <cell r="T101">
            <v>0</v>
          </cell>
        </row>
        <row r="102">
          <cell r="C102" t="str">
            <v>Прочие</v>
          </cell>
          <cell r="H102">
            <v>0</v>
          </cell>
          <cell r="L102">
            <v>151988.55507868383</v>
          </cell>
          <cell r="M102" t="str">
            <v>1,12</v>
          </cell>
          <cell r="P102">
            <v>0</v>
          </cell>
          <cell r="T102">
            <v>0</v>
          </cell>
        </row>
        <row r="103">
          <cell r="C103" t="str">
            <v>Прочие</v>
          </cell>
          <cell r="H103">
            <v>0</v>
          </cell>
          <cell r="L103">
            <v>518000</v>
          </cell>
          <cell r="M103" t="str">
            <v>2,1</v>
          </cell>
          <cell r="P103">
            <v>0</v>
          </cell>
          <cell r="T103">
            <v>0</v>
          </cell>
        </row>
        <row r="104">
          <cell r="H104">
            <v>0</v>
          </cell>
          <cell r="L104">
            <v>0</v>
          </cell>
          <cell r="P104">
            <v>0</v>
          </cell>
          <cell r="T104">
            <v>0</v>
          </cell>
        </row>
        <row r="105">
          <cell r="H105">
            <v>0</v>
          </cell>
          <cell r="L105">
            <v>0</v>
          </cell>
          <cell r="P105">
            <v>0</v>
          </cell>
          <cell r="T105">
            <v>0</v>
          </cell>
        </row>
        <row r="106">
          <cell r="H106">
            <v>177831.78974388778</v>
          </cell>
          <cell r="L106">
            <v>2195380.638723195</v>
          </cell>
          <cell r="P106">
            <v>0</v>
          </cell>
          <cell r="T106">
            <v>0</v>
          </cell>
        </row>
        <row r="108">
          <cell r="H108">
            <v>1758690.4239933277</v>
          </cell>
          <cell r="L108">
            <v>26828350.04552089</v>
          </cell>
          <cell r="P108">
            <v>52943612.722558975</v>
          </cell>
          <cell r="T108">
            <v>0</v>
          </cell>
        </row>
        <row r="112">
          <cell r="H112">
            <v>0</v>
          </cell>
          <cell r="L112">
            <v>0</v>
          </cell>
          <cell r="P112">
            <v>0</v>
          </cell>
          <cell r="T112">
            <v>0</v>
          </cell>
        </row>
        <row r="113">
          <cell r="H113">
            <v>0</v>
          </cell>
          <cell r="L113">
            <v>0</v>
          </cell>
          <cell r="P113">
            <v>0</v>
          </cell>
          <cell r="T113">
            <v>0</v>
          </cell>
        </row>
        <row r="114">
          <cell r="H114">
            <v>0</v>
          </cell>
          <cell r="L114">
            <v>0</v>
          </cell>
          <cell r="P114">
            <v>0</v>
          </cell>
          <cell r="T114">
            <v>0</v>
          </cell>
        </row>
        <row r="115">
          <cell r="H115">
            <v>0</v>
          </cell>
          <cell r="L115">
            <v>0</v>
          </cell>
          <cell r="P115">
            <v>0</v>
          </cell>
          <cell r="T115">
            <v>0</v>
          </cell>
        </row>
        <row r="116">
          <cell r="H116">
            <v>0</v>
          </cell>
          <cell r="L116">
            <v>0</v>
          </cell>
          <cell r="P116">
            <v>0</v>
          </cell>
          <cell r="T116">
            <v>0</v>
          </cell>
        </row>
        <row r="117">
          <cell r="H117">
            <v>0</v>
          </cell>
          <cell r="L117">
            <v>0</v>
          </cell>
          <cell r="P117">
            <v>0</v>
          </cell>
          <cell r="T117">
            <v>0</v>
          </cell>
        </row>
        <row r="118">
          <cell r="H118">
            <v>0</v>
          </cell>
          <cell r="L118">
            <v>0</v>
          </cell>
          <cell r="P118">
            <v>0</v>
          </cell>
          <cell r="T118">
            <v>0</v>
          </cell>
        </row>
        <row r="119">
          <cell r="H119">
            <v>0</v>
          </cell>
          <cell r="L119">
            <v>0</v>
          </cell>
          <cell r="P119">
            <v>0</v>
          </cell>
          <cell r="T119">
            <v>0</v>
          </cell>
        </row>
        <row r="120">
          <cell r="H120">
            <v>0</v>
          </cell>
          <cell r="L120">
            <v>0</v>
          </cell>
          <cell r="P120">
            <v>0</v>
          </cell>
          <cell r="T120">
            <v>0</v>
          </cell>
        </row>
        <row r="121">
          <cell r="H121">
            <v>0</v>
          </cell>
          <cell r="L121">
            <v>0</v>
          </cell>
          <cell r="P121">
            <v>0</v>
          </cell>
          <cell r="T121">
            <v>0</v>
          </cell>
        </row>
        <row r="122">
          <cell r="H122">
            <v>0</v>
          </cell>
          <cell r="L122">
            <v>0</v>
          </cell>
          <cell r="P122">
            <v>0</v>
          </cell>
          <cell r="T122">
            <v>0</v>
          </cell>
        </row>
        <row r="123">
          <cell r="H123">
            <v>0</v>
          </cell>
          <cell r="L123">
            <v>0</v>
          </cell>
          <cell r="P123">
            <v>0</v>
          </cell>
          <cell r="T123">
            <v>0</v>
          </cell>
        </row>
        <row r="124">
          <cell r="H124">
            <v>0</v>
          </cell>
          <cell r="L124">
            <v>0</v>
          </cell>
          <cell r="P124">
            <v>0</v>
          </cell>
          <cell r="T124">
            <v>0</v>
          </cell>
        </row>
        <row r="125">
          <cell r="H125">
            <v>0</v>
          </cell>
          <cell r="L125">
            <v>0</v>
          </cell>
          <cell r="P125">
            <v>0</v>
          </cell>
          <cell r="T125">
            <v>0</v>
          </cell>
        </row>
        <row r="126">
          <cell r="H126">
            <v>0</v>
          </cell>
          <cell r="L126">
            <v>0</v>
          </cell>
          <cell r="P126">
            <v>0</v>
          </cell>
          <cell r="T126">
            <v>0</v>
          </cell>
        </row>
        <row r="127">
          <cell r="H127">
            <v>0</v>
          </cell>
          <cell r="L127">
            <v>0</v>
          </cell>
          <cell r="P127">
            <v>0</v>
          </cell>
          <cell r="T127">
            <v>0</v>
          </cell>
        </row>
        <row r="128">
          <cell r="H128">
            <v>0</v>
          </cell>
          <cell r="L128">
            <v>0</v>
          </cell>
          <cell r="P128">
            <v>0</v>
          </cell>
          <cell r="T128">
            <v>0</v>
          </cell>
        </row>
        <row r="129">
          <cell r="H129">
            <v>0</v>
          </cell>
          <cell r="L129">
            <v>0</v>
          </cell>
          <cell r="P129">
            <v>0</v>
          </cell>
          <cell r="T129">
            <v>0</v>
          </cell>
        </row>
        <row r="130">
          <cell r="H130">
            <v>0</v>
          </cell>
          <cell r="L130">
            <v>0</v>
          </cell>
          <cell r="P130">
            <v>0</v>
          </cell>
          <cell r="T130">
            <v>0</v>
          </cell>
        </row>
        <row r="131">
          <cell r="H131">
            <v>0</v>
          </cell>
          <cell r="L131">
            <v>0</v>
          </cell>
          <cell r="P131">
            <v>0</v>
          </cell>
          <cell r="T131">
            <v>0</v>
          </cell>
        </row>
        <row r="132">
          <cell r="H132">
            <v>0</v>
          </cell>
          <cell r="L132">
            <v>0</v>
          </cell>
          <cell r="P132">
            <v>0</v>
          </cell>
          <cell r="T132">
            <v>0</v>
          </cell>
        </row>
        <row r="133">
          <cell r="H133">
            <v>0</v>
          </cell>
          <cell r="L133">
            <v>0</v>
          </cell>
          <cell r="P133">
            <v>0</v>
          </cell>
          <cell r="T133">
            <v>0</v>
          </cell>
        </row>
        <row r="134">
          <cell r="H134">
            <v>0</v>
          </cell>
          <cell r="L134">
            <v>0</v>
          </cell>
          <cell r="P134">
            <v>0</v>
          </cell>
          <cell r="T134">
            <v>0</v>
          </cell>
        </row>
        <row r="137">
          <cell r="H137">
            <v>0</v>
          </cell>
          <cell r="L137">
            <v>0</v>
          </cell>
          <cell r="P137">
            <v>0</v>
          </cell>
          <cell r="T137">
            <v>0</v>
          </cell>
        </row>
        <row r="138">
          <cell r="H138">
            <v>0</v>
          </cell>
          <cell r="L138">
            <v>0</v>
          </cell>
          <cell r="P138">
            <v>0</v>
          </cell>
          <cell r="T138">
            <v>0</v>
          </cell>
        </row>
        <row r="139">
          <cell r="H139">
            <v>0</v>
          </cell>
          <cell r="L139">
            <v>0</v>
          </cell>
          <cell r="P139">
            <v>0</v>
          </cell>
          <cell r="T139">
            <v>0</v>
          </cell>
        </row>
        <row r="140">
          <cell r="H140">
            <v>0</v>
          </cell>
          <cell r="L140">
            <v>0</v>
          </cell>
          <cell r="P140">
            <v>0</v>
          </cell>
          <cell r="T140">
            <v>0</v>
          </cell>
        </row>
        <row r="141">
          <cell r="H141">
            <v>0</v>
          </cell>
          <cell r="L141">
            <v>0</v>
          </cell>
          <cell r="P141">
            <v>0</v>
          </cell>
          <cell r="T141">
            <v>0</v>
          </cell>
        </row>
        <row r="142">
          <cell r="H142">
            <v>0</v>
          </cell>
          <cell r="L142">
            <v>0</v>
          </cell>
          <cell r="P142">
            <v>0</v>
          </cell>
          <cell r="T142">
            <v>0</v>
          </cell>
        </row>
        <row r="143">
          <cell r="H143">
            <v>0</v>
          </cell>
          <cell r="L143">
            <v>0</v>
          </cell>
          <cell r="P143">
            <v>0</v>
          </cell>
          <cell r="T143">
            <v>0</v>
          </cell>
        </row>
        <row r="144">
          <cell r="H144">
            <v>0</v>
          </cell>
          <cell r="L144">
            <v>0</v>
          </cell>
          <cell r="P144">
            <v>0</v>
          </cell>
          <cell r="T144">
            <v>0</v>
          </cell>
        </row>
        <row r="145">
          <cell r="H145">
            <v>0</v>
          </cell>
          <cell r="L145">
            <v>0</v>
          </cell>
          <cell r="P145">
            <v>0</v>
          </cell>
          <cell r="T145">
            <v>0</v>
          </cell>
        </row>
        <row r="146">
          <cell r="H146">
            <v>0</v>
          </cell>
          <cell r="L146">
            <v>0</v>
          </cell>
          <cell r="P146">
            <v>0</v>
          </cell>
          <cell r="T146">
            <v>0</v>
          </cell>
        </row>
        <row r="147">
          <cell r="H147">
            <v>0</v>
          </cell>
          <cell r="L147">
            <v>0</v>
          </cell>
          <cell r="P147">
            <v>0</v>
          </cell>
          <cell r="T147">
            <v>0</v>
          </cell>
        </row>
        <row r="148">
          <cell r="H148">
            <v>0</v>
          </cell>
          <cell r="L148">
            <v>0</v>
          </cell>
          <cell r="P148">
            <v>0</v>
          </cell>
          <cell r="T148">
            <v>0</v>
          </cell>
        </row>
        <row r="149">
          <cell r="H149">
            <v>0</v>
          </cell>
          <cell r="L149">
            <v>0</v>
          </cell>
          <cell r="P149">
            <v>0</v>
          </cell>
          <cell r="T149">
            <v>0</v>
          </cell>
        </row>
        <row r="150">
          <cell r="H150">
            <v>0</v>
          </cell>
          <cell r="L150">
            <v>0</v>
          </cell>
          <cell r="P150">
            <v>0</v>
          </cell>
          <cell r="T150">
            <v>0</v>
          </cell>
        </row>
        <row r="151">
          <cell r="H151">
            <v>0</v>
          </cell>
          <cell r="L151">
            <v>0</v>
          </cell>
          <cell r="P151">
            <v>0</v>
          </cell>
          <cell r="T151">
            <v>0</v>
          </cell>
        </row>
        <row r="154">
          <cell r="H154">
            <v>0</v>
          </cell>
          <cell r="L154">
            <v>0</v>
          </cell>
          <cell r="P154">
            <v>0</v>
          </cell>
          <cell r="T154">
            <v>0</v>
          </cell>
        </row>
        <row r="155">
          <cell r="H155">
            <v>0</v>
          </cell>
          <cell r="L155">
            <v>0</v>
          </cell>
          <cell r="P155">
            <v>0</v>
          </cell>
          <cell r="T155">
            <v>0</v>
          </cell>
        </row>
        <row r="156">
          <cell r="H156">
            <v>0</v>
          </cell>
          <cell r="L156">
            <v>0</v>
          </cell>
          <cell r="P156">
            <v>0</v>
          </cell>
          <cell r="T156">
            <v>0</v>
          </cell>
        </row>
        <row r="157">
          <cell r="H157">
            <v>0</v>
          </cell>
          <cell r="L157">
            <v>0</v>
          </cell>
          <cell r="P157">
            <v>0</v>
          </cell>
          <cell r="T157">
            <v>0</v>
          </cell>
        </row>
        <row r="158">
          <cell r="H158">
            <v>0</v>
          </cell>
          <cell r="L158">
            <v>0</v>
          </cell>
          <cell r="P158">
            <v>0</v>
          </cell>
          <cell r="T158">
            <v>0</v>
          </cell>
        </row>
        <row r="159">
          <cell r="H159">
            <v>0</v>
          </cell>
          <cell r="L159">
            <v>0</v>
          </cell>
          <cell r="P159">
            <v>0</v>
          </cell>
          <cell r="T159">
            <v>0</v>
          </cell>
        </row>
        <row r="160">
          <cell r="H160">
            <v>0</v>
          </cell>
          <cell r="L160">
            <v>0</v>
          </cell>
          <cell r="P160">
            <v>0</v>
          </cell>
          <cell r="T160">
            <v>0</v>
          </cell>
        </row>
        <row r="161">
          <cell r="H161">
            <v>0</v>
          </cell>
          <cell r="L161">
            <v>0</v>
          </cell>
          <cell r="P161">
            <v>0</v>
          </cell>
          <cell r="T161">
            <v>0</v>
          </cell>
        </row>
        <row r="162">
          <cell r="H162">
            <v>0</v>
          </cell>
          <cell r="L162">
            <v>0</v>
          </cell>
          <cell r="P162">
            <v>0</v>
          </cell>
          <cell r="T162">
            <v>0</v>
          </cell>
        </row>
        <row r="163">
          <cell r="H163">
            <v>0</v>
          </cell>
          <cell r="L163">
            <v>0</v>
          </cell>
          <cell r="P163">
            <v>0</v>
          </cell>
          <cell r="T163">
            <v>0</v>
          </cell>
        </row>
        <row r="164">
          <cell r="H164">
            <v>0</v>
          </cell>
          <cell r="L164">
            <v>0</v>
          </cell>
          <cell r="P164">
            <v>0</v>
          </cell>
          <cell r="T164">
            <v>0</v>
          </cell>
        </row>
        <row r="165">
          <cell r="H165">
            <v>0</v>
          </cell>
          <cell r="L165">
            <v>0</v>
          </cell>
          <cell r="P165">
            <v>0</v>
          </cell>
          <cell r="T165">
            <v>0</v>
          </cell>
        </row>
        <row r="167">
          <cell r="H167">
            <v>0</v>
          </cell>
          <cell r="L167">
            <v>0</v>
          </cell>
          <cell r="P167">
            <v>0</v>
          </cell>
          <cell r="T167">
            <v>0</v>
          </cell>
        </row>
        <row r="171">
          <cell r="H171">
            <v>0</v>
          </cell>
          <cell r="L171">
            <v>0</v>
          </cell>
          <cell r="P171">
            <v>0</v>
          </cell>
          <cell r="T171">
            <v>0</v>
          </cell>
        </row>
        <row r="172">
          <cell r="H172">
            <v>0</v>
          </cell>
          <cell r="L172">
            <v>0</v>
          </cell>
          <cell r="P172">
            <v>0</v>
          </cell>
          <cell r="T172">
            <v>0</v>
          </cell>
        </row>
        <row r="173">
          <cell r="H173">
            <v>0</v>
          </cell>
          <cell r="L173">
            <v>0</v>
          </cell>
          <cell r="P173">
            <v>0</v>
          </cell>
          <cell r="T173">
            <v>0</v>
          </cell>
        </row>
        <row r="174">
          <cell r="H174">
            <v>0</v>
          </cell>
          <cell r="L174">
            <v>0</v>
          </cell>
          <cell r="P174">
            <v>0</v>
          </cell>
          <cell r="T174">
            <v>0</v>
          </cell>
        </row>
        <row r="175">
          <cell r="H175">
            <v>0</v>
          </cell>
          <cell r="L175">
            <v>0</v>
          </cell>
          <cell r="P175">
            <v>0</v>
          </cell>
          <cell r="T175">
            <v>0</v>
          </cell>
        </row>
        <row r="176">
          <cell r="H176">
            <v>0</v>
          </cell>
          <cell r="L176">
            <v>0</v>
          </cell>
          <cell r="P176">
            <v>0</v>
          </cell>
          <cell r="T176">
            <v>0</v>
          </cell>
        </row>
        <row r="177">
          <cell r="H177">
            <v>0</v>
          </cell>
          <cell r="L177">
            <v>0</v>
          </cell>
          <cell r="P177">
            <v>0</v>
          </cell>
          <cell r="T177">
            <v>0</v>
          </cell>
        </row>
        <row r="178">
          <cell r="H178">
            <v>0</v>
          </cell>
          <cell r="L178">
            <v>0</v>
          </cell>
          <cell r="P178">
            <v>0</v>
          </cell>
          <cell r="T178">
            <v>0</v>
          </cell>
        </row>
        <row r="179">
          <cell r="H179">
            <v>0</v>
          </cell>
          <cell r="L179">
            <v>0</v>
          </cell>
          <cell r="P179">
            <v>0</v>
          </cell>
          <cell r="T179">
            <v>0</v>
          </cell>
        </row>
        <row r="180">
          <cell r="H180">
            <v>0</v>
          </cell>
          <cell r="L180">
            <v>0</v>
          </cell>
          <cell r="P180">
            <v>0</v>
          </cell>
          <cell r="T180">
            <v>0</v>
          </cell>
        </row>
        <row r="181">
          <cell r="H181">
            <v>0</v>
          </cell>
          <cell r="L181">
            <v>0</v>
          </cell>
          <cell r="P181">
            <v>0</v>
          </cell>
          <cell r="T181">
            <v>0</v>
          </cell>
        </row>
        <row r="182">
          <cell r="H182">
            <v>0</v>
          </cell>
          <cell r="L182">
            <v>0</v>
          </cell>
          <cell r="P182">
            <v>0</v>
          </cell>
          <cell r="T182">
            <v>0</v>
          </cell>
        </row>
        <row r="183">
          <cell r="H183">
            <v>0</v>
          </cell>
          <cell r="L183">
            <v>0</v>
          </cell>
          <cell r="P183">
            <v>0</v>
          </cell>
          <cell r="T183">
            <v>0</v>
          </cell>
        </row>
        <row r="184">
          <cell r="H184">
            <v>0</v>
          </cell>
          <cell r="L184">
            <v>0</v>
          </cell>
          <cell r="P184">
            <v>0</v>
          </cell>
          <cell r="T184">
            <v>0</v>
          </cell>
        </row>
        <row r="185">
          <cell r="H185">
            <v>0</v>
          </cell>
          <cell r="L185">
            <v>0</v>
          </cell>
          <cell r="P185">
            <v>0</v>
          </cell>
          <cell r="T185">
            <v>0</v>
          </cell>
        </row>
        <row r="186">
          <cell r="H186">
            <v>0</v>
          </cell>
          <cell r="L186">
            <v>0</v>
          </cell>
          <cell r="P186">
            <v>0</v>
          </cell>
          <cell r="T186">
            <v>0</v>
          </cell>
        </row>
        <row r="187">
          <cell r="H187">
            <v>0</v>
          </cell>
          <cell r="L187">
            <v>0</v>
          </cell>
          <cell r="P187">
            <v>0</v>
          </cell>
          <cell r="T187">
            <v>0</v>
          </cell>
        </row>
        <row r="188">
          <cell r="H188">
            <v>0</v>
          </cell>
          <cell r="L188">
            <v>0</v>
          </cell>
          <cell r="P188">
            <v>0</v>
          </cell>
          <cell r="T188">
            <v>0</v>
          </cell>
        </row>
        <row r="189">
          <cell r="H189">
            <v>0</v>
          </cell>
          <cell r="L189">
            <v>0</v>
          </cell>
          <cell r="P189">
            <v>0</v>
          </cell>
          <cell r="T189">
            <v>0</v>
          </cell>
        </row>
        <row r="190">
          <cell r="H190">
            <v>0</v>
          </cell>
          <cell r="L190">
            <v>0</v>
          </cell>
          <cell r="P190">
            <v>0</v>
          </cell>
          <cell r="T190">
            <v>0</v>
          </cell>
        </row>
        <row r="191">
          <cell r="H191">
            <v>0</v>
          </cell>
          <cell r="L191">
            <v>0</v>
          </cell>
          <cell r="P191">
            <v>0</v>
          </cell>
          <cell r="T191">
            <v>0</v>
          </cell>
        </row>
        <row r="192">
          <cell r="H192">
            <v>0</v>
          </cell>
          <cell r="L192">
            <v>0</v>
          </cell>
          <cell r="P192">
            <v>0</v>
          </cell>
          <cell r="T192">
            <v>0</v>
          </cell>
        </row>
        <row r="193">
          <cell r="H193">
            <v>0</v>
          </cell>
          <cell r="L193">
            <v>0</v>
          </cell>
          <cell r="P193">
            <v>0</v>
          </cell>
          <cell r="T193">
            <v>0</v>
          </cell>
        </row>
        <row r="196">
          <cell r="H196">
            <v>0</v>
          </cell>
          <cell r="L196">
            <v>0</v>
          </cell>
          <cell r="P196">
            <v>0</v>
          </cell>
          <cell r="T196">
            <v>0</v>
          </cell>
        </row>
        <row r="197">
          <cell r="H197">
            <v>0</v>
          </cell>
          <cell r="L197">
            <v>0</v>
          </cell>
          <cell r="P197">
            <v>0</v>
          </cell>
          <cell r="T197">
            <v>0</v>
          </cell>
        </row>
        <row r="198">
          <cell r="H198">
            <v>0</v>
          </cell>
          <cell r="L198">
            <v>0</v>
          </cell>
          <cell r="P198">
            <v>0</v>
          </cell>
          <cell r="T198">
            <v>0</v>
          </cell>
        </row>
        <row r="199">
          <cell r="H199">
            <v>0</v>
          </cell>
          <cell r="L199">
            <v>0</v>
          </cell>
          <cell r="P199">
            <v>0</v>
          </cell>
          <cell r="T199">
            <v>0</v>
          </cell>
        </row>
        <row r="200">
          <cell r="H200">
            <v>0</v>
          </cell>
          <cell r="L200">
            <v>0</v>
          </cell>
          <cell r="P200">
            <v>0</v>
          </cell>
          <cell r="T200">
            <v>0</v>
          </cell>
        </row>
        <row r="201">
          <cell r="H201">
            <v>0</v>
          </cell>
          <cell r="L201">
            <v>0</v>
          </cell>
          <cell r="P201">
            <v>0</v>
          </cell>
          <cell r="T201">
            <v>0</v>
          </cell>
        </row>
        <row r="202">
          <cell r="H202">
            <v>0</v>
          </cell>
          <cell r="L202">
            <v>0</v>
          </cell>
          <cell r="P202">
            <v>0</v>
          </cell>
          <cell r="T202">
            <v>0</v>
          </cell>
        </row>
        <row r="203">
          <cell r="H203">
            <v>0</v>
          </cell>
          <cell r="L203">
            <v>0</v>
          </cell>
          <cell r="P203">
            <v>0</v>
          </cell>
          <cell r="T203">
            <v>0</v>
          </cell>
        </row>
        <row r="204">
          <cell r="H204">
            <v>0</v>
          </cell>
          <cell r="L204">
            <v>0</v>
          </cell>
          <cell r="P204">
            <v>0</v>
          </cell>
          <cell r="T204">
            <v>0</v>
          </cell>
        </row>
        <row r="205">
          <cell r="H205">
            <v>0</v>
          </cell>
          <cell r="L205">
            <v>0</v>
          </cell>
          <cell r="P205">
            <v>0</v>
          </cell>
          <cell r="T205">
            <v>0</v>
          </cell>
        </row>
        <row r="206">
          <cell r="H206">
            <v>0</v>
          </cell>
          <cell r="L206">
            <v>0</v>
          </cell>
          <cell r="P206">
            <v>0</v>
          </cell>
          <cell r="T206">
            <v>0</v>
          </cell>
        </row>
        <row r="207">
          <cell r="H207">
            <v>0</v>
          </cell>
          <cell r="L207">
            <v>0</v>
          </cell>
          <cell r="P207">
            <v>0</v>
          </cell>
          <cell r="T207">
            <v>0</v>
          </cell>
        </row>
        <row r="208">
          <cell r="H208">
            <v>0</v>
          </cell>
          <cell r="L208">
            <v>0</v>
          </cell>
          <cell r="P208">
            <v>0</v>
          </cell>
          <cell r="T208">
            <v>0</v>
          </cell>
        </row>
        <row r="209">
          <cell r="H209">
            <v>0</v>
          </cell>
          <cell r="L209">
            <v>0</v>
          </cell>
          <cell r="P209">
            <v>0</v>
          </cell>
          <cell r="T209">
            <v>0</v>
          </cell>
        </row>
        <row r="210">
          <cell r="H210">
            <v>0</v>
          </cell>
          <cell r="L210">
            <v>0</v>
          </cell>
          <cell r="P210">
            <v>0</v>
          </cell>
          <cell r="T210">
            <v>0</v>
          </cell>
        </row>
        <row r="213">
          <cell r="H213">
            <v>0</v>
          </cell>
          <cell r="L213">
            <v>0</v>
          </cell>
          <cell r="P213">
            <v>0</v>
          </cell>
          <cell r="T213">
            <v>0</v>
          </cell>
        </row>
        <row r="214">
          <cell r="H214">
            <v>0</v>
          </cell>
          <cell r="L214">
            <v>0</v>
          </cell>
          <cell r="P214">
            <v>0</v>
          </cell>
          <cell r="T214">
            <v>0</v>
          </cell>
        </row>
        <row r="215">
          <cell r="H215">
            <v>0</v>
          </cell>
          <cell r="L215">
            <v>0</v>
          </cell>
          <cell r="P215">
            <v>0</v>
          </cell>
          <cell r="T215">
            <v>0</v>
          </cell>
        </row>
        <row r="216">
          <cell r="H216">
            <v>0</v>
          </cell>
          <cell r="L216">
            <v>0</v>
          </cell>
          <cell r="P216">
            <v>0</v>
          </cell>
          <cell r="T216">
            <v>0</v>
          </cell>
        </row>
        <row r="217">
          <cell r="H217">
            <v>0</v>
          </cell>
          <cell r="L217">
            <v>0</v>
          </cell>
          <cell r="P217">
            <v>0</v>
          </cell>
          <cell r="T217">
            <v>0</v>
          </cell>
        </row>
        <row r="218">
          <cell r="H218">
            <v>0</v>
          </cell>
          <cell r="L218">
            <v>0</v>
          </cell>
          <cell r="P218">
            <v>0</v>
          </cell>
          <cell r="T218">
            <v>0</v>
          </cell>
        </row>
        <row r="219">
          <cell r="H219">
            <v>0</v>
          </cell>
          <cell r="L219">
            <v>0</v>
          </cell>
          <cell r="P219">
            <v>0</v>
          </cell>
          <cell r="T219">
            <v>0</v>
          </cell>
        </row>
        <row r="220">
          <cell r="H220">
            <v>0</v>
          </cell>
          <cell r="L220">
            <v>0</v>
          </cell>
          <cell r="P220">
            <v>0</v>
          </cell>
          <cell r="T220">
            <v>0</v>
          </cell>
        </row>
        <row r="221">
          <cell r="H221">
            <v>0</v>
          </cell>
          <cell r="L221">
            <v>0</v>
          </cell>
          <cell r="P221">
            <v>0</v>
          </cell>
          <cell r="T221">
            <v>0</v>
          </cell>
        </row>
        <row r="222">
          <cell r="H222">
            <v>0</v>
          </cell>
          <cell r="L222">
            <v>0</v>
          </cell>
          <cell r="P222">
            <v>0</v>
          </cell>
          <cell r="T222">
            <v>0</v>
          </cell>
        </row>
        <row r="223">
          <cell r="H223">
            <v>0</v>
          </cell>
          <cell r="L223">
            <v>0</v>
          </cell>
          <cell r="P223">
            <v>0</v>
          </cell>
          <cell r="T223">
            <v>0</v>
          </cell>
        </row>
        <row r="224">
          <cell r="H224">
            <v>0</v>
          </cell>
          <cell r="L224">
            <v>0</v>
          </cell>
          <cell r="P224">
            <v>0</v>
          </cell>
          <cell r="T224">
            <v>0</v>
          </cell>
        </row>
        <row r="225">
          <cell r="H225">
            <v>0</v>
          </cell>
          <cell r="L225">
            <v>0</v>
          </cell>
          <cell r="P225">
            <v>0</v>
          </cell>
          <cell r="T225">
            <v>0</v>
          </cell>
        </row>
        <row r="226">
          <cell r="H226">
            <v>0</v>
          </cell>
          <cell r="L226">
            <v>0</v>
          </cell>
          <cell r="P226">
            <v>0</v>
          </cell>
          <cell r="T226">
            <v>0</v>
          </cell>
        </row>
        <row r="227">
          <cell r="H227">
            <v>0</v>
          </cell>
          <cell r="L227">
            <v>0</v>
          </cell>
          <cell r="P227">
            <v>0</v>
          </cell>
          <cell r="T227">
            <v>0</v>
          </cell>
        </row>
        <row r="228">
          <cell r="H228">
            <v>0</v>
          </cell>
          <cell r="L228">
            <v>0</v>
          </cell>
          <cell r="P228">
            <v>0</v>
          </cell>
          <cell r="T228">
            <v>0</v>
          </cell>
        </row>
        <row r="229">
          <cell r="H229">
            <v>0</v>
          </cell>
          <cell r="L229">
            <v>0</v>
          </cell>
          <cell r="P229">
            <v>0</v>
          </cell>
          <cell r="T229">
            <v>0</v>
          </cell>
        </row>
        <row r="230">
          <cell r="H230">
            <v>0</v>
          </cell>
          <cell r="L230">
            <v>0</v>
          </cell>
          <cell r="P230">
            <v>0</v>
          </cell>
          <cell r="T230">
            <v>0</v>
          </cell>
        </row>
        <row r="231">
          <cell r="H231">
            <v>0</v>
          </cell>
          <cell r="L231">
            <v>0</v>
          </cell>
          <cell r="P231">
            <v>0</v>
          </cell>
          <cell r="T231">
            <v>0</v>
          </cell>
        </row>
        <row r="232">
          <cell r="H232">
            <v>0</v>
          </cell>
          <cell r="L232">
            <v>0</v>
          </cell>
          <cell r="P232">
            <v>0</v>
          </cell>
          <cell r="T232">
            <v>0</v>
          </cell>
        </row>
        <row r="234">
          <cell r="H234">
            <v>0</v>
          </cell>
          <cell r="L234">
            <v>0</v>
          </cell>
          <cell r="P234">
            <v>0</v>
          </cell>
          <cell r="T234">
            <v>0</v>
          </cell>
        </row>
        <row r="236">
          <cell r="C236" t="str">
            <v>Прочие</v>
          </cell>
          <cell r="L236">
            <v>0</v>
          </cell>
          <cell r="M236" t="str">
            <v>1,8</v>
          </cell>
        </row>
        <row r="237">
          <cell r="C237" t="str">
            <v>Прочие</v>
          </cell>
          <cell r="L237">
            <v>0</v>
          </cell>
          <cell r="M237" t="str">
            <v>1,7</v>
          </cell>
        </row>
        <row r="238">
          <cell r="C238" t="str">
            <v>Прочие</v>
          </cell>
          <cell r="L238">
            <v>0</v>
          </cell>
          <cell r="M238" t="str">
            <v>1,8</v>
          </cell>
        </row>
        <row r="240">
          <cell r="H240">
            <v>3509217.13755649</v>
          </cell>
          <cell r="L240">
            <v>26828350.04552089</v>
          </cell>
          <cell r="P240">
            <v>53230393.90254404</v>
          </cell>
          <cell r="T240">
            <v>0</v>
          </cell>
        </row>
      </sheetData>
      <sheetData sheetId="19">
        <row r="8">
          <cell r="B8" t="str">
            <v>Здания, сооружения</v>
          </cell>
        </row>
        <row r="9">
          <cell r="B9" t="str">
            <v>Производственное оборудование</v>
          </cell>
        </row>
        <row r="10">
          <cell r="B10" t="str">
            <v>Прочее оборудование </v>
          </cell>
        </row>
        <row r="11">
          <cell r="B11" t="str">
            <v>Прочие</v>
          </cell>
        </row>
        <row r="12">
          <cell r="B12" t="str">
            <v>Земля</v>
          </cell>
        </row>
      </sheetData>
      <sheetData sheetId="21">
        <row r="125">
          <cell r="F125">
            <v>1252742.881713433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CCM"/>
      <sheetName val="Экотон+"/>
      <sheetName val="CM Center"/>
      <sheetName val="Development"/>
      <sheetName val="Astana Logistics"/>
      <sheetName val="Инвест-оператор"/>
      <sheetName val="Шайгу"/>
      <sheetName val="Виста СМ"/>
      <sheetName val="Forest Holding"/>
      <sheetName val="ENKI"/>
      <sheetName val="Неруд Кокшетау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ОтырарПлощадьОПиФА"/>
      <sheetName val="ОтырарПлощадьОПродаж"/>
      <sheetName val="объекты общества"/>
      <sheetName val="ОбъектыОбществаПрочиеХвосты"/>
      <sheetName val="ПрочиеОбъектыХвосты"/>
      <sheetName val="объекты обществаКокшетау"/>
      <sheetName val="БалансСебест"/>
      <sheetName val="РеализацияБухгалтерия"/>
      <sheetName val="Штуки"/>
      <sheetName val="Стоимость"/>
      <sheetName val="Поступления"/>
      <sheetName val="ВозвратДебиторки"/>
      <sheetName val="Итого Потоки"/>
      <sheetName val="Цена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ерсонал"/>
      <sheetName val="Амортизация"/>
      <sheetName val="Приобретение ОС"/>
      <sheetName val="Временные расходы"/>
      <sheetName val="Пост расходы"/>
      <sheetName val="График"/>
      <sheetName val="Прямые затраты"/>
      <sheetName val="ГСМ Налоги"/>
      <sheetName val="Адмрасходы"/>
      <sheetName val="NPV"/>
      <sheetName val="ОПиУ"/>
      <sheetName val="ОДДС"/>
      <sheetName val="Баланс"/>
      <sheetName val="Эффективность"/>
    </sheetNames>
    <sheetDataSet>
      <sheetData sheetId="0">
        <row r="18">
          <cell r="C18">
            <v>121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пост. пар."/>
      <sheetName val="ф-ма2"/>
      <sheetName val="ф-ма3 с НДС"/>
      <sheetName val="Гр стр №"/>
      <sheetName val="КП"/>
      <sheetName val="кредит"/>
      <sheetName val="оборуд.1"/>
      <sheetName val="Расчет фонда опл. с 01.07.07 №1"/>
      <sheetName val="ГСМ №2"/>
      <sheetName val="Аренда №3"/>
      <sheetName val="Команд.№4"/>
      <sheetName val="Связь№5"/>
      <sheetName val="Банк№6"/>
      <sheetName val="платежи в бюджет №7"/>
      <sheetName val="прочие ОАР №8"/>
      <sheetName val="Приобретение ОС №9"/>
      <sheetName val="Амортизация №10"/>
      <sheetName val="налог на имущ.№11"/>
      <sheetName val="Охрана №12"/>
      <sheetName val="оборуд."/>
    </sheetNames>
    <sheetDataSet>
      <sheetData sheetId="0">
        <row r="8">
          <cell r="C8">
            <v>4.815</v>
          </cell>
        </row>
        <row r="13">
          <cell r="C13">
            <v>65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Исх"/>
      <sheetName val="ДДС_без 4,5"/>
      <sheetName val="ф3"/>
      <sheetName val="ф2"/>
      <sheetName val="кр"/>
      <sheetName val="Натур пок-ли"/>
    </sheetNames>
    <sheetDataSet>
      <sheetData sheetId="0">
        <row r="7">
          <cell r="C7">
            <v>0.18</v>
          </cell>
        </row>
        <row r="8">
          <cell r="C8">
            <v>1.18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урсы"/>
      <sheetName val="БТА"/>
      <sheetName val="ККБ"/>
      <sheetName val="год"/>
      <sheetName val="деньги"/>
      <sheetName val="объекты общества"/>
      <sheetName val="расторжения"/>
      <sheetName val="константы"/>
    </sheetNames>
    <sheetDataSet>
      <sheetData sheetId="7">
        <row r="2">
          <cell r="F2" t="str">
            <v>4 башни (п1)</v>
          </cell>
          <cell r="G2">
            <v>131000</v>
          </cell>
        </row>
        <row r="3">
          <cell r="F3" t="str">
            <v>4 башни (п2)</v>
          </cell>
          <cell r="G3">
            <v>131700</v>
          </cell>
        </row>
        <row r="4">
          <cell r="F4" t="str">
            <v>VIP</v>
          </cell>
          <cell r="G4">
            <v>69300</v>
          </cell>
        </row>
        <row r="5">
          <cell r="F5" t="str">
            <v>Абая</v>
          </cell>
          <cell r="G5">
            <v>107700</v>
          </cell>
        </row>
        <row r="6">
          <cell r="F6" t="str">
            <v>аблайхана квартиры</v>
          </cell>
          <cell r="G6">
            <v>78000</v>
          </cell>
        </row>
        <row r="7">
          <cell r="F7" t="str">
            <v>алтын-орда квартиры</v>
          </cell>
          <cell r="G7">
            <v>150300</v>
          </cell>
        </row>
        <row r="8">
          <cell r="F8" t="str">
            <v>алтын-орда офисы</v>
          </cell>
          <cell r="G8">
            <v>109400</v>
          </cell>
        </row>
        <row r="9">
          <cell r="F9" t="str">
            <v>бабочка</v>
          </cell>
          <cell r="G9">
            <v>82900</v>
          </cell>
        </row>
        <row r="10">
          <cell r="F10" t="str">
            <v>бараева</v>
          </cell>
          <cell r="G10">
            <v>61000</v>
          </cell>
        </row>
        <row r="11">
          <cell r="F11" t="str">
            <v>бараева2оч</v>
          </cell>
          <cell r="G11">
            <v>100467</v>
          </cell>
        </row>
        <row r="12">
          <cell r="F12" t="str">
            <v>бигельдинова квартиры</v>
          </cell>
          <cell r="G12">
            <v>137700</v>
          </cell>
        </row>
        <row r="13">
          <cell r="F13" t="str">
            <v>бигельдинова офисы</v>
          </cell>
          <cell r="G13">
            <v>162100</v>
          </cell>
        </row>
        <row r="14">
          <cell r="F14" t="str">
            <v>встр.Им.нечет.</v>
          </cell>
          <cell r="G14">
            <v>143400</v>
          </cell>
        </row>
        <row r="15">
          <cell r="A15">
            <v>130</v>
          </cell>
          <cell r="F15" t="str">
            <v>евразия</v>
          </cell>
          <cell r="G15">
            <v>69600</v>
          </cell>
        </row>
        <row r="16">
          <cell r="F16" t="str">
            <v>иманова гаражи</v>
          </cell>
          <cell r="G16">
            <v>38600</v>
          </cell>
        </row>
        <row r="17">
          <cell r="F17" t="str">
            <v>иманова квартиры</v>
          </cell>
          <cell r="G17">
            <v>64000</v>
          </cell>
        </row>
        <row r="18">
          <cell r="F18" t="str">
            <v>иманова коттеджи</v>
          </cell>
          <cell r="G18">
            <v>69200</v>
          </cell>
        </row>
        <row r="19">
          <cell r="F19" t="str">
            <v>Иманова неч. квартиры</v>
          </cell>
          <cell r="G19">
            <v>118200</v>
          </cell>
        </row>
        <row r="20">
          <cell r="F20" t="str">
            <v>иманова офисы</v>
          </cell>
          <cell r="G20">
            <v>77000</v>
          </cell>
        </row>
        <row r="21">
          <cell r="F21" t="str">
            <v>им-респ квартиры</v>
          </cell>
          <cell r="G21">
            <v>80100</v>
          </cell>
        </row>
        <row r="22">
          <cell r="F22" t="str">
            <v>им-респ офисы</v>
          </cell>
          <cell r="G22">
            <v>55000</v>
          </cell>
        </row>
        <row r="23">
          <cell r="F23" t="str">
            <v>кенесары квартиры</v>
          </cell>
          <cell r="G23">
            <v>84500</v>
          </cell>
        </row>
        <row r="24">
          <cell r="F24" t="str">
            <v>кенесары офисы</v>
          </cell>
          <cell r="G24">
            <v>84500</v>
          </cell>
        </row>
        <row r="25">
          <cell r="F25" t="str">
            <v>Набережная</v>
          </cell>
          <cell r="G25">
            <v>81000</v>
          </cell>
        </row>
        <row r="26">
          <cell r="F26" t="str">
            <v>отрар</v>
          </cell>
          <cell r="G26">
            <v>189900</v>
          </cell>
        </row>
        <row r="27">
          <cell r="F27" t="str">
            <v>офисы абая</v>
          </cell>
          <cell r="G27">
            <v>90000</v>
          </cell>
        </row>
        <row r="28">
          <cell r="F28" t="str">
            <v>чубары гаражи</v>
          </cell>
          <cell r="G28">
            <v>48800</v>
          </cell>
        </row>
        <row r="29">
          <cell r="F29" t="str">
            <v>чубары квартиры</v>
          </cell>
          <cell r="G29">
            <v>81900</v>
          </cell>
        </row>
        <row r="30">
          <cell r="F30" t="str">
            <v>чубары офисы</v>
          </cell>
          <cell r="G30">
            <v>77200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Осн.показ"/>
      <sheetName val="ОС"/>
      <sheetName val="Аморт"/>
      <sheetName val="Налоги"/>
      <sheetName val="Оборотка"/>
      <sheetName val="Пост"/>
      <sheetName val="Перем."/>
      <sheetName val="Штат до ввода"/>
      <sheetName val="Штат пос ввода"/>
      <sheetName val="Оценка"/>
      <sheetName val="кредит"/>
      <sheetName val="График стр."/>
      <sheetName val="ФХД АФ"/>
      <sheetName val="Cash пр"/>
      <sheetName val="IRR NPV"/>
      <sheetName val="Tornado"/>
    </sheetNames>
    <sheetDataSet>
      <sheetData sheetId="0">
        <row r="6">
          <cell r="C6">
            <v>442.47787610619474</v>
          </cell>
        </row>
        <row r="10">
          <cell r="C10">
            <v>75600</v>
          </cell>
        </row>
        <row r="11">
          <cell r="C11">
            <v>32400</v>
          </cell>
        </row>
        <row r="12">
          <cell r="C12">
            <v>367.0820910548454</v>
          </cell>
        </row>
      </sheetData>
      <sheetData sheetId="1">
        <row r="27">
          <cell r="D27">
            <v>1022552.6843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и сбыт"/>
      <sheetName val="Прямые затраты"/>
      <sheetName val="Персонал"/>
      <sheetName val="ГСМ Налоги"/>
      <sheetName val="Амортизация"/>
      <sheetName val="Приобретение ОС"/>
      <sheetName val="Временные расходы"/>
      <sheetName val="Пост расходы"/>
      <sheetName val="График"/>
      <sheetName val="ОПиУ"/>
      <sheetName val="ОДДС"/>
      <sheetName val="Эффективность"/>
    </sheetNames>
    <sheetDataSet>
      <sheetData sheetId="0">
        <row r="2">
          <cell r="C2">
            <v>218700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Об пр-ва"/>
      <sheetName val="Осн. пара"/>
      <sheetName val="Осн пар Свод"/>
      <sheetName val="3Ф"/>
      <sheetName val="2Ф"/>
      <sheetName val="Норм"/>
      <sheetName val="ОС"/>
      <sheetName val="Граф строит"/>
      <sheetName val="Пост Рх"/>
      <sheetName val="кредит"/>
      <sheetName val="Глины"/>
      <sheetName val="Рас по тр-ту"/>
      <sheetName val="ЗП"/>
      <sheetName val="IRR NPV"/>
      <sheetName val="Амор"/>
      <sheetName val="влиян топл"/>
      <sheetName val="Себест-ть"/>
      <sheetName val="обоснование"/>
      <sheetName val="цены"/>
    </sheetNames>
    <sheetDataSet>
      <sheetData sheetId="1">
        <row r="9">
          <cell r="C9">
            <v>26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оэфф"/>
      <sheetName val="Ф2"/>
      <sheetName val="Ф3"/>
      <sheetName val="Кредит"/>
      <sheetName val="Перемен"/>
      <sheetName val="Постоян"/>
      <sheetName val="Себст"/>
      <sheetName val="Безуб"/>
      <sheetName val="Смета"/>
      <sheetName val="Инвест"/>
      <sheetName val="Штат"/>
      <sheetName val="План пр-ва"/>
      <sheetName val="Продаж"/>
      <sheetName val="Налог"/>
    </sheetNames>
    <sheetDataSet>
      <sheetData sheetId="0">
        <row r="9">
          <cell r="C9">
            <v>165</v>
          </cell>
        </row>
        <row r="11">
          <cell r="C11">
            <v>1332.5</v>
          </cell>
        </row>
      </sheetData>
      <sheetData sheetId="12">
        <row r="6">
          <cell r="A6" t="str">
            <v>Мраморно-цементная плитка Bretonterastone®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Риски"/>
      <sheetName val="Осн. пара"/>
      <sheetName val="Оценка "/>
      <sheetName val="Модель"/>
      <sheetName val="IRR NPV"/>
      <sheetName val="фин пок СК 1"/>
      <sheetName val="фин пок 1"/>
      <sheetName val="Осн пар Свод"/>
      <sheetName val="2Ф"/>
      <sheetName val="3Ф"/>
      <sheetName val="Граф стр"/>
      <sheetName val="кредит с БРК"/>
      <sheetName val="Норм"/>
      <sheetName val="Пост Рх"/>
      <sheetName val="Глины"/>
      <sheetName val="Рас по тр-ту"/>
      <sheetName val="ЗП"/>
      <sheetName val="Амор"/>
      <sheetName val="Стр. фин"/>
      <sheetName val="Свод кредиты"/>
      <sheetName val="Об пр-ва"/>
      <sheetName val="влиян топл"/>
      <sheetName val="кредит"/>
      <sheetName val="ОС"/>
      <sheetName val="констр"/>
      <sheetName val="под"/>
      <sheetName val="График кредит"/>
      <sheetName val="Лист1"/>
      <sheetName val="Себест-ть"/>
      <sheetName val="Граф строит"/>
      <sheetName val="обоснование"/>
      <sheetName val="цены"/>
      <sheetName val="Ф3 для АФ"/>
      <sheetName val="3A для АФ"/>
      <sheetName val="Ф2 для АФ"/>
    </sheetNames>
    <sheetDataSet>
      <sheetData sheetId="13">
        <row r="9">
          <cell r="F9">
            <v>15.92076963575039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_осв"/>
      <sheetName val="L-1"/>
      <sheetName val="L-2"/>
      <sheetName val="g-1"/>
      <sheetName val="Займы"/>
      <sheetName val="АО"/>
      <sheetName val="СС"/>
      <sheetName val="Стр_СС"/>
      <sheetName val="Н"/>
      <sheetName val="Дох"/>
      <sheetName val="Стр_Дох"/>
      <sheetName val="Приб"/>
      <sheetName val="Потоки"/>
      <sheetName val="NPV "/>
      <sheetName val="Анализ"/>
      <sheetName val="Чувств"/>
      <sheetName val="Коэфф"/>
      <sheetName val="Зал"/>
      <sheetName val="Графики"/>
    </sheetNames>
    <sheetDataSet>
      <sheetData sheetId="0">
        <row r="16">
          <cell r="B16">
            <v>0.9893263911487146</v>
          </cell>
        </row>
      </sheetData>
      <sheetData sheetId="2">
        <row r="5">
          <cell r="B5">
            <v>12450000</v>
          </cell>
        </row>
        <row r="6">
          <cell r="B6">
            <v>0.1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щ_Д"/>
      <sheetName val="Граф+осв"/>
      <sheetName val="L1"/>
      <sheetName val="L2"/>
      <sheetName val="L3"/>
      <sheetName val="Займы"/>
      <sheetName val="АО"/>
      <sheetName val="Дох"/>
      <sheetName val="СС"/>
      <sheetName val="Уд_вес_СС"/>
      <sheetName val="ОАО &quot;Актив&quot;"/>
      <sheetName val="Налоги"/>
      <sheetName val="Приб"/>
      <sheetName val="Потоки"/>
      <sheetName val="NPV"/>
      <sheetName val="Анализ"/>
      <sheetName val="Чувств"/>
      <sheetName val="Графики"/>
      <sheetName val="Коэфф"/>
      <sheetName val="Обор_кап"/>
      <sheetName val="Источн"/>
      <sheetName val="Залог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da.ru/indexpro.php?razd=prod/nonliquids&amp;pg=showtorgs.php&amp;news=2012-09-27_002.txt" TargetMode="External" /><Relationship Id="rId2" Type="http://schemas.openxmlformats.org/officeDocument/2006/relationships/hyperlink" Target="http://www.blasting-s.ru/service/equipment" TargetMode="External" /><Relationship Id="rId3" Type="http://schemas.openxmlformats.org/officeDocument/2006/relationships/hyperlink" Target="http://www.avtosystem.su/catalog/gaz/" TargetMode="Externa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st-vrn.ru/products/158/" TargetMode="External" /><Relationship Id="rId2" Type="http://schemas.openxmlformats.org/officeDocument/2006/relationships/hyperlink" Target="http://volins.ru/usl/ochistka-promyshlennogo-oborudovaniya/" TargetMode="External" /><Relationship Id="rId3" Type="http://schemas.openxmlformats.org/officeDocument/2006/relationships/hyperlink" Target="http://www.box-clean.ru/index.php?%20option=com_content&amp;view=article&amp;id=84&amp;Itemid=87" TargetMode="External" /><Relationship Id="rId4" Type="http://schemas.openxmlformats.org/officeDocument/2006/relationships/hyperlink" Target="http://www.blasting-s.ru/images/pdf/sbs%20hv.pdf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143"/>
  <sheetViews>
    <sheetView showGridLines="0" showZeros="0" zoomScalePageLayoutView="0" workbookViewId="0" topLeftCell="A1">
      <pane xSplit="3" ySplit="6" topLeftCell="D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O14" sqref="O14"/>
    </sheetView>
  </sheetViews>
  <sheetFormatPr defaultColWidth="8.625" defaultRowHeight="12.75" outlineLevelRow="1" outlineLevelCol="1"/>
  <cols>
    <col min="1" max="1" width="38.375" style="58" customWidth="1"/>
    <col min="2" max="2" width="10.125" style="59" customWidth="1"/>
    <col min="3" max="3" width="1.875" style="59" customWidth="1"/>
    <col min="4" max="4" width="8.375" style="6" hidden="1" customWidth="1" outlineLevel="1"/>
    <col min="5" max="5" width="7.75390625" style="6" hidden="1" customWidth="1" outlineLevel="1"/>
    <col min="6" max="6" width="8.125" style="6" hidden="1" customWidth="1" outlineLevel="1"/>
    <col min="7" max="7" width="7.75390625" style="56" hidden="1" customWidth="1" outlineLevel="1"/>
    <col min="8" max="8" width="8.125" style="6" hidden="1" customWidth="1" outlineLevel="1"/>
    <col min="9" max="9" width="7.75390625" style="6" hidden="1" customWidth="1" outlineLevel="1"/>
    <col min="10" max="10" width="8.125" style="6" hidden="1" customWidth="1" outlineLevel="1"/>
    <col min="11" max="11" width="7.75390625" style="6" hidden="1" customWidth="1" outlineLevel="1"/>
    <col min="12" max="12" width="8.125" style="6" hidden="1" customWidth="1" outlineLevel="1"/>
    <col min="13" max="13" width="7.875" style="6" hidden="1" customWidth="1" outlineLevel="1"/>
    <col min="14" max="14" width="8.375" style="6" hidden="1" customWidth="1" outlineLevel="1"/>
    <col min="15" max="15" width="8.125" style="6" hidden="1" customWidth="1" outlineLevel="1"/>
    <col min="16" max="16" width="8.25390625" style="7" customWidth="1" collapsed="1"/>
    <col min="17" max="20" width="7.625" style="6" hidden="1" customWidth="1" outlineLevel="1"/>
    <col min="21" max="28" width="8.125" style="6" hidden="1" customWidth="1" outlineLevel="1"/>
    <col min="29" max="29" width="9.125" style="7" bestFit="1" customWidth="1" collapsed="1"/>
    <col min="30" max="32" width="8.125" style="7" bestFit="1" customWidth="1"/>
    <col min="33" max="35" width="8.125" style="8" bestFit="1" customWidth="1"/>
    <col min="36" max="36" width="8.625" style="8" customWidth="1"/>
    <col min="37" max="39" width="8.75390625" style="8" bestFit="1" customWidth="1"/>
    <col min="40" max="43" width="9.125" style="8" bestFit="1" customWidth="1"/>
    <col min="44" max="44" width="9.375" style="8" customWidth="1"/>
    <col min="45" max="16384" width="8.625" style="8" customWidth="1"/>
  </cols>
  <sheetData>
    <row r="1" spans="1:27" ht="12.75">
      <c r="A1" s="60" t="s">
        <v>148</v>
      </c>
      <c r="B1" s="1"/>
      <c r="C1" s="1"/>
      <c r="D1" s="2"/>
      <c r="E1" s="2"/>
      <c r="F1" s="2"/>
      <c r="G1" s="3"/>
      <c r="H1" s="2"/>
      <c r="I1" s="4"/>
      <c r="J1" s="4"/>
      <c r="K1" s="4"/>
      <c r="L1" s="4"/>
      <c r="M1" s="4"/>
      <c r="N1" s="5"/>
      <c r="Q1" s="2"/>
      <c r="R1" s="2"/>
      <c r="S1" s="2"/>
      <c r="T1" s="2"/>
      <c r="U1" s="2"/>
      <c r="V1" s="4"/>
      <c r="W1" s="4"/>
      <c r="X1" s="4"/>
      <c r="Y1" s="4"/>
      <c r="Z1" s="4"/>
      <c r="AA1" s="5"/>
    </row>
    <row r="2" spans="1:27" ht="12.75" hidden="1" outlineLevel="1">
      <c r="A2" s="9">
        <f>MAX(K36:AF36)</f>
        <v>15171.7571663907</v>
      </c>
      <c r="B2" s="10">
        <f>MIN(I36:AH36)</f>
        <v>0</v>
      </c>
      <c r="C2" s="1"/>
      <c r="D2" s="2"/>
      <c r="E2" s="2"/>
      <c r="F2" s="2"/>
      <c r="G2" s="3"/>
      <c r="H2" s="2"/>
      <c r="I2" s="4"/>
      <c r="J2" s="4"/>
      <c r="K2" s="4"/>
      <c r="L2" s="4"/>
      <c r="M2" s="4"/>
      <c r="N2" s="5"/>
      <c r="Q2" s="2"/>
      <c r="R2" s="243"/>
      <c r="S2" s="2"/>
      <c r="T2" s="2"/>
      <c r="U2" s="2"/>
      <c r="V2" s="4"/>
      <c r="W2" s="4"/>
      <c r="X2" s="4"/>
      <c r="Y2" s="4"/>
      <c r="Z2" s="4"/>
      <c r="AA2" s="5"/>
    </row>
    <row r="3" spans="1:27" ht="12.75" collapsed="1">
      <c r="A3" s="9"/>
      <c r="B3" s="10"/>
      <c r="C3" s="1"/>
      <c r="D3" s="2"/>
      <c r="E3" s="2"/>
      <c r="F3" s="2"/>
      <c r="G3" s="3"/>
      <c r="H3" s="2"/>
      <c r="I3" s="4"/>
      <c r="J3" s="4"/>
      <c r="K3" s="4"/>
      <c r="L3" s="4"/>
      <c r="M3" s="4"/>
      <c r="N3" s="5"/>
      <c r="Q3" s="2"/>
      <c r="R3" s="2"/>
      <c r="S3" s="2"/>
      <c r="T3" s="2"/>
      <c r="U3" s="2"/>
      <c r="V3" s="4"/>
      <c r="W3" s="4"/>
      <c r="X3" s="4"/>
      <c r="Y3" s="4"/>
      <c r="Z3" s="4"/>
      <c r="AA3" s="5"/>
    </row>
    <row r="4" spans="1:27" ht="12.75">
      <c r="A4" s="11"/>
      <c r="B4" s="12" t="str">
        <f>Исх!$C$11</f>
        <v>тыс.тг.</v>
      </c>
      <c r="C4" s="1"/>
      <c r="D4" s="262"/>
      <c r="E4" s="2"/>
      <c r="F4" s="3"/>
      <c r="G4" s="3"/>
      <c r="I4" s="13"/>
      <c r="J4" s="2"/>
      <c r="K4" s="2"/>
      <c r="L4" s="14"/>
      <c r="M4" s="2"/>
      <c r="N4" s="2"/>
      <c r="Q4" s="2"/>
      <c r="R4" s="2"/>
      <c r="S4" s="3"/>
      <c r="T4" s="2"/>
      <c r="V4" s="13"/>
      <c r="W4" s="2"/>
      <c r="X4" s="2"/>
      <c r="Y4" s="14"/>
      <c r="Z4" s="2"/>
      <c r="AA4" s="2"/>
    </row>
    <row r="5" spans="1:36" ht="15.75" customHeight="1">
      <c r="A5" s="323" t="s">
        <v>2</v>
      </c>
      <c r="B5" s="325" t="s">
        <v>80</v>
      </c>
      <c r="C5" s="15"/>
      <c r="D5" s="325">
        <v>2013</v>
      </c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>
        <v>2014</v>
      </c>
      <c r="R5" s="325"/>
      <c r="S5" s="325"/>
      <c r="T5" s="325"/>
      <c r="U5" s="325"/>
      <c r="V5" s="325"/>
      <c r="W5" s="325"/>
      <c r="X5" s="325"/>
      <c r="Y5" s="325"/>
      <c r="Z5" s="325"/>
      <c r="AA5" s="325"/>
      <c r="AB5" s="325"/>
      <c r="AC5" s="325"/>
      <c r="AD5" s="15">
        <v>2015</v>
      </c>
      <c r="AE5" s="15">
        <f aca="true" t="shared" si="0" ref="AE5:AJ5">AD5+1</f>
        <v>2016</v>
      </c>
      <c r="AF5" s="15">
        <f t="shared" si="0"/>
        <v>2017</v>
      </c>
      <c r="AG5" s="15">
        <f t="shared" si="0"/>
        <v>2018</v>
      </c>
      <c r="AH5" s="15">
        <f t="shared" si="0"/>
        <v>2019</v>
      </c>
      <c r="AI5" s="15">
        <f t="shared" si="0"/>
        <v>2020</v>
      </c>
      <c r="AJ5" s="15">
        <f t="shared" si="0"/>
        <v>2021</v>
      </c>
    </row>
    <row r="6" spans="1:36" ht="12.75">
      <c r="A6" s="324"/>
      <c r="B6" s="325"/>
      <c r="C6" s="15"/>
      <c r="D6" s="16">
        <v>1</v>
      </c>
      <c r="E6" s="16">
        <f>D6+1</f>
        <v>2</v>
      </c>
      <c r="F6" s="16">
        <f aca="true" t="shared" si="1" ref="F6:O6">E6+1</f>
        <v>3</v>
      </c>
      <c r="G6" s="16">
        <f t="shared" si="1"/>
        <v>4</v>
      </c>
      <c r="H6" s="16">
        <f t="shared" si="1"/>
        <v>5</v>
      </c>
      <c r="I6" s="16">
        <f t="shared" si="1"/>
        <v>6</v>
      </c>
      <c r="J6" s="16">
        <f t="shared" si="1"/>
        <v>7</v>
      </c>
      <c r="K6" s="16">
        <f t="shared" si="1"/>
        <v>8</v>
      </c>
      <c r="L6" s="16">
        <f t="shared" si="1"/>
        <v>9</v>
      </c>
      <c r="M6" s="16">
        <f t="shared" si="1"/>
        <v>10</v>
      </c>
      <c r="N6" s="16">
        <f t="shared" si="1"/>
        <v>11</v>
      </c>
      <c r="O6" s="16">
        <f t="shared" si="1"/>
        <v>12</v>
      </c>
      <c r="P6" s="15" t="s">
        <v>0</v>
      </c>
      <c r="Q6" s="16">
        <v>1</v>
      </c>
      <c r="R6" s="16">
        <f>Q6+1</f>
        <v>2</v>
      </c>
      <c r="S6" s="16">
        <f aca="true" t="shared" si="2" ref="S6:AB6">R6+1</f>
        <v>3</v>
      </c>
      <c r="T6" s="16">
        <f t="shared" si="2"/>
        <v>4</v>
      </c>
      <c r="U6" s="16">
        <f t="shared" si="2"/>
        <v>5</v>
      </c>
      <c r="V6" s="16">
        <f t="shared" si="2"/>
        <v>6</v>
      </c>
      <c r="W6" s="16">
        <f t="shared" si="2"/>
        <v>7</v>
      </c>
      <c r="X6" s="16">
        <f t="shared" si="2"/>
        <v>8</v>
      </c>
      <c r="Y6" s="16">
        <f t="shared" si="2"/>
        <v>9</v>
      </c>
      <c r="Z6" s="16">
        <f t="shared" si="2"/>
        <v>10</v>
      </c>
      <c r="AA6" s="16">
        <f t="shared" si="2"/>
        <v>11</v>
      </c>
      <c r="AB6" s="16">
        <f t="shared" si="2"/>
        <v>12</v>
      </c>
      <c r="AC6" s="15" t="s">
        <v>0</v>
      </c>
      <c r="AD6" s="15" t="s">
        <v>239</v>
      </c>
      <c r="AE6" s="15" t="s">
        <v>239</v>
      </c>
      <c r="AF6" s="15" t="s">
        <v>239</v>
      </c>
      <c r="AG6" s="15" t="s">
        <v>239</v>
      </c>
      <c r="AH6" s="15" t="s">
        <v>239</v>
      </c>
      <c r="AI6" s="15" t="s">
        <v>239</v>
      </c>
      <c r="AJ6" s="15" t="s">
        <v>239</v>
      </c>
    </row>
    <row r="7" spans="1:36" s="21" customFormat="1" ht="25.5">
      <c r="A7" s="17" t="s">
        <v>174</v>
      </c>
      <c r="B7" s="18">
        <f>P7</f>
        <v>0</v>
      </c>
      <c r="C7" s="19"/>
      <c r="D7" s="20">
        <f>C36</f>
        <v>0</v>
      </c>
      <c r="E7" s="20">
        <f aca="true" t="shared" si="3" ref="E7:K7">D36</f>
        <v>0</v>
      </c>
      <c r="F7" s="20">
        <f t="shared" si="3"/>
        <v>0</v>
      </c>
      <c r="G7" s="20">
        <f t="shared" si="3"/>
        <v>0</v>
      </c>
      <c r="H7" s="20">
        <f t="shared" si="3"/>
        <v>0</v>
      </c>
      <c r="I7" s="20">
        <f t="shared" si="3"/>
        <v>0</v>
      </c>
      <c r="J7" s="20">
        <f t="shared" si="3"/>
        <v>0</v>
      </c>
      <c r="K7" s="20">
        <f t="shared" si="3"/>
        <v>0</v>
      </c>
      <c r="L7" s="20">
        <f>K36</f>
        <v>0</v>
      </c>
      <c r="M7" s="20">
        <f>L36</f>
        <v>0</v>
      </c>
      <c r="N7" s="20">
        <f>M36</f>
        <v>0</v>
      </c>
      <c r="O7" s="20">
        <f>N36</f>
        <v>0</v>
      </c>
      <c r="P7" s="20">
        <f>D7</f>
        <v>0</v>
      </c>
      <c r="Q7" s="20">
        <f>P36</f>
        <v>0</v>
      </c>
      <c r="R7" s="20">
        <f aca="true" t="shared" si="4" ref="R7:AA7">Q36</f>
        <v>632.627385</v>
      </c>
      <c r="S7" s="20">
        <f t="shared" si="4"/>
        <v>938.8538618003491</v>
      </c>
      <c r="T7" s="20">
        <f t="shared" si="4"/>
        <v>925.7960117256985</v>
      </c>
      <c r="U7" s="20">
        <f t="shared" si="4"/>
        <v>991.8165847760476</v>
      </c>
      <c r="V7" s="20">
        <f t="shared" si="4"/>
        <v>1057.8371578263968</v>
      </c>
      <c r="W7" s="20">
        <f t="shared" si="4"/>
        <v>1202.9361540017462</v>
      </c>
      <c r="X7" s="20">
        <f t="shared" si="4"/>
        <v>1348.0351501770954</v>
      </c>
      <c r="Y7" s="20">
        <f t="shared" si="4"/>
        <v>1493.1341463524445</v>
      </c>
      <c r="Z7" s="20">
        <f t="shared" si="4"/>
        <v>1717.3115656527934</v>
      </c>
      <c r="AA7" s="20">
        <f t="shared" si="4"/>
        <v>2020.5674080781423</v>
      </c>
      <c r="AB7" s="20">
        <f>AA36</f>
        <v>2323.823250503491</v>
      </c>
      <c r="AC7" s="20">
        <f>Q7</f>
        <v>0</v>
      </c>
      <c r="AD7" s="20">
        <f aca="true" t="shared" si="5" ref="AD7:AJ7">AC36</f>
        <v>2627.0790929288405</v>
      </c>
      <c r="AE7" s="20">
        <f t="shared" si="5"/>
        <v>5874.353402033028</v>
      </c>
      <c r="AF7" s="20">
        <f t="shared" si="5"/>
        <v>9789.010808637213</v>
      </c>
      <c r="AG7" s="20">
        <f t="shared" si="5"/>
        <v>15171.7571663907</v>
      </c>
      <c r="AH7" s="20">
        <f t="shared" si="5"/>
        <v>25255.661676440686</v>
      </c>
      <c r="AI7" s="20">
        <f t="shared" si="5"/>
        <v>35974.627303618174</v>
      </c>
      <c r="AJ7" s="20">
        <f t="shared" si="5"/>
        <v>47316.78513990454</v>
      </c>
    </row>
    <row r="8" spans="1:36" s="21" customFormat="1" ht="12.75">
      <c r="A8" s="22" t="s">
        <v>8</v>
      </c>
      <c r="B8" s="23"/>
      <c r="C8" s="23"/>
      <c r="D8" s="24"/>
      <c r="E8" s="24"/>
      <c r="F8" s="24"/>
      <c r="G8" s="25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s="21" customFormat="1" ht="12.75">
      <c r="A9" s="26" t="s">
        <v>15</v>
      </c>
      <c r="B9" s="27">
        <f>SUM(B10:B11)</f>
        <v>333207.84</v>
      </c>
      <c r="C9" s="27"/>
      <c r="D9" s="27">
        <f aca="true" t="shared" si="6" ref="D9:AJ9">SUM(D10:D11)</f>
        <v>0</v>
      </c>
      <c r="E9" s="27">
        <f t="shared" si="6"/>
        <v>0</v>
      </c>
      <c r="F9" s="27">
        <f t="shared" si="6"/>
        <v>0</v>
      </c>
      <c r="G9" s="27">
        <f t="shared" si="6"/>
        <v>0</v>
      </c>
      <c r="H9" s="27">
        <f t="shared" si="6"/>
        <v>0</v>
      </c>
      <c r="I9" s="27">
        <f t="shared" si="6"/>
        <v>0</v>
      </c>
      <c r="J9" s="27">
        <f t="shared" si="6"/>
        <v>0</v>
      </c>
      <c r="K9" s="27">
        <f t="shared" si="6"/>
        <v>0</v>
      </c>
      <c r="L9" s="27">
        <f t="shared" si="6"/>
        <v>0</v>
      </c>
      <c r="M9" s="27">
        <f t="shared" si="6"/>
        <v>0</v>
      </c>
      <c r="N9" s="27">
        <f t="shared" si="6"/>
        <v>0</v>
      </c>
      <c r="O9" s="27">
        <f t="shared" si="6"/>
        <v>0</v>
      </c>
      <c r="P9" s="27">
        <f t="shared" si="6"/>
        <v>0</v>
      </c>
      <c r="Q9" s="27">
        <f t="shared" si="6"/>
        <v>1700.04</v>
      </c>
      <c r="R9" s="27">
        <f t="shared" si="6"/>
        <v>1912.545</v>
      </c>
      <c r="S9" s="27">
        <f t="shared" si="6"/>
        <v>2125.05</v>
      </c>
      <c r="T9" s="27">
        <f t="shared" si="6"/>
        <v>2337.555</v>
      </c>
      <c r="U9" s="27">
        <f t="shared" si="6"/>
        <v>2337.555</v>
      </c>
      <c r="V9" s="27">
        <f t="shared" si="6"/>
        <v>2550.06</v>
      </c>
      <c r="W9" s="27">
        <f t="shared" si="6"/>
        <v>2550.06</v>
      </c>
      <c r="X9" s="27">
        <f t="shared" si="6"/>
        <v>2550.06</v>
      </c>
      <c r="Y9" s="27">
        <f t="shared" si="6"/>
        <v>2762.565</v>
      </c>
      <c r="Z9" s="27">
        <f t="shared" si="6"/>
        <v>2975.07</v>
      </c>
      <c r="AA9" s="27">
        <f t="shared" si="6"/>
        <v>2975.07</v>
      </c>
      <c r="AB9" s="27">
        <f t="shared" si="6"/>
        <v>2975.07</v>
      </c>
      <c r="AC9" s="27">
        <f t="shared" si="6"/>
        <v>29750.699999999997</v>
      </c>
      <c r="AD9" s="27">
        <f t="shared" si="6"/>
        <v>35700.84</v>
      </c>
      <c r="AE9" s="27">
        <f t="shared" si="6"/>
        <v>38250.9</v>
      </c>
      <c r="AF9" s="27">
        <f t="shared" si="6"/>
        <v>40800.96</v>
      </c>
      <c r="AG9" s="27">
        <f t="shared" si="6"/>
        <v>43351.02</v>
      </c>
      <c r="AH9" s="27">
        <f t="shared" si="6"/>
        <v>45901.08</v>
      </c>
      <c r="AI9" s="27">
        <f t="shared" si="6"/>
        <v>48451.14</v>
      </c>
      <c r="AJ9" s="27">
        <f t="shared" si="6"/>
        <v>51001.2</v>
      </c>
    </row>
    <row r="10" spans="1:36" ht="12.75">
      <c r="A10" s="28" t="str">
        <f>'2-ф2'!A6</f>
        <v>Чистка промышленного оборудования</v>
      </c>
      <c r="B10" s="27">
        <f>P10+AC10+AD10+AE10+AF10+AG10+AH10+AI10+AJ10</f>
        <v>333207.84</v>
      </c>
      <c r="C10" s="27"/>
      <c r="D10" s="29">
        <f>'2-ф2'!D6*Исх!$C$20</f>
        <v>0</v>
      </c>
      <c r="E10" s="29">
        <f>'2-ф2'!E6*Исх!$C$20</f>
        <v>0</v>
      </c>
      <c r="F10" s="29">
        <f>'2-ф2'!F6*Исх!$C$20</f>
        <v>0</v>
      </c>
      <c r="G10" s="29">
        <f>'2-ф2'!G6*Исх!$C$20</f>
        <v>0</v>
      </c>
      <c r="H10" s="29">
        <f>'2-ф2'!H6*Исх!$C$20</f>
        <v>0</v>
      </c>
      <c r="I10" s="29">
        <f>'2-ф2'!I6*Исх!$C$20</f>
        <v>0</v>
      </c>
      <c r="J10" s="29">
        <f>'2-ф2'!J6*Исх!$C$20</f>
        <v>0</v>
      </c>
      <c r="K10" s="29">
        <f>'2-ф2'!K6*Исх!$C$20</f>
        <v>0</v>
      </c>
      <c r="L10" s="29">
        <f>'2-ф2'!L6*Исх!$C$20</f>
        <v>0</v>
      </c>
      <c r="M10" s="29">
        <f>'2-ф2'!M6*Исх!$C$20</f>
        <v>0</v>
      </c>
      <c r="N10" s="29">
        <f>'2-ф2'!N6*Исх!$C$20</f>
        <v>0</v>
      </c>
      <c r="O10" s="29">
        <f>'2-ф2'!O6*Исх!$C$20</f>
        <v>0</v>
      </c>
      <c r="P10" s="27">
        <f>SUM(D10:O10)</f>
        <v>0</v>
      </c>
      <c r="Q10" s="29">
        <f>'2-ф2'!Q6*Исх!$C$20</f>
        <v>1700.04</v>
      </c>
      <c r="R10" s="29">
        <f>'2-ф2'!R6*Исх!$C$20</f>
        <v>1912.545</v>
      </c>
      <c r="S10" s="29">
        <f>'2-ф2'!S6*Исх!$C$20</f>
        <v>2125.05</v>
      </c>
      <c r="T10" s="29">
        <f>'2-ф2'!T6*Исх!$C$20</f>
        <v>2337.555</v>
      </c>
      <c r="U10" s="29">
        <f>'2-ф2'!U6*Исх!$C$20</f>
        <v>2337.555</v>
      </c>
      <c r="V10" s="29">
        <f>'2-ф2'!V6*Исх!$C$20</f>
        <v>2550.06</v>
      </c>
      <c r="W10" s="29">
        <f>'2-ф2'!W6*Исх!$C$20</f>
        <v>2550.06</v>
      </c>
      <c r="X10" s="29">
        <f>'2-ф2'!X6*Исх!$C$20</f>
        <v>2550.06</v>
      </c>
      <c r="Y10" s="29">
        <f>'2-ф2'!Y6*Исх!$C$20</f>
        <v>2762.565</v>
      </c>
      <c r="Z10" s="29">
        <f>'2-ф2'!Z6*Исх!$C$20</f>
        <v>2975.07</v>
      </c>
      <c r="AA10" s="29">
        <f>'2-ф2'!AA6*Исх!$C$20</f>
        <v>2975.07</v>
      </c>
      <c r="AB10" s="29">
        <f>'2-ф2'!AB6*Исх!$C$20</f>
        <v>2975.07</v>
      </c>
      <c r="AC10" s="27">
        <f>SUM(Q10:AB10)</f>
        <v>29750.699999999997</v>
      </c>
      <c r="AD10" s="29">
        <f>'2-ф2'!AD6*Исх!$C$20</f>
        <v>35700.84</v>
      </c>
      <c r="AE10" s="29">
        <f>'2-ф2'!AE6*Исх!$C$20</f>
        <v>38250.9</v>
      </c>
      <c r="AF10" s="29">
        <f>'2-ф2'!AF6*Исх!$C$20</f>
        <v>40800.96</v>
      </c>
      <c r="AG10" s="29">
        <f>'2-ф2'!AG6*Исх!$C$20</f>
        <v>43351.02</v>
      </c>
      <c r="AH10" s="29">
        <f>'2-ф2'!AH6*Исх!$C$20</f>
        <v>45901.08</v>
      </c>
      <c r="AI10" s="29">
        <f>'2-ф2'!AI6*Исх!$C$20</f>
        <v>48451.14</v>
      </c>
      <c r="AJ10" s="29">
        <f>'2-ф2'!AJ6*Исх!$C$20</f>
        <v>51001.2</v>
      </c>
    </row>
    <row r="11" spans="1:36" ht="12.75" hidden="1">
      <c r="A11" s="28">
        <f>'2-ф2'!A7</f>
        <v>0</v>
      </c>
      <c r="B11" s="27">
        <f>P11+AC11+AD11+AE11+AF11+AG11+AH11+AI11+AJ11</f>
        <v>0</v>
      </c>
      <c r="C11" s="27"/>
      <c r="D11" s="29">
        <f>'2-ф2'!D7*Исх!$C$20</f>
        <v>0</v>
      </c>
      <c r="E11" s="29">
        <f>'2-ф2'!E7*Исх!$C$20</f>
        <v>0</v>
      </c>
      <c r="F11" s="29">
        <f>'2-ф2'!F7*Исх!$C$20</f>
        <v>0</v>
      </c>
      <c r="G11" s="29">
        <f>'2-ф2'!G7*Исх!$C$20</f>
        <v>0</v>
      </c>
      <c r="H11" s="29">
        <f>'2-ф2'!H7*Исх!$C$20</f>
        <v>0</v>
      </c>
      <c r="I11" s="29">
        <f>'2-ф2'!I7*Исх!$C$20</f>
        <v>0</v>
      </c>
      <c r="J11" s="29">
        <f>'2-ф2'!J7*Исх!$C$20</f>
        <v>0</v>
      </c>
      <c r="K11" s="29">
        <f>'2-ф2'!K7*Исх!$C$20</f>
        <v>0</v>
      </c>
      <c r="L11" s="29">
        <f>'2-ф2'!L7*Исх!$C$20</f>
        <v>0</v>
      </c>
      <c r="M11" s="29">
        <f>'2-ф2'!M7*Исх!$C$20</f>
        <v>0</v>
      </c>
      <c r="N11" s="29">
        <f>'2-ф2'!N7*Исх!$C$20</f>
        <v>0</v>
      </c>
      <c r="O11" s="29">
        <f>'2-ф2'!O7*Исх!$C$20</f>
        <v>0</v>
      </c>
      <c r="P11" s="27">
        <f>SUM(D11:O11)</f>
        <v>0</v>
      </c>
      <c r="Q11" s="29">
        <f>'2-ф2'!Q7*Исх!$C$20</f>
        <v>0</v>
      </c>
      <c r="R11" s="29">
        <f>'2-ф2'!R7*Исх!$C$20</f>
        <v>0</v>
      </c>
      <c r="S11" s="29">
        <f>'2-ф2'!S7*Исх!$C$20</f>
        <v>0</v>
      </c>
      <c r="T11" s="29">
        <f>'2-ф2'!T7*Исх!$C$20</f>
        <v>0</v>
      </c>
      <c r="U11" s="29">
        <f>'2-ф2'!U7*Исх!$C$20</f>
        <v>0</v>
      </c>
      <c r="V11" s="29">
        <f>'2-ф2'!V7*Исх!$C$20</f>
        <v>0</v>
      </c>
      <c r="W11" s="29">
        <f>'2-ф2'!W7*Исх!$C$20</f>
        <v>0</v>
      </c>
      <c r="X11" s="29">
        <f>'2-ф2'!X7*Исх!$C$20</f>
        <v>0</v>
      </c>
      <c r="Y11" s="29">
        <f>'2-ф2'!Y7*Исх!$C$20</f>
        <v>0</v>
      </c>
      <c r="Z11" s="29">
        <f>'2-ф2'!Z7*Исх!$C$20</f>
        <v>0</v>
      </c>
      <c r="AA11" s="29">
        <f>'2-ф2'!AA7*Исх!$C$20</f>
        <v>0</v>
      </c>
      <c r="AB11" s="29">
        <f>'2-ф2'!AB7*Исх!$C$20</f>
        <v>0</v>
      </c>
      <c r="AC11" s="27">
        <f>SUM(Q11:AB11)</f>
        <v>0</v>
      </c>
      <c r="AD11" s="29">
        <f>'2-ф2'!AD7*Исх!$C$20</f>
        <v>0</v>
      </c>
      <c r="AE11" s="29">
        <f>'2-ф2'!AE7*Исх!$C$20</f>
        <v>0</v>
      </c>
      <c r="AF11" s="29">
        <f>'2-ф2'!AF7*Исх!$C$20</f>
        <v>0</v>
      </c>
      <c r="AG11" s="29">
        <f>'2-ф2'!AG7*Исх!$C$20</f>
        <v>0</v>
      </c>
      <c r="AH11" s="29">
        <f>'2-ф2'!AH7*Исх!$C$20</f>
        <v>0</v>
      </c>
      <c r="AI11" s="29">
        <f>'2-ф2'!AI7*Исх!$C$20</f>
        <v>0</v>
      </c>
      <c r="AJ11" s="29">
        <f>'2-ф2'!AJ7*Исх!$C$20</f>
        <v>0</v>
      </c>
    </row>
    <row r="12" spans="1:36" s="21" customFormat="1" ht="12.75">
      <c r="A12" s="30" t="s">
        <v>3</v>
      </c>
      <c r="B12" s="27">
        <f aca="true" t="shared" si="7" ref="B12:B18">P12+AC12+AD12+AE12+AF12+AG12+AH12+AI12+AJ12</f>
        <v>259318.88556891153</v>
      </c>
      <c r="C12" s="27"/>
      <c r="D12" s="31">
        <f aca="true" t="shared" si="8" ref="D12:AJ12">SUM(D13:D18)</f>
        <v>0</v>
      </c>
      <c r="E12" s="31">
        <f t="shared" si="8"/>
        <v>0</v>
      </c>
      <c r="F12" s="31">
        <f t="shared" si="8"/>
        <v>0</v>
      </c>
      <c r="G12" s="31">
        <f t="shared" si="8"/>
        <v>0</v>
      </c>
      <c r="H12" s="31">
        <f t="shared" si="8"/>
        <v>0</v>
      </c>
      <c r="I12" s="31">
        <f t="shared" si="8"/>
        <v>0</v>
      </c>
      <c r="J12" s="31">
        <f t="shared" si="8"/>
        <v>0</v>
      </c>
      <c r="K12" s="31">
        <f t="shared" si="8"/>
        <v>0</v>
      </c>
      <c r="L12" s="31">
        <f t="shared" si="8"/>
        <v>0</v>
      </c>
      <c r="M12" s="31">
        <f t="shared" si="8"/>
        <v>0</v>
      </c>
      <c r="N12" s="31">
        <f t="shared" si="8"/>
        <v>0</v>
      </c>
      <c r="O12" s="31">
        <f t="shared" si="8"/>
        <v>591.401415</v>
      </c>
      <c r="P12" s="31">
        <f t="shared" si="8"/>
        <v>591.401415</v>
      </c>
      <c r="Q12" s="31">
        <f t="shared" si="8"/>
        <v>1465.775365</v>
      </c>
      <c r="R12" s="31">
        <f t="shared" si="8"/>
        <v>1692.5784915412155</v>
      </c>
      <c r="S12" s="31">
        <f t="shared" si="8"/>
        <v>1824.1844688565413</v>
      </c>
      <c r="T12" s="31">
        <f t="shared" si="8"/>
        <v>1955.7798260077686</v>
      </c>
      <c r="U12" s="31">
        <f t="shared" si="8"/>
        <v>1953.937924168941</v>
      </c>
      <c r="V12" s="31">
        <f t="shared" si="8"/>
        <v>2085.51185477772</v>
      </c>
      <c r="W12" s="31">
        <f t="shared" si="8"/>
        <v>2083.64840140828</v>
      </c>
      <c r="X12" s="31">
        <f t="shared" si="8"/>
        <v>2081.7740778941843</v>
      </c>
      <c r="Y12" s="31">
        <f t="shared" si="8"/>
        <v>2213.315397701257</v>
      </c>
      <c r="Z12" s="31">
        <f t="shared" si="8"/>
        <v>2344.845720175433</v>
      </c>
      <c r="AA12" s="31">
        <f t="shared" si="8"/>
        <v>2342.9384042906045</v>
      </c>
      <c r="AB12" s="31">
        <f t="shared" si="8"/>
        <v>2341.019962396447</v>
      </c>
      <c r="AC12" s="31">
        <f t="shared" si="8"/>
        <v>24385.309894218393</v>
      </c>
      <c r="AD12" s="31">
        <f t="shared" si="8"/>
        <v>28330.25727471576</v>
      </c>
      <c r="AE12" s="31">
        <f t="shared" si="8"/>
        <v>29914.859878414914</v>
      </c>
      <c r="AF12" s="31">
        <f t="shared" si="8"/>
        <v>31490.53277205197</v>
      </c>
      <c r="AG12" s="31">
        <f t="shared" si="8"/>
        <v>33267.11548995001</v>
      </c>
      <c r="AH12" s="31">
        <f t="shared" si="8"/>
        <v>35182.114372822514</v>
      </c>
      <c r="AI12" s="31">
        <f t="shared" si="8"/>
        <v>37108.982163713634</v>
      </c>
      <c r="AJ12" s="31">
        <f t="shared" si="8"/>
        <v>39048.31230802432</v>
      </c>
    </row>
    <row r="13" spans="1:36" ht="12.75">
      <c r="A13" s="28" t="str">
        <f>'2-ф2'!A9</f>
        <v>Заработная плата</v>
      </c>
      <c r="B13" s="27">
        <f t="shared" si="7"/>
        <v>83301.96</v>
      </c>
      <c r="C13" s="32"/>
      <c r="D13" s="29">
        <f>'2-ф2'!D9</f>
        <v>0</v>
      </c>
      <c r="E13" s="29">
        <f>'2-ф2'!E9</f>
        <v>0</v>
      </c>
      <c r="F13" s="29">
        <f>'2-ф2'!F9</f>
        <v>0</v>
      </c>
      <c r="G13" s="29">
        <f>'2-ф2'!G9</f>
        <v>0</v>
      </c>
      <c r="H13" s="29">
        <f>'2-ф2'!H9</f>
        <v>0</v>
      </c>
      <c r="I13" s="29">
        <f>'2-ф2'!I9</f>
        <v>0</v>
      </c>
      <c r="J13" s="29">
        <f>'2-ф2'!J9</f>
        <v>0</v>
      </c>
      <c r="K13" s="29">
        <f>'2-ф2'!K9</f>
        <v>0</v>
      </c>
      <c r="L13" s="29">
        <f>'2-ф2'!L9</f>
        <v>0</v>
      </c>
      <c r="M13" s="29">
        <f>'2-ф2'!M9</f>
        <v>0</v>
      </c>
      <c r="N13" s="29">
        <f>'2-ф2'!N9</f>
        <v>0</v>
      </c>
      <c r="O13" s="29">
        <f>'2-ф2'!O9</f>
        <v>0</v>
      </c>
      <c r="P13" s="27">
        <f aca="true" t="shared" si="9" ref="P13:P18">SUM(D13:O13)</f>
        <v>0</v>
      </c>
      <c r="Q13" s="29">
        <f>'2-ф2'!Q9</f>
        <v>425.01</v>
      </c>
      <c r="R13" s="29">
        <f>'2-ф2'!R9</f>
        <v>478.13625</v>
      </c>
      <c r="S13" s="29">
        <f>'2-ф2'!S9</f>
        <v>531.2625</v>
      </c>
      <c r="T13" s="29">
        <f>'2-ф2'!T9</f>
        <v>584.38875</v>
      </c>
      <c r="U13" s="29">
        <f>'2-ф2'!U9</f>
        <v>584.38875</v>
      </c>
      <c r="V13" s="29">
        <f>'2-ф2'!V9</f>
        <v>637.515</v>
      </c>
      <c r="W13" s="29">
        <f>'2-ф2'!W9</f>
        <v>637.515</v>
      </c>
      <c r="X13" s="29">
        <f>'2-ф2'!X9</f>
        <v>637.515</v>
      </c>
      <c r="Y13" s="29">
        <f>'2-ф2'!Y9</f>
        <v>690.64125</v>
      </c>
      <c r="Z13" s="29">
        <f>'2-ф2'!Z9</f>
        <v>743.7675</v>
      </c>
      <c r="AA13" s="29">
        <f>'2-ф2'!AA9</f>
        <v>743.7675</v>
      </c>
      <c r="AB13" s="29">
        <f>'2-ф2'!AB9</f>
        <v>743.7675</v>
      </c>
      <c r="AC13" s="27">
        <f aca="true" t="shared" si="10" ref="AC13:AC18">SUM(Q13:AB13)</f>
        <v>7437.674999999999</v>
      </c>
      <c r="AD13" s="29">
        <f>'2-ф2'!AD9</f>
        <v>8925.21</v>
      </c>
      <c r="AE13" s="29">
        <f>'2-ф2'!AE9</f>
        <v>9562.725</v>
      </c>
      <c r="AF13" s="29">
        <f>'2-ф2'!AF9</f>
        <v>10200.24</v>
      </c>
      <c r="AG13" s="29">
        <f>'2-ф2'!AG9</f>
        <v>10837.755</v>
      </c>
      <c r="AH13" s="29">
        <f>'2-ф2'!AH9</f>
        <v>11475.27</v>
      </c>
      <c r="AI13" s="29">
        <f>'2-ф2'!AI9</f>
        <v>12112.785</v>
      </c>
      <c r="AJ13" s="29">
        <f>'2-ф2'!AJ9</f>
        <v>12750.3</v>
      </c>
    </row>
    <row r="14" spans="1:36" ht="12.75">
      <c r="A14" s="28" t="str">
        <f>'2-ф2'!A10</f>
        <v>Чистящие средства</v>
      </c>
      <c r="B14" s="27">
        <f>P14+AC14+AD14+AE14+AF14+AG14+AH14+AI14+AJ14</f>
        <v>116506.07875500002</v>
      </c>
      <c r="C14" s="32"/>
      <c r="D14" s="29">
        <f>'2-ф2'!D10</f>
        <v>0</v>
      </c>
      <c r="E14" s="29">
        <f>'2-ф2'!E10</f>
        <v>0</v>
      </c>
      <c r="F14" s="29">
        <f>'2-ф2'!F10</f>
        <v>0</v>
      </c>
      <c r="G14" s="29">
        <f>'2-ф2'!G10</f>
        <v>0</v>
      </c>
      <c r="H14" s="29">
        <f>'2-ф2'!H10</f>
        <v>0</v>
      </c>
      <c r="I14" s="29">
        <f>'2-ф2'!I10</f>
        <v>0</v>
      </c>
      <c r="J14" s="29">
        <f>'2-ф2'!J10</f>
        <v>0</v>
      </c>
      <c r="K14" s="29">
        <f>'2-ф2'!K10</f>
        <v>0</v>
      </c>
      <c r="L14" s="29">
        <f>'2-ф2'!L10</f>
        <v>0</v>
      </c>
      <c r="M14" s="29">
        <f>'2-ф2'!M10</f>
        <v>0</v>
      </c>
      <c r="N14" s="29">
        <f>'2-ф2'!N10</f>
        <v>0</v>
      </c>
      <c r="O14" s="29">
        <f>Q14</f>
        <v>591.401415</v>
      </c>
      <c r="P14" s="27">
        <f t="shared" si="9"/>
        <v>591.401415</v>
      </c>
      <c r="Q14" s="29">
        <f>'2-ф2'!Q10</f>
        <v>591.401415</v>
      </c>
      <c r="R14" s="29">
        <f>'2-ф2'!R10</f>
        <v>665.3265918750001</v>
      </c>
      <c r="S14" s="29">
        <f>'2-ф2'!S10</f>
        <v>739.25176875</v>
      </c>
      <c r="T14" s="29">
        <f>'2-ф2'!T10</f>
        <v>813.176945625</v>
      </c>
      <c r="U14" s="29">
        <f>'2-ф2'!U10</f>
        <v>813.176945625</v>
      </c>
      <c r="V14" s="29">
        <f>'2-ф2'!V10</f>
        <v>887.1021225000001</v>
      </c>
      <c r="W14" s="29">
        <f>'2-ф2'!W10</f>
        <v>887.1021225000001</v>
      </c>
      <c r="X14" s="29">
        <f>'2-ф2'!X10</f>
        <v>887.1021225000001</v>
      </c>
      <c r="Y14" s="29">
        <f>'2-ф2'!Y10</f>
        <v>961.0272993750001</v>
      </c>
      <c r="Z14" s="29">
        <f>'2-ф2'!Z10</f>
        <v>1034.95247625</v>
      </c>
      <c r="AA14" s="29">
        <f>'2-ф2'!AA10</f>
        <v>1034.95247625</v>
      </c>
      <c r="AB14" s="29">
        <f>'2-ф2'!AB10</f>
        <v>1034.95247625</v>
      </c>
      <c r="AC14" s="27">
        <f t="shared" si="10"/>
        <v>10349.524762500003</v>
      </c>
      <c r="AD14" s="29">
        <f>'2-ф2'!AD10</f>
        <v>12419.429715000002</v>
      </c>
      <c r="AE14" s="29">
        <f>'2-ф2'!AE10</f>
        <v>13306.531837500002</v>
      </c>
      <c r="AF14" s="29">
        <f>'2-ф2'!AF10</f>
        <v>14193.633960000001</v>
      </c>
      <c r="AG14" s="29">
        <f>'2-ф2'!AG10</f>
        <v>15080.736082500001</v>
      </c>
      <c r="AH14" s="29">
        <f>'2-ф2'!AH10</f>
        <v>15967.838205000002</v>
      </c>
      <c r="AI14" s="29">
        <f>'2-ф2'!AI10</f>
        <v>16854.9403275</v>
      </c>
      <c r="AJ14" s="29">
        <f>'2-ф2'!AJ10</f>
        <v>17742.042450000004</v>
      </c>
    </row>
    <row r="15" spans="1:36" ht="12.75">
      <c r="A15" s="28" t="s">
        <v>134</v>
      </c>
      <c r="B15" s="27">
        <f t="shared" si="7"/>
        <v>47275.450218510436</v>
      </c>
      <c r="C15" s="27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>
        <f>(Пост!$C$16-Пост!$C$6)*Исх!$C$20+Пост!$C$6+Пост!$C$18+Пост!$C$21</f>
        <v>0</v>
      </c>
      <c r="O15" s="29">
        <f>(Пост!$C$16-Пост!$C$6)*Исх!$C$20+Пост!$C$6+Пост!$C$18+Пост!$C$21</f>
        <v>0</v>
      </c>
      <c r="P15" s="27">
        <f t="shared" si="9"/>
        <v>0</v>
      </c>
      <c r="Q15" s="29">
        <f>(Пост!$D$16-Пост!$D$6)*Исх!$C$20+Пост!$D$6+Пост!$D$18+Пост!$D$21</f>
        <v>398.36275000000006</v>
      </c>
      <c r="R15" s="29">
        <f>(Пост!$D$16-Пост!$D$6)*Исх!$C$20+Пост!$D$6+Пост!$D$18+Пост!$D$21</f>
        <v>398.36275000000006</v>
      </c>
      <c r="S15" s="29">
        <f>(Пост!$D$16-Пост!$D$6)*Исх!$C$20+Пост!$D$6+Пост!$D$18+Пост!$D$21</f>
        <v>398.36275000000006</v>
      </c>
      <c r="T15" s="29">
        <f>(Пост!$D$16-Пост!$D$6)*Исх!$C$20+Пост!$D$6+Пост!$D$18+Пост!$D$21</f>
        <v>398.36275000000006</v>
      </c>
      <c r="U15" s="29">
        <f>(Пост!$D$16-Пост!$D$6)*Исх!$C$20+Пост!$D$6+Пост!$D$18+Пост!$D$21</f>
        <v>398.36275000000006</v>
      </c>
      <c r="V15" s="29">
        <f>(Пост!$D$16-Пост!$D$6)*Исх!$C$20+Пост!$D$6+Пост!$D$18+Пост!$D$21</f>
        <v>398.36275000000006</v>
      </c>
      <c r="W15" s="29">
        <f>(Пост!$D$16-Пост!$D$6)*Исх!$C$20+Пост!$D$6+Пост!$D$18+Пост!$D$21</f>
        <v>398.36275000000006</v>
      </c>
      <c r="X15" s="29">
        <f>(Пост!$D$16-Пост!$D$6)*Исх!$C$20+Пост!$D$6+Пост!$D$18+Пост!$D$21</f>
        <v>398.36275000000006</v>
      </c>
      <c r="Y15" s="29">
        <f>(Пост!$D$16-Пост!$D$6)*Исх!$C$20+Пост!$D$6+Пост!$D$18+Пост!$D$21</f>
        <v>398.36275000000006</v>
      </c>
      <c r="Z15" s="29">
        <f>(Пост!$D$16-Пост!$D$6)*Исх!$C$20+Пост!$D$6+Пост!$D$18+Пост!$D$21</f>
        <v>398.36275000000006</v>
      </c>
      <c r="AA15" s="29">
        <f>(Пост!$D$16-Пост!$D$6)*Исх!$C$20+Пост!$D$6+Пост!$D$18+Пост!$D$21</f>
        <v>398.36275000000006</v>
      </c>
      <c r="AB15" s="29">
        <f>(Пост!$D$16-Пост!$D$6)*Исх!$C$20+Пост!$D$6+Пост!$D$18+Пост!$D$21</f>
        <v>398.36275000000006</v>
      </c>
      <c r="AC15" s="27">
        <f t="shared" si="10"/>
        <v>4780.353000000002</v>
      </c>
      <c r="AD15" s="29">
        <f>((Пост!E16-Пост!E6)*Исх!$C$20+Пост!E6+Пост!E18+Пост!E21)*12</f>
        <v>5172.1488</v>
      </c>
      <c r="AE15" s="29">
        <f>((Пост!F16-Пост!F6)*Исх!$C$20+Пост!F6+Пост!F18+Пост!F21)*12</f>
        <v>5453.706779999999</v>
      </c>
      <c r="AF15" s="29">
        <f>((Пост!G16-Пост!G6)*Исх!$C$20+Пост!G6+Пост!G18+Пост!G21)*12</f>
        <v>5745.517569000001</v>
      </c>
      <c r="AG15" s="29">
        <f>((Пост!H16-Пост!H6)*Исх!$C$20+Пост!H6+Пост!H18+Пост!H21)*12</f>
        <v>6048.09380745</v>
      </c>
      <c r="AH15" s="29">
        <f>((Пост!I16-Пост!I6)*Исх!$C$20+Пост!I6+Пост!I18+Пост!I21)*12</f>
        <v>6361.973767822499</v>
      </c>
      <c r="AI15" s="29">
        <f>((Пост!J16-Пост!J6)*Исх!$C$20+Пост!J6+Пост!J18+Пост!J21)*12</f>
        <v>6687.722636213624</v>
      </c>
      <c r="AJ15" s="29">
        <f>((Пост!K16-Пост!K6)*Исх!$C$20+Пост!K6+Пост!K18+Пост!K21)*12</f>
        <v>7025.933858024304</v>
      </c>
    </row>
    <row r="16" spans="1:36" ht="12.75">
      <c r="A16" s="28" t="s">
        <v>187</v>
      </c>
      <c r="B16" s="27">
        <f t="shared" si="7"/>
        <v>2239.16139540105</v>
      </c>
      <c r="C16" s="27"/>
      <c r="D16" s="29">
        <f>кр!C11</f>
        <v>0</v>
      </c>
      <c r="E16" s="29">
        <f>кр!D11</f>
        <v>0</v>
      </c>
      <c r="F16" s="29">
        <f>кр!E11</f>
        <v>0</v>
      </c>
      <c r="G16" s="29">
        <f>кр!F11</f>
        <v>0</v>
      </c>
      <c r="H16" s="29">
        <f>кр!G11</f>
        <v>0</v>
      </c>
      <c r="I16" s="29">
        <f>кр!H11</f>
        <v>0</v>
      </c>
      <c r="J16" s="29">
        <f>кр!I11</f>
        <v>0</v>
      </c>
      <c r="K16" s="29">
        <f>кр!J11</f>
        <v>0</v>
      </c>
      <c r="L16" s="29">
        <f>кр!K11</f>
        <v>0</v>
      </c>
      <c r="M16" s="29">
        <f>кр!L11</f>
        <v>0</v>
      </c>
      <c r="N16" s="29">
        <f>кр!M11</f>
        <v>0</v>
      </c>
      <c r="O16" s="29">
        <f>кр!N11</f>
        <v>0</v>
      </c>
      <c r="P16" s="27">
        <f t="shared" si="9"/>
        <v>0</v>
      </c>
      <c r="Q16" s="29">
        <f>кр!P11</f>
        <v>0</v>
      </c>
      <c r="R16" s="29">
        <f>кр!Q11</f>
        <v>93.3765496662153</v>
      </c>
      <c r="S16" s="29">
        <f>кр!R11</f>
        <v>91.55595010654109</v>
      </c>
      <c r="T16" s="29">
        <f>кр!S11</f>
        <v>89.72473038276878</v>
      </c>
      <c r="U16" s="29">
        <f>кр!T11</f>
        <v>87.88282854394113</v>
      </c>
      <c r="V16" s="29">
        <f>кр!U11</f>
        <v>86.03018227772031</v>
      </c>
      <c r="W16" s="29">
        <f>кр!V11</f>
        <v>84.1667289082799</v>
      </c>
      <c r="X16" s="29">
        <f>кр!W11</f>
        <v>82.2924053941844</v>
      </c>
      <c r="Y16" s="29">
        <f>кр!X11</f>
        <v>80.40714832625669</v>
      </c>
      <c r="Z16" s="29">
        <f>кр!Y11</f>
        <v>78.51089392543273</v>
      </c>
      <c r="AA16" s="29">
        <f>кр!Z11</f>
        <v>76.60357804060395</v>
      </c>
      <c r="AB16" s="29">
        <f>кр!AA11</f>
        <v>74.68513614644701</v>
      </c>
      <c r="AC16" s="27">
        <f t="shared" si="10"/>
        <v>925.2361317183911</v>
      </c>
      <c r="AD16" s="33">
        <f>кр!AO11</f>
        <v>742.4435597157604</v>
      </c>
      <c r="AE16" s="33">
        <f>кр!BB11</f>
        <v>444.36926091490767</v>
      </c>
      <c r="AF16" s="33">
        <f>кр!BO11</f>
        <v>127.11244305196911</v>
      </c>
      <c r="AG16" s="33">
        <f>кр!CB11</f>
        <v>5.534843694476876E-12</v>
      </c>
      <c r="AH16" s="33">
        <f>кр!CO11</f>
        <v>5.534843694476876E-12</v>
      </c>
      <c r="AI16" s="33">
        <f>кр!DB11</f>
        <v>5.534843694476876E-12</v>
      </c>
      <c r="AJ16" s="33">
        <f>кр!DO11</f>
        <v>5.534843694476876E-12</v>
      </c>
    </row>
    <row r="17" spans="1:36" ht="12.75">
      <c r="A17" s="28" t="str">
        <f>'2-ф2'!A16</f>
        <v>Подоходный налог, соц.налог</v>
      </c>
      <c r="B17" s="27">
        <f t="shared" si="7"/>
        <v>9996.2352</v>
      </c>
      <c r="C17" s="27"/>
      <c r="D17" s="29">
        <f>'2-ф2'!D16</f>
        <v>0</v>
      </c>
      <c r="E17" s="29">
        <f>'2-ф2'!E16</f>
        <v>0</v>
      </c>
      <c r="F17" s="29">
        <f>'2-ф2'!F16</f>
        <v>0</v>
      </c>
      <c r="G17" s="29">
        <f>'2-ф2'!G16</f>
        <v>0</v>
      </c>
      <c r="H17" s="29">
        <f>'2-ф2'!H16</f>
        <v>0</v>
      </c>
      <c r="I17" s="29">
        <f>'2-ф2'!I16</f>
        <v>0</v>
      </c>
      <c r="J17" s="29">
        <f>'2-ф2'!J16</f>
        <v>0</v>
      </c>
      <c r="K17" s="29">
        <f>'2-ф2'!K16</f>
        <v>0</v>
      </c>
      <c r="L17" s="29">
        <f>'2-ф2'!L16</f>
        <v>0</v>
      </c>
      <c r="M17" s="29">
        <f>'2-ф2'!M16</f>
        <v>0</v>
      </c>
      <c r="N17" s="29">
        <f>'2-ф2'!N16</f>
        <v>0</v>
      </c>
      <c r="O17" s="29">
        <f>'2-ф2'!O16</f>
        <v>0</v>
      </c>
      <c r="P17" s="27">
        <f t="shared" si="9"/>
        <v>0</v>
      </c>
      <c r="Q17" s="29">
        <f>'2-ф2'!Q16</f>
        <v>51.0012</v>
      </c>
      <c r="R17" s="29">
        <f>'2-ф2'!R16</f>
        <v>57.37635</v>
      </c>
      <c r="S17" s="29">
        <f>'2-ф2'!S16</f>
        <v>63.7515</v>
      </c>
      <c r="T17" s="29">
        <f>'2-ф2'!T16</f>
        <v>70.12665</v>
      </c>
      <c r="U17" s="29">
        <f>'2-ф2'!U16</f>
        <v>70.12665</v>
      </c>
      <c r="V17" s="29">
        <f>'2-ф2'!V16</f>
        <v>76.50179999999999</v>
      </c>
      <c r="W17" s="29">
        <f>'2-ф2'!W16</f>
        <v>76.50179999999999</v>
      </c>
      <c r="X17" s="29">
        <f>'2-ф2'!X16</f>
        <v>76.50179999999999</v>
      </c>
      <c r="Y17" s="29">
        <f>'2-ф2'!Y16</f>
        <v>82.87695</v>
      </c>
      <c r="Z17" s="29">
        <f>'2-ф2'!Z16</f>
        <v>89.2521</v>
      </c>
      <c r="AA17" s="29">
        <f>'2-ф2'!AA16</f>
        <v>89.2521</v>
      </c>
      <c r="AB17" s="29">
        <f>'2-ф2'!AB16</f>
        <v>89.2521</v>
      </c>
      <c r="AC17" s="27">
        <f t="shared" si="10"/>
        <v>892.5210000000001</v>
      </c>
      <c r="AD17" s="29">
        <f>'2-ф2'!AD16</f>
        <v>1071.0251999999998</v>
      </c>
      <c r="AE17" s="29">
        <f>'2-ф2'!AE16</f>
        <v>1147.527</v>
      </c>
      <c r="AF17" s="29">
        <f>'2-ф2'!AF16</f>
        <v>1224.0287999999998</v>
      </c>
      <c r="AG17" s="29">
        <f>'2-ф2'!AG16</f>
        <v>1300.5305999999998</v>
      </c>
      <c r="AH17" s="29">
        <f>'2-ф2'!AH16</f>
        <v>1377.0324</v>
      </c>
      <c r="AI17" s="29">
        <f>'2-ф2'!AI16</f>
        <v>1453.5341999999998</v>
      </c>
      <c r="AJ17" s="29">
        <f>'2-ф2'!AJ16</f>
        <v>1530.0359999999998</v>
      </c>
    </row>
    <row r="18" spans="1:36" ht="12.75">
      <c r="A18" s="28" t="s">
        <v>29</v>
      </c>
      <c r="B18" s="27">
        <f t="shared" si="7"/>
        <v>0</v>
      </c>
      <c r="C18" s="27"/>
      <c r="D18" s="29">
        <f>'2-ф2'!D29</f>
        <v>0</v>
      </c>
      <c r="E18" s="29">
        <f>'2-ф2'!E29</f>
        <v>0</v>
      </c>
      <c r="F18" s="29">
        <f>'2-ф2'!F29</f>
        <v>0</v>
      </c>
      <c r="G18" s="29">
        <f>'2-ф2'!G29</f>
        <v>0</v>
      </c>
      <c r="H18" s="29">
        <f>'2-ф2'!H29</f>
        <v>0</v>
      </c>
      <c r="I18" s="29">
        <f>'2-ф2'!I29</f>
        <v>0</v>
      </c>
      <c r="J18" s="29">
        <f>'2-ф2'!J29</f>
        <v>0</v>
      </c>
      <c r="K18" s="29">
        <f>'2-ф2'!K29</f>
        <v>0</v>
      </c>
      <c r="L18" s="29">
        <f>'2-ф2'!L29</f>
        <v>0</v>
      </c>
      <c r="M18" s="29">
        <f>'2-ф2'!M29</f>
        <v>0</v>
      </c>
      <c r="N18" s="29">
        <f>'2-ф2'!N29</f>
        <v>0</v>
      </c>
      <c r="O18" s="29">
        <f>'2-ф2'!O29</f>
        <v>0</v>
      </c>
      <c r="P18" s="27">
        <f t="shared" si="9"/>
        <v>0</v>
      </c>
      <c r="Q18" s="29">
        <f>'2-ф2'!Q29</f>
        <v>0</v>
      </c>
      <c r="R18" s="29">
        <f>'2-ф2'!R29</f>
        <v>0</v>
      </c>
      <c r="S18" s="29">
        <f>'2-ф2'!S29</f>
        <v>0</v>
      </c>
      <c r="T18" s="29">
        <f>'2-ф2'!T29</f>
        <v>0</v>
      </c>
      <c r="U18" s="29">
        <f>'2-ф2'!U29</f>
        <v>0</v>
      </c>
      <c r="V18" s="29">
        <f>'2-ф2'!V29</f>
        <v>0</v>
      </c>
      <c r="W18" s="29">
        <f>'2-ф2'!W29</f>
        <v>0</v>
      </c>
      <c r="X18" s="29">
        <f>'2-ф2'!X29</f>
        <v>0</v>
      </c>
      <c r="Y18" s="29">
        <f>'2-ф2'!Y29</f>
        <v>0</v>
      </c>
      <c r="Z18" s="29">
        <f>'2-ф2'!Z29</f>
        <v>0</v>
      </c>
      <c r="AA18" s="29">
        <f>'2-ф2'!AA29</f>
        <v>0</v>
      </c>
      <c r="AB18" s="29">
        <f>'2-ф2'!AB29</f>
        <v>0</v>
      </c>
      <c r="AC18" s="27">
        <f t="shared" si="10"/>
        <v>0</v>
      </c>
      <c r="AD18" s="29">
        <f>'2-ф2'!AD29</f>
        <v>0</v>
      </c>
      <c r="AE18" s="29">
        <f>'2-ф2'!AE29</f>
        <v>0</v>
      </c>
      <c r="AF18" s="29">
        <f>'2-ф2'!AF29</f>
        <v>0</v>
      </c>
      <c r="AG18" s="29">
        <f>'2-ф2'!AG29</f>
        <v>0</v>
      </c>
      <c r="AH18" s="29">
        <f>'2-ф2'!AH29</f>
        <v>0</v>
      </c>
      <c r="AI18" s="29">
        <f>'2-ф2'!AI29</f>
        <v>0</v>
      </c>
      <c r="AJ18" s="29">
        <f>'2-ф2'!AJ29</f>
        <v>0</v>
      </c>
    </row>
    <row r="19" spans="1:36" s="21" customFormat="1" ht="25.5">
      <c r="A19" s="34" t="s">
        <v>16</v>
      </c>
      <c r="B19" s="18">
        <f>B9-B12</f>
        <v>73888.9544310885</v>
      </c>
      <c r="C19" s="18"/>
      <c r="D19" s="18">
        <f aca="true" t="shared" si="11" ref="D19:AJ19">D9-D12</f>
        <v>0</v>
      </c>
      <c r="E19" s="18">
        <f t="shared" si="11"/>
        <v>0</v>
      </c>
      <c r="F19" s="18">
        <f t="shared" si="11"/>
        <v>0</v>
      </c>
      <c r="G19" s="18">
        <f t="shared" si="11"/>
        <v>0</v>
      </c>
      <c r="H19" s="18">
        <f t="shared" si="11"/>
        <v>0</v>
      </c>
      <c r="I19" s="18">
        <f t="shared" si="11"/>
        <v>0</v>
      </c>
      <c r="J19" s="18">
        <f t="shared" si="11"/>
        <v>0</v>
      </c>
      <c r="K19" s="18">
        <f t="shared" si="11"/>
        <v>0</v>
      </c>
      <c r="L19" s="18">
        <f t="shared" si="11"/>
        <v>0</v>
      </c>
      <c r="M19" s="18">
        <f t="shared" si="11"/>
        <v>0</v>
      </c>
      <c r="N19" s="18">
        <f t="shared" si="11"/>
        <v>0</v>
      </c>
      <c r="O19" s="18">
        <f t="shared" si="11"/>
        <v>-591.401415</v>
      </c>
      <c r="P19" s="18">
        <f t="shared" si="11"/>
        <v>-591.401415</v>
      </c>
      <c r="Q19" s="18">
        <f t="shared" si="11"/>
        <v>234.264635</v>
      </c>
      <c r="R19" s="18">
        <f t="shared" si="11"/>
        <v>219.96650845878457</v>
      </c>
      <c r="S19" s="18">
        <f t="shared" si="11"/>
        <v>300.86553114345884</v>
      </c>
      <c r="T19" s="18">
        <f t="shared" si="11"/>
        <v>381.7751739922312</v>
      </c>
      <c r="U19" s="18">
        <f t="shared" si="11"/>
        <v>383.61707583105886</v>
      </c>
      <c r="V19" s="18">
        <f t="shared" si="11"/>
        <v>464.5481452222798</v>
      </c>
      <c r="W19" s="18">
        <f t="shared" si="11"/>
        <v>466.4115985917201</v>
      </c>
      <c r="X19" s="18">
        <f t="shared" si="11"/>
        <v>468.28592210581564</v>
      </c>
      <c r="Y19" s="18">
        <f t="shared" si="11"/>
        <v>549.249602298743</v>
      </c>
      <c r="Z19" s="18">
        <f t="shared" si="11"/>
        <v>630.224279824567</v>
      </c>
      <c r="AA19" s="18">
        <f t="shared" si="11"/>
        <v>632.1315957093957</v>
      </c>
      <c r="AB19" s="18">
        <f t="shared" si="11"/>
        <v>634.0500376035529</v>
      </c>
      <c r="AC19" s="18">
        <f t="shared" si="11"/>
        <v>5365.390105781604</v>
      </c>
      <c r="AD19" s="18">
        <f t="shared" si="11"/>
        <v>7370.5827252842355</v>
      </c>
      <c r="AE19" s="18">
        <f t="shared" si="11"/>
        <v>8336.040121585087</v>
      </c>
      <c r="AF19" s="18">
        <f t="shared" si="11"/>
        <v>9310.427227948028</v>
      </c>
      <c r="AG19" s="18">
        <f t="shared" si="11"/>
        <v>10083.904510049986</v>
      </c>
      <c r="AH19" s="18">
        <f t="shared" si="11"/>
        <v>10718.965627177487</v>
      </c>
      <c r="AI19" s="18">
        <f t="shared" si="11"/>
        <v>11342.157836286366</v>
      </c>
      <c r="AJ19" s="18">
        <f t="shared" si="11"/>
        <v>11952.88769197568</v>
      </c>
    </row>
    <row r="20" spans="1:36" s="21" customFormat="1" ht="12.75">
      <c r="A20" s="22" t="s">
        <v>17</v>
      </c>
      <c r="B20" s="23"/>
      <c r="C20" s="23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35"/>
      <c r="AD20" s="35"/>
      <c r="AE20" s="35"/>
      <c r="AF20" s="35"/>
      <c r="AG20" s="35"/>
      <c r="AH20" s="35"/>
      <c r="AI20" s="35"/>
      <c r="AJ20" s="35"/>
    </row>
    <row r="21" spans="1:36" s="21" customFormat="1" ht="12.75">
      <c r="A21" s="26" t="s">
        <v>4</v>
      </c>
      <c r="B21" s="27"/>
      <c r="C21" s="2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27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27"/>
      <c r="AD21" s="27"/>
      <c r="AE21" s="27"/>
      <c r="AF21" s="27"/>
      <c r="AG21" s="27"/>
      <c r="AH21" s="27"/>
      <c r="AI21" s="27"/>
      <c r="AJ21" s="27"/>
    </row>
    <row r="22" spans="1:36" s="21" customFormat="1" ht="12.75">
      <c r="A22" s="26" t="s">
        <v>5</v>
      </c>
      <c r="B22" s="27">
        <f>SUM(B23:B24)</f>
        <v>18615.0695</v>
      </c>
      <c r="C22" s="27"/>
      <c r="D22" s="27">
        <f aca="true" t="shared" si="12" ref="D22:AI22">SUM(D23:D24)</f>
        <v>0</v>
      </c>
      <c r="E22" s="27">
        <f t="shared" si="12"/>
        <v>0</v>
      </c>
      <c r="F22" s="27">
        <f t="shared" si="12"/>
        <v>0</v>
      </c>
      <c r="G22" s="27">
        <f t="shared" si="12"/>
        <v>0</v>
      </c>
      <c r="H22" s="27">
        <f t="shared" si="12"/>
        <v>0</v>
      </c>
      <c r="I22" s="27">
        <f t="shared" si="12"/>
        <v>0</v>
      </c>
      <c r="J22" s="27">
        <f t="shared" si="12"/>
        <v>0</v>
      </c>
      <c r="K22" s="27">
        <f t="shared" si="12"/>
        <v>0</v>
      </c>
      <c r="L22" s="27">
        <f t="shared" si="12"/>
        <v>0</v>
      </c>
      <c r="M22" s="27">
        <f t="shared" si="12"/>
        <v>0</v>
      </c>
      <c r="N22" s="27">
        <f t="shared" si="12"/>
        <v>18615.0695</v>
      </c>
      <c r="O22" s="27">
        <f t="shared" si="12"/>
        <v>0</v>
      </c>
      <c r="P22" s="27">
        <f t="shared" si="12"/>
        <v>18615.0695</v>
      </c>
      <c r="Q22" s="27">
        <f t="shared" si="12"/>
        <v>0</v>
      </c>
      <c r="R22" s="27">
        <f t="shared" si="12"/>
        <v>0</v>
      </c>
      <c r="S22" s="27">
        <f t="shared" si="12"/>
        <v>0</v>
      </c>
      <c r="T22" s="27">
        <f t="shared" si="12"/>
        <v>0</v>
      </c>
      <c r="U22" s="27">
        <f t="shared" si="12"/>
        <v>0</v>
      </c>
      <c r="V22" s="27">
        <f t="shared" si="12"/>
        <v>0</v>
      </c>
      <c r="W22" s="27">
        <f t="shared" si="12"/>
        <v>0</v>
      </c>
      <c r="X22" s="27">
        <f t="shared" si="12"/>
        <v>0</v>
      </c>
      <c r="Y22" s="27">
        <f t="shared" si="12"/>
        <v>0</v>
      </c>
      <c r="Z22" s="27">
        <f t="shared" si="12"/>
        <v>0</v>
      </c>
      <c r="AA22" s="27">
        <f t="shared" si="12"/>
        <v>0</v>
      </c>
      <c r="AB22" s="27">
        <f t="shared" si="12"/>
        <v>0</v>
      </c>
      <c r="AC22" s="27">
        <f t="shared" si="12"/>
        <v>0</v>
      </c>
      <c r="AD22" s="27">
        <f t="shared" si="12"/>
        <v>0</v>
      </c>
      <c r="AE22" s="27">
        <f t="shared" si="12"/>
        <v>0</v>
      </c>
      <c r="AF22" s="27">
        <f t="shared" si="12"/>
        <v>0</v>
      </c>
      <c r="AG22" s="27">
        <f t="shared" si="12"/>
        <v>0</v>
      </c>
      <c r="AH22" s="27">
        <f t="shared" si="12"/>
        <v>0</v>
      </c>
      <c r="AI22" s="27">
        <f t="shared" si="12"/>
        <v>0</v>
      </c>
      <c r="AJ22" s="27">
        <f>SUM(AJ23:AJ24)</f>
        <v>0</v>
      </c>
    </row>
    <row r="23" spans="1:36" ht="12.75" hidden="1" outlineLevel="1">
      <c r="A23" s="37" t="s">
        <v>192</v>
      </c>
      <c r="B23" s="27">
        <f>P23+AC23+AD23+AE23+AF23+AG23+AH23+AI23+AJ23</f>
        <v>10808.9195</v>
      </c>
      <c r="C23" s="27"/>
      <c r="D23" s="29">
        <f>Инв!E17</f>
        <v>0</v>
      </c>
      <c r="E23" s="29">
        <f>Инв!F17</f>
        <v>0</v>
      </c>
      <c r="F23" s="29">
        <f>Инв!G17</f>
        <v>0</v>
      </c>
      <c r="G23" s="29">
        <f>Инв!H17</f>
        <v>0</v>
      </c>
      <c r="H23" s="29">
        <f>Инв!I17</f>
        <v>0</v>
      </c>
      <c r="I23" s="29">
        <f>Инв!J17</f>
        <v>0</v>
      </c>
      <c r="J23" s="29">
        <f>Инв!K17</f>
        <v>0</v>
      </c>
      <c r="K23" s="29">
        <f>Инв!L17</f>
        <v>0</v>
      </c>
      <c r="L23" s="29">
        <f>Инв!M17</f>
        <v>0</v>
      </c>
      <c r="M23" s="29">
        <f>Инв!N17</f>
        <v>0</v>
      </c>
      <c r="N23" s="29">
        <f>Инв!O17</f>
        <v>10808.9195</v>
      </c>
      <c r="O23" s="29">
        <f>Инв!P17</f>
        <v>0</v>
      </c>
      <c r="P23" s="27">
        <f>SUM(D23:O23)</f>
        <v>10808.9195</v>
      </c>
      <c r="Q23" s="29">
        <f>Инв!R17</f>
        <v>0</v>
      </c>
      <c r="R23" s="29">
        <f>Инв!S17</f>
        <v>0</v>
      </c>
      <c r="S23" s="29">
        <f>Инв!T17</f>
        <v>0</v>
      </c>
      <c r="T23" s="29">
        <f>Инв!U17</f>
        <v>0</v>
      </c>
      <c r="U23" s="29">
        <f>Инв!V17</f>
        <v>0</v>
      </c>
      <c r="V23" s="29">
        <f>Инв!W17</f>
        <v>0</v>
      </c>
      <c r="W23" s="29">
        <f>Инв!X17</f>
        <v>0</v>
      </c>
      <c r="X23" s="29">
        <f>Инв!Y17</f>
        <v>0</v>
      </c>
      <c r="Y23" s="29">
        <f>Инв!Z17</f>
        <v>0</v>
      </c>
      <c r="Z23" s="29">
        <f>Инв!AA17</f>
        <v>0</v>
      </c>
      <c r="AA23" s="29">
        <f>Инв!AB17</f>
        <v>0</v>
      </c>
      <c r="AB23" s="29">
        <f>Инв!AC17</f>
        <v>0</v>
      </c>
      <c r="AC23" s="27">
        <f>SUM(Q23:AB23)</f>
        <v>0</v>
      </c>
      <c r="AD23" s="27"/>
      <c r="AE23" s="27"/>
      <c r="AF23" s="27"/>
      <c r="AG23" s="27"/>
      <c r="AH23" s="27"/>
      <c r="AI23" s="27"/>
      <c r="AJ23" s="27"/>
    </row>
    <row r="24" spans="1:36" ht="12.75" hidden="1" outlineLevel="1">
      <c r="A24" s="37"/>
      <c r="B24" s="27">
        <f>P24+AC24+AD24+AE24+AF24+AG24+AH24+AI24</f>
        <v>7806.150000000001</v>
      </c>
      <c r="C24" s="27"/>
      <c r="D24" s="29"/>
      <c r="E24" s="29">
        <f>Инв!F8</f>
        <v>0</v>
      </c>
      <c r="F24" s="29">
        <f>Инв!G8</f>
        <v>0</v>
      </c>
      <c r="G24" s="29">
        <f>Инв!H8</f>
        <v>0</v>
      </c>
      <c r="H24" s="29">
        <f>Инв!I8</f>
        <v>0</v>
      </c>
      <c r="I24" s="29">
        <f>Инв!J8</f>
        <v>0</v>
      </c>
      <c r="J24" s="29">
        <f>Инв!K8</f>
        <v>0</v>
      </c>
      <c r="K24" s="29">
        <f>Инв!L8</f>
        <v>0</v>
      </c>
      <c r="L24" s="29"/>
      <c r="M24" s="29"/>
      <c r="N24" s="29">
        <f>Инв!O8</f>
        <v>7806.150000000001</v>
      </c>
      <c r="O24" s="29"/>
      <c r="P24" s="27">
        <f>SUM(D24:O24)</f>
        <v>7806.150000000001</v>
      </c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7"/>
      <c r="AD24" s="27"/>
      <c r="AE24" s="27"/>
      <c r="AF24" s="27"/>
      <c r="AG24" s="27"/>
      <c r="AH24" s="27"/>
      <c r="AI24" s="27"/>
      <c r="AJ24" s="27"/>
    </row>
    <row r="25" spans="1:36" s="21" customFormat="1" ht="25.5" collapsed="1">
      <c r="A25" s="38" t="s">
        <v>18</v>
      </c>
      <c r="B25" s="18">
        <f>B21-B22</f>
        <v>-18615.0695</v>
      </c>
      <c r="C25" s="18"/>
      <c r="D25" s="18">
        <f>D21-D22</f>
        <v>0</v>
      </c>
      <c r="E25" s="18">
        <f aca="true" t="shared" si="13" ref="E25:AB25">E21-E22</f>
        <v>0</v>
      </c>
      <c r="F25" s="18">
        <f t="shared" si="13"/>
        <v>0</v>
      </c>
      <c r="G25" s="18">
        <f t="shared" si="13"/>
        <v>0</v>
      </c>
      <c r="H25" s="18">
        <f t="shared" si="13"/>
        <v>0</v>
      </c>
      <c r="I25" s="18">
        <f t="shared" si="13"/>
        <v>0</v>
      </c>
      <c r="J25" s="18">
        <f>J21-J22</f>
        <v>0</v>
      </c>
      <c r="K25" s="18">
        <f t="shared" si="13"/>
        <v>0</v>
      </c>
      <c r="L25" s="18">
        <f t="shared" si="13"/>
        <v>0</v>
      </c>
      <c r="M25" s="18">
        <f t="shared" si="13"/>
        <v>0</v>
      </c>
      <c r="N25" s="18">
        <f t="shared" si="13"/>
        <v>-18615.0695</v>
      </c>
      <c r="O25" s="18">
        <f t="shared" si="13"/>
        <v>0</v>
      </c>
      <c r="P25" s="18">
        <f>SUM(D25:O25)</f>
        <v>-18615.0695</v>
      </c>
      <c r="Q25" s="18">
        <f t="shared" si="13"/>
        <v>0</v>
      </c>
      <c r="R25" s="18">
        <f t="shared" si="13"/>
        <v>0</v>
      </c>
      <c r="S25" s="18">
        <f t="shared" si="13"/>
        <v>0</v>
      </c>
      <c r="T25" s="18">
        <f t="shared" si="13"/>
        <v>0</v>
      </c>
      <c r="U25" s="18">
        <f t="shared" si="13"/>
        <v>0</v>
      </c>
      <c r="V25" s="18">
        <f t="shared" si="13"/>
        <v>0</v>
      </c>
      <c r="W25" s="18">
        <f t="shared" si="13"/>
        <v>0</v>
      </c>
      <c r="X25" s="18">
        <f t="shared" si="13"/>
        <v>0</v>
      </c>
      <c r="Y25" s="18">
        <f t="shared" si="13"/>
        <v>0</v>
      </c>
      <c r="Z25" s="18">
        <f t="shared" si="13"/>
        <v>0</v>
      </c>
      <c r="AA25" s="18">
        <f t="shared" si="13"/>
        <v>0</v>
      </c>
      <c r="AB25" s="18">
        <f t="shared" si="13"/>
        <v>0</v>
      </c>
      <c r="AC25" s="18">
        <f>SUM(Q25:AB25)</f>
        <v>0</v>
      </c>
      <c r="AD25" s="18"/>
      <c r="AE25" s="18"/>
      <c r="AF25" s="18"/>
      <c r="AG25" s="18"/>
      <c r="AH25" s="18"/>
      <c r="AI25" s="18"/>
      <c r="AJ25" s="18"/>
    </row>
    <row r="26" spans="1:36" s="42" customFormat="1" ht="12.75">
      <c r="A26" s="39" t="s">
        <v>19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1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1"/>
      <c r="AD26" s="41"/>
      <c r="AE26" s="41"/>
      <c r="AF26" s="41"/>
      <c r="AG26" s="41"/>
      <c r="AH26" s="41"/>
      <c r="AI26" s="41"/>
      <c r="AJ26" s="41"/>
    </row>
    <row r="27" spans="1:36" s="21" customFormat="1" ht="12.75">
      <c r="A27" s="22" t="s">
        <v>20</v>
      </c>
      <c r="B27" s="23"/>
      <c r="C27" s="23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35"/>
      <c r="AD27" s="35"/>
      <c r="AE27" s="35"/>
      <c r="AF27" s="35"/>
      <c r="AG27" s="35"/>
      <c r="AH27" s="35"/>
      <c r="AI27" s="35"/>
      <c r="AJ27" s="35"/>
    </row>
    <row r="28" spans="1:36" s="21" customFormat="1" ht="12.75">
      <c r="A28" s="26" t="s">
        <v>4</v>
      </c>
      <c r="B28" s="27">
        <f>SUM(B29:B30)</f>
        <v>20003.196415000002</v>
      </c>
      <c r="C28" s="27"/>
      <c r="D28" s="27">
        <f aca="true" t="shared" si="14" ref="D28:AI28">SUM(D29:D30)</f>
        <v>0</v>
      </c>
      <c r="E28" s="27">
        <f t="shared" si="14"/>
        <v>0</v>
      </c>
      <c r="F28" s="27">
        <f t="shared" si="14"/>
        <v>0</v>
      </c>
      <c r="G28" s="27">
        <f t="shared" si="14"/>
        <v>0</v>
      </c>
      <c r="H28" s="27">
        <f t="shared" si="14"/>
        <v>0</v>
      </c>
      <c r="I28" s="27">
        <f t="shared" si="14"/>
        <v>0</v>
      </c>
      <c r="J28" s="27">
        <f t="shared" si="14"/>
        <v>0</v>
      </c>
      <c r="K28" s="27">
        <f t="shared" si="14"/>
        <v>0</v>
      </c>
      <c r="L28" s="27">
        <f t="shared" si="14"/>
        <v>0</v>
      </c>
      <c r="M28" s="27">
        <f t="shared" si="14"/>
        <v>0</v>
      </c>
      <c r="N28" s="27">
        <f t="shared" si="14"/>
        <v>18615.0695</v>
      </c>
      <c r="O28" s="27">
        <f t="shared" si="14"/>
        <v>591.401415</v>
      </c>
      <c r="P28" s="27">
        <f t="shared" si="14"/>
        <v>19206.470915</v>
      </c>
      <c r="Q28" s="27">
        <f t="shared" si="14"/>
        <v>398.36275000000006</v>
      </c>
      <c r="R28" s="27">
        <f t="shared" si="14"/>
        <v>398.36275000000006</v>
      </c>
      <c r="S28" s="27">
        <f t="shared" si="14"/>
        <v>0</v>
      </c>
      <c r="T28" s="27">
        <f t="shared" si="14"/>
        <v>0</v>
      </c>
      <c r="U28" s="27">
        <f t="shared" si="14"/>
        <v>0</v>
      </c>
      <c r="V28" s="27">
        <f t="shared" si="14"/>
        <v>0</v>
      </c>
      <c r="W28" s="27">
        <f t="shared" si="14"/>
        <v>0</v>
      </c>
      <c r="X28" s="27">
        <f t="shared" si="14"/>
        <v>0</v>
      </c>
      <c r="Y28" s="27">
        <f t="shared" si="14"/>
        <v>0</v>
      </c>
      <c r="Z28" s="27">
        <f t="shared" si="14"/>
        <v>0</v>
      </c>
      <c r="AA28" s="27">
        <f t="shared" si="14"/>
        <v>0</v>
      </c>
      <c r="AB28" s="27">
        <f t="shared" si="14"/>
        <v>0</v>
      </c>
      <c r="AC28" s="27">
        <f t="shared" si="14"/>
        <v>796.7255000000001</v>
      </c>
      <c r="AD28" s="27">
        <f t="shared" si="14"/>
        <v>0</v>
      </c>
      <c r="AE28" s="27">
        <f t="shared" si="14"/>
        <v>0</v>
      </c>
      <c r="AF28" s="27">
        <f t="shared" si="14"/>
        <v>0</v>
      </c>
      <c r="AG28" s="27">
        <f t="shared" si="14"/>
        <v>0</v>
      </c>
      <c r="AH28" s="27">
        <f t="shared" si="14"/>
        <v>0</v>
      </c>
      <c r="AI28" s="27">
        <f t="shared" si="14"/>
        <v>0</v>
      </c>
      <c r="AJ28" s="27">
        <f>SUM(AJ29:AJ30)</f>
        <v>0</v>
      </c>
    </row>
    <row r="29" spans="1:36" ht="12.75" customHeight="1">
      <c r="A29" s="37" t="s">
        <v>189</v>
      </c>
      <c r="B29" s="27">
        <f>P29+AC29+AD29+AE29+AF29+AG29+AH29+AI29+AJ29</f>
        <v>4180.38734</v>
      </c>
      <c r="C29" s="27"/>
      <c r="D29" s="29">
        <f>D23</f>
        <v>0</v>
      </c>
      <c r="E29" s="29"/>
      <c r="F29" s="29"/>
      <c r="G29" s="29"/>
      <c r="H29" s="29"/>
      <c r="I29" s="29"/>
      <c r="J29" s="29">
        <f>J23</f>
        <v>0</v>
      </c>
      <c r="K29" s="29">
        <f>K23*0.15</f>
        <v>0</v>
      </c>
      <c r="L29" s="29">
        <f>L23*0.15</f>
        <v>0</v>
      </c>
      <c r="M29" s="29">
        <f>M22*0.15</f>
        <v>0</v>
      </c>
      <c r="N29" s="29">
        <f>N22*0.15</f>
        <v>2792.260425</v>
      </c>
      <c r="O29" s="29">
        <f>O14</f>
        <v>591.401415</v>
      </c>
      <c r="P29" s="27">
        <f>SUM(D29:O29)</f>
        <v>3383.6618399999998</v>
      </c>
      <c r="Q29" s="29">
        <f>Q15</f>
        <v>398.36275000000006</v>
      </c>
      <c r="R29" s="29">
        <f>R15</f>
        <v>398.36275000000006</v>
      </c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7">
        <f>SUM(Q29:AB29)</f>
        <v>796.7255000000001</v>
      </c>
      <c r="AD29" s="27"/>
      <c r="AE29" s="27"/>
      <c r="AF29" s="27"/>
      <c r="AG29" s="27"/>
      <c r="AH29" s="27"/>
      <c r="AI29" s="27"/>
      <c r="AJ29" s="27"/>
    </row>
    <row r="30" spans="1:36" ht="12.75">
      <c r="A30" s="43" t="s">
        <v>188</v>
      </c>
      <c r="B30" s="27">
        <f>P30+AC30+AD30+AE30+AF30+AG30+AH30+AI30+AJ30</f>
        <v>15822.809075000001</v>
      </c>
      <c r="C30" s="27"/>
      <c r="D30" s="44"/>
      <c r="E30" s="44"/>
      <c r="F30" s="44"/>
      <c r="G30" s="44"/>
      <c r="H30" s="44"/>
      <c r="I30" s="44"/>
      <c r="J30" s="44"/>
      <c r="K30" s="44">
        <f>K23-K29</f>
        <v>0</v>
      </c>
      <c r="L30" s="44">
        <f>L23-L29</f>
        <v>0</v>
      </c>
      <c r="M30" s="44">
        <f>M22-M29</f>
        <v>0</v>
      </c>
      <c r="N30" s="44">
        <f>N22-N29</f>
        <v>15822.809075000001</v>
      </c>
      <c r="O30" s="44">
        <f>O22</f>
        <v>0</v>
      </c>
      <c r="P30" s="27">
        <f>SUM(D30:O30)</f>
        <v>15822.809075000001</v>
      </c>
      <c r="Q30" s="44"/>
      <c r="R30" s="44"/>
      <c r="S30" s="44">
        <f>S22+T22+U22</f>
        <v>0</v>
      </c>
      <c r="T30" s="44"/>
      <c r="U30" s="44"/>
      <c r="V30" s="44">
        <f>V22</f>
        <v>0</v>
      </c>
      <c r="W30" s="44"/>
      <c r="X30" s="44"/>
      <c r="Y30" s="44"/>
      <c r="Z30" s="44"/>
      <c r="AA30" s="44"/>
      <c r="AB30" s="44"/>
      <c r="AC30" s="27">
        <f>SUM(Q30:AB30)</f>
        <v>0</v>
      </c>
      <c r="AD30" s="27"/>
      <c r="AE30" s="27"/>
      <c r="AF30" s="27"/>
      <c r="AG30" s="27"/>
      <c r="AH30" s="27"/>
      <c r="AI30" s="27"/>
      <c r="AJ30" s="27"/>
    </row>
    <row r="31" spans="1:36" s="21" customFormat="1" ht="12.75">
      <c r="A31" s="26" t="s">
        <v>5</v>
      </c>
      <c r="B31" s="27">
        <f>SUM(B32:B33)</f>
        <v>16007.408514208259</v>
      </c>
      <c r="C31" s="27"/>
      <c r="D31" s="27">
        <f aca="true" t="shared" si="15" ref="D31:AI31">SUM(D32:D33)</f>
        <v>0</v>
      </c>
      <c r="E31" s="27">
        <f t="shared" si="15"/>
        <v>0</v>
      </c>
      <c r="F31" s="27">
        <f t="shared" si="15"/>
        <v>0</v>
      </c>
      <c r="G31" s="27">
        <f t="shared" si="15"/>
        <v>0</v>
      </c>
      <c r="H31" s="27">
        <f t="shared" si="15"/>
        <v>0</v>
      </c>
      <c r="I31" s="27">
        <f t="shared" si="15"/>
        <v>0</v>
      </c>
      <c r="J31" s="27">
        <f t="shared" si="15"/>
        <v>0</v>
      </c>
      <c r="K31" s="27">
        <f t="shared" si="15"/>
        <v>0</v>
      </c>
      <c r="L31" s="27">
        <f t="shared" si="15"/>
        <v>0</v>
      </c>
      <c r="M31" s="27">
        <f t="shared" si="15"/>
        <v>0</v>
      </c>
      <c r="N31" s="27">
        <f t="shared" si="15"/>
        <v>0</v>
      </c>
      <c r="O31" s="27">
        <f t="shared" si="15"/>
        <v>0</v>
      </c>
      <c r="P31" s="27">
        <f t="shared" si="15"/>
        <v>0</v>
      </c>
      <c r="Q31" s="27">
        <f t="shared" si="15"/>
        <v>0</v>
      </c>
      <c r="R31" s="27">
        <f t="shared" si="15"/>
        <v>312.1027816584355</v>
      </c>
      <c r="S31" s="27">
        <f t="shared" si="15"/>
        <v>313.9233812181097</v>
      </c>
      <c r="T31" s="27">
        <f t="shared" si="15"/>
        <v>315.754600941882</v>
      </c>
      <c r="U31" s="27">
        <f t="shared" si="15"/>
        <v>317.59650278070967</v>
      </c>
      <c r="V31" s="27">
        <f t="shared" si="15"/>
        <v>319.4491490469305</v>
      </c>
      <c r="W31" s="27">
        <f t="shared" si="15"/>
        <v>321.3126024163709</v>
      </c>
      <c r="X31" s="27">
        <f t="shared" si="15"/>
        <v>323.1869259304664</v>
      </c>
      <c r="Y31" s="27">
        <f t="shared" si="15"/>
        <v>325.0721829983941</v>
      </c>
      <c r="Z31" s="27">
        <f t="shared" si="15"/>
        <v>326.96843739921803</v>
      </c>
      <c r="AA31" s="27">
        <f t="shared" si="15"/>
        <v>328.8757532840468</v>
      </c>
      <c r="AB31" s="27">
        <f t="shared" si="15"/>
        <v>330.7941951782038</v>
      </c>
      <c r="AC31" s="27">
        <f t="shared" si="15"/>
        <v>3535.0365128527674</v>
      </c>
      <c r="AD31" s="27">
        <f t="shared" si="15"/>
        <v>4123.308416180049</v>
      </c>
      <c r="AE31" s="27">
        <f t="shared" si="15"/>
        <v>4421.382714980902</v>
      </c>
      <c r="AF31" s="27">
        <f t="shared" si="15"/>
        <v>3927.68087019454</v>
      </c>
      <c r="AG31" s="27">
        <f t="shared" si="15"/>
        <v>0</v>
      </c>
      <c r="AH31" s="27">
        <f t="shared" si="15"/>
        <v>0</v>
      </c>
      <c r="AI31" s="27">
        <f t="shared" si="15"/>
        <v>0</v>
      </c>
      <c r="AJ31" s="27">
        <f>SUM(AJ32:AJ33)</f>
        <v>0</v>
      </c>
    </row>
    <row r="32" spans="1:36" ht="12.75">
      <c r="A32" s="28" t="s">
        <v>28</v>
      </c>
      <c r="B32" s="27">
        <f>P32+AC32+AD32+AE32+AF32+AG32+AH32+AI32+AJ32</f>
        <v>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27">
        <f>SUM(D32:O32)</f>
        <v>0</v>
      </c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27">
        <f>SUM(Q32:AB32)</f>
        <v>0</v>
      </c>
      <c r="AD32" s="27"/>
      <c r="AE32" s="27"/>
      <c r="AF32" s="27"/>
      <c r="AG32" s="27"/>
      <c r="AH32" s="27"/>
      <c r="AI32" s="27"/>
      <c r="AJ32" s="27"/>
    </row>
    <row r="33" spans="1:36" ht="13.5" customHeight="1">
      <c r="A33" s="37" t="s">
        <v>183</v>
      </c>
      <c r="B33" s="27">
        <f>P33+AC33+AD33+AE33+AF33+AG33+AH33+AI33+AJ33</f>
        <v>16007.408514208259</v>
      </c>
      <c r="C33" s="27"/>
      <c r="D33" s="33">
        <f>кр!C10</f>
        <v>0</v>
      </c>
      <c r="E33" s="33">
        <f>кр!D10</f>
        <v>0</v>
      </c>
      <c r="F33" s="33">
        <f>кр!E10</f>
        <v>0</v>
      </c>
      <c r="G33" s="33">
        <f>кр!F10</f>
        <v>0</v>
      </c>
      <c r="H33" s="33">
        <f>кр!G10</f>
        <v>0</v>
      </c>
      <c r="I33" s="33">
        <f>кр!H10</f>
        <v>0</v>
      </c>
      <c r="J33" s="33">
        <f>кр!I10</f>
        <v>0</v>
      </c>
      <c r="K33" s="33">
        <f>кр!J10</f>
        <v>0</v>
      </c>
      <c r="L33" s="33">
        <f>кр!K10</f>
        <v>0</v>
      </c>
      <c r="M33" s="33">
        <f>кр!L10</f>
        <v>0</v>
      </c>
      <c r="N33" s="33">
        <f>кр!M10</f>
        <v>0</v>
      </c>
      <c r="O33" s="33">
        <f>кр!N10</f>
        <v>0</v>
      </c>
      <c r="P33" s="27">
        <f>SUM(D33:O33)</f>
        <v>0</v>
      </c>
      <c r="Q33" s="33">
        <f>кр!P10</f>
        <v>0</v>
      </c>
      <c r="R33" s="33">
        <f>кр!Q10</f>
        <v>312.1027816584355</v>
      </c>
      <c r="S33" s="33">
        <f>кр!R10</f>
        <v>313.9233812181097</v>
      </c>
      <c r="T33" s="33">
        <f>кр!S10</f>
        <v>315.754600941882</v>
      </c>
      <c r="U33" s="33">
        <f>кр!T10</f>
        <v>317.59650278070967</v>
      </c>
      <c r="V33" s="33">
        <f>кр!U10</f>
        <v>319.4491490469305</v>
      </c>
      <c r="W33" s="33">
        <f>кр!V10</f>
        <v>321.3126024163709</v>
      </c>
      <c r="X33" s="33">
        <f>кр!W10</f>
        <v>323.1869259304664</v>
      </c>
      <c r="Y33" s="33">
        <f>кр!X10</f>
        <v>325.0721829983941</v>
      </c>
      <c r="Z33" s="33">
        <f>кр!Y10</f>
        <v>326.96843739921803</v>
      </c>
      <c r="AA33" s="33">
        <f>кр!Z10</f>
        <v>328.8757532840468</v>
      </c>
      <c r="AB33" s="33">
        <f>кр!AA10</f>
        <v>330.7941951782038</v>
      </c>
      <c r="AC33" s="27">
        <f>SUM(Q33:AB33)</f>
        <v>3535.0365128527674</v>
      </c>
      <c r="AD33" s="33">
        <f>кр!AO10</f>
        <v>4123.308416180049</v>
      </c>
      <c r="AE33" s="33">
        <f>кр!BB10</f>
        <v>4421.382714980902</v>
      </c>
      <c r="AF33" s="33">
        <f>кр!BO10</f>
        <v>3927.68087019454</v>
      </c>
      <c r="AG33" s="33">
        <f>кр!CB10</f>
        <v>0</v>
      </c>
      <c r="AH33" s="33">
        <f>кр!CO10</f>
        <v>0</v>
      </c>
      <c r="AI33" s="33">
        <f>кр!DB10</f>
        <v>0</v>
      </c>
      <c r="AJ33" s="33">
        <f>кр!DO10</f>
        <v>0</v>
      </c>
    </row>
    <row r="34" spans="1:36" s="21" customFormat="1" ht="12.75">
      <c r="A34" s="38" t="s">
        <v>21</v>
      </c>
      <c r="B34" s="18">
        <f>B28-B31</f>
        <v>3995.7879007917436</v>
      </c>
      <c r="C34" s="18"/>
      <c r="D34" s="18">
        <f aca="true" t="shared" si="16" ref="D34:AI34">D28-D31</f>
        <v>0</v>
      </c>
      <c r="E34" s="18">
        <f t="shared" si="16"/>
        <v>0</v>
      </c>
      <c r="F34" s="18">
        <f t="shared" si="16"/>
        <v>0</v>
      </c>
      <c r="G34" s="18">
        <f t="shared" si="16"/>
        <v>0</v>
      </c>
      <c r="H34" s="18">
        <f t="shared" si="16"/>
        <v>0</v>
      </c>
      <c r="I34" s="18">
        <f t="shared" si="16"/>
        <v>0</v>
      </c>
      <c r="J34" s="18">
        <f t="shared" si="16"/>
        <v>0</v>
      </c>
      <c r="K34" s="18">
        <f t="shared" si="16"/>
        <v>0</v>
      </c>
      <c r="L34" s="18">
        <f t="shared" si="16"/>
        <v>0</v>
      </c>
      <c r="M34" s="18">
        <f t="shared" si="16"/>
        <v>0</v>
      </c>
      <c r="N34" s="18">
        <f t="shared" si="16"/>
        <v>18615.0695</v>
      </c>
      <c r="O34" s="18">
        <f t="shared" si="16"/>
        <v>591.401415</v>
      </c>
      <c r="P34" s="18">
        <f t="shared" si="16"/>
        <v>19206.470915</v>
      </c>
      <c r="Q34" s="18">
        <f t="shared" si="16"/>
        <v>398.36275000000006</v>
      </c>
      <c r="R34" s="18">
        <f t="shared" si="16"/>
        <v>86.25996834156456</v>
      </c>
      <c r="S34" s="18">
        <f t="shared" si="16"/>
        <v>-313.9233812181097</v>
      </c>
      <c r="T34" s="18">
        <f t="shared" si="16"/>
        <v>-315.754600941882</v>
      </c>
      <c r="U34" s="18">
        <f t="shared" si="16"/>
        <v>-317.59650278070967</v>
      </c>
      <c r="V34" s="18">
        <f t="shared" si="16"/>
        <v>-319.4491490469305</v>
      </c>
      <c r="W34" s="18">
        <f t="shared" si="16"/>
        <v>-321.3126024163709</v>
      </c>
      <c r="X34" s="18">
        <f t="shared" si="16"/>
        <v>-323.1869259304664</v>
      </c>
      <c r="Y34" s="18">
        <f t="shared" si="16"/>
        <v>-325.0721829983941</v>
      </c>
      <c r="Z34" s="18">
        <f t="shared" si="16"/>
        <v>-326.96843739921803</v>
      </c>
      <c r="AA34" s="18">
        <f t="shared" si="16"/>
        <v>-328.8757532840468</v>
      </c>
      <c r="AB34" s="18">
        <f t="shared" si="16"/>
        <v>-330.7941951782038</v>
      </c>
      <c r="AC34" s="18">
        <f t="shared" si="16"/>
        <v>-2738.3110128527674</v>
      </c>
      <c r="AD34" s="18">
        <f t="shared" si="16"/>
        <v>-4123.308416180049</v>
      </c>
      <c r="AE34" s="18">
        <f t="shared" si="16"/>
        <v>-4421.382714980902</v>
      </c>
      <c r="AF34" s="18">
        <f t="shared" si="16"/>
        <v>-3927.68087019454</v>
      </c>
      <c r="AG34" s="18">
        <f t="shared" si="16"/>
        <v>0</v>
      </c>
      <c r="AH34" s="18">
        <f t="shared" si="16"/>
        <v>0</v>
      </c>
      <c r="AI34" s="18">
        <f t="shared" si="16"/>
        <v>0</v>
      </c>
      <c r="AJ34" s="18">
        <f>AJ28-AJ31</f>
        <v>0</v>
      </c>
    </row>
    <row r="35" spans="1:36" s="47" customFormat="1" ht="12.75">
      <c r="A35" s="45" t="s">
        <v>22</v>
      </c>
      <c r="B35" s="46">
        <f>B19+B25+B34</f>
        <v>59269.67283188024</v>
      </c>
      <c r="C35" s="27"/>
      <c r="D35" s="46">
        <f aca="true" t="shared" si="17" ref="D35:AI35">D19+D25+D34</f>
        <v>0</v>
      </c>
      <c r="E35" s="46">
        <f t="shared" si="17"/>
        <v>0</v>
      </c>
      <c r="F35" s="46">
        <f t="shared" si="17"/>
        <v>0</v>
      </c>
      <c r="G35" s="46">
        <f t="shared" si="17"/>
        <v>0</v>
      </c>
      <c r="H35" s="46">
        <f t="shared" si="17"/>
        <v>0</v>
      </c>
      <c r="I35" s="46">
        <f t="shared" si="17"/>
        <v>0</v>
      </c>
      <c r="J35" s="46">
        <f t="shared" si="17"/>
        <v>0</v>
      </c>
      <c r="K35" s="46">
        <f t="shared" si="17"/>
        <v>0</v>
      </c>
      <c r="L35" s="46">
        <f t="shared" si="17"/>
        <v>0</v>
      </c>
      <c r="M35" s="46">
        <f t="shared" si="17"/>
        <v>0</v>
      </c>
      <c r="N35" s="46">
        <f t="shared" si="17"/>
        <v>0</v>
      </c>
      <c r="O35" s="46">
        <f t="shared" si="17"/>
        <v>0</v>
      </c>
      <c r="P35" s="46">
        <f t="shared" si="17"/>
        <v>0</v>
      </c>
      <c r="Q35" s="46">
        <f t="shared" si="17"/>
        <v>632.627385</v>
      </c>
      <c r="R35" s="46">
        <f t="shared" si="17"/>
        <v>306.22647680034913</v>
      </c>
      <c r="S35" s="46">
        <f t="shared" si="17"/>
        <v>-13.057850074650844</v>
      </c>
      <c r="T35" s="46">
        <f t="shared" si="17"/>
        <v>66.02057305034918</v>
      </c>
      <c r="U35" s="46">
        <f t="shared" si="17"/>
        <v>66.02057305034918</v>
      </c>
      <c r="V35" s="46">
        <f t="shared" si="17"/>
        <v>145.09899617534933</v>
      </c>
      <c r="W35" s="46">
        <f t="shared" si="17"/>
        <v>145.0989961753492</v>
      </c>
      <c r="X35" s="46">
        <f t="shared" si="17"/>
        <v>145.09899617534927</v>
      </c>
      <c r="Y35" s="46">
        <f t="shared" si="17"/>
        <v>224.17741930034884</v>
      </c>
      <c r="Z35" s="46">
        <f t="shared" si="17"/>
        <v>303.255842425349</v>
      </c>
      <c r="AA35" s="46">
        <f t="shared" si="17"/>
        <v>303.2558424253489</v>
      </c>
      <c r="AB35" s="46">
        <f t="shared" si="17"/>
        <v>303.25584242534916</v>
      </c>
      <c r="AC35" s="46">
        <f>AC19+AC25+AC34</f>
        <v>2627.0790929288364</v>
      </c>
      <c r="AD35" s="46">
        <f t="shared" si="17"/>
        <v>3247.2743091041866</v>
      </c>
      <c r="AE35" s="46">
        <f t="shared" si="17"/>
        <v>3914.657406604185</v>
      </c>
      <c r="AF35" s="46">
        <f t="shared" si="17"/>
        <v>5382.746357753488</v>
      </c>
      <c r="AG35" s="46">
        <f t="shared" si="17"/>
        <v>10083.904510049986</v>
      </c>
      <c r="AH35" s="46">
        <f t="shared" si="17"/>
        <v>10718.965627177487</v>
      </c>
      <c r="AI35" s="46">
        <f t="shared" si="17"/>
        <v>11342.157836286366</v>
      </c>
      <c r="AJ35" s="46">
        <f>AJ19+AJ25+AJ34</f>
        <v>11952.88769197568</v>
      </c>
    </row>
    <row r="36" spans="1:45" s="21" customFormat="1" ht="12.75">
      <c r="A36" s="48" t="s">
        <v>48</v>
      </c>
      <c r="B36" s="27">
        <f>B7+B19+B25+B34</f>
        <v>59269.67283188024</v>
      </c>
      <c r="C36" s="49"/>
      <c r="D36" s="50">
        <f aca="true" t="shared" si="18" ref="D36:O36">D7+D19+D25+D34</f>
        <v>0</v>
      </c>
      <c r="E36" s="50">
        <f t="shared" si="18"/>
        <v>0</v>
      </c>
      <c r="F36" s="50">
        <f t="shared" si="18"/>
        <v>0</v>
      </c>
      <c r="G36" s="50">
        <f t="shared" si="18"/>
        <v>0</v>
      </c>
      <c r="H36" s="50">
        <f t="shared" si="18"/>
        <v>0</v>
      </c>
      <c r="I36" s="50">
        <f t="shared" si="18"/>
        <v>0</v>
      </c>
      <c r="J36" s="50">
        <f t="shared" si="18"/>
        <v>0</v>
      </c>
      <c r="K36" s="50">
        <f t="shared" si="18"/>
        <v>0</v>
      </c>
      <c r="L36" s="50">
        <f t="shared" si="18"/>
        <v>0</v>
      </c>
      <c r="M36" s="50">
        <f t="shared" si="18"/>
        <v>0</v>
      </c>
      <c r="N36" s="50">
        <f t="shared" si="18"/>
        <v>0</v>
      </c>
      <c r="O36" s="50">
        <f t="shared" si="18"/>
        <v>0</v>
      </c>
      <c r="P36" s="51">
        <f>O36</f>
        <v>0</v>
      </c>
      <c r="Q36" s="50">
        <f aca="true" t="shared" si="19" ref="Q36:AB36">P36+Q19+Q25+Q34</f>
        <v>632.627385</v>
      </c>
      <c r="R36" s="50">
        <f t="shared" si="19"/>
        <v>938.8538618003491</v>
      </c>
      <c r="S36" s="50">
        <f t="shared" si="19"/>
        <v>925.7960117256985</v>
      </c>
      <c r="T36" s="50">
        <f t="shared" si="19"/>
        <v>991.8165847760476</v>
      </c>
      <c r="U36" s="50">
        <f t="shared" si="19"/>
        <v>1057.8371578263968</v>
      </c>
      <c r="V36" s="50">
        <f t="shared" si="19"/>
        <v>1202.9361540017462</v>
      </c>
      <c r="W36" s="50">
        <f t="shared" si="19"/>
        <v>1348.0351501770954</v>
      </c>
      <c r="X36" s="50">
        <f t="shared" si="19"/>
        <v>1493.1341463524445</v>
      </c>
      <c r="Y36" s="50">
        <f t="shared" si="19"/>
        <v>1717.3115656527934</v>
      </c>
      <c r="Z36" s="50">
        <f t="shared" si="19"/>
        <v>2020.5674080781423</v>
      </c>
      <c r="AA36" s="50">
        <f t="shared" si="19"/>
        <v>2323.823250503491</v>
      </c>
      <c r="AB36" s="50">
        <f t="shared" si="19"/>
        <v>2627.0790929288405</v>
      </c>
      <c r="AC36" s="50">
        <f>AB36</f>
        <v>2627.0790929288405</v>
      </c>
      <c r="AD36" s="50">
        <f aca="true" t="shared" si="20" ref="AD36:AJ36">AC36+AD19+AD25+AD34</f>
        <v>5874.353402033028</v>
      </c>
      <c r="AE36" s="50">
        <f t="shared" si="20"/>
        <v>9789.010808637213</v>
      </c>
      <c r="AF36" s="50">
        <f t="shared" si="20"/>
        <v>15171.7571663907</v>
      </c>
      <c r="AG36" s="50">
        <f t="shared" si="20"/>
        <v>25255.661676440686</v>
      </c>
      <c r="AH36" s="50">
        <f t="shared" si="20"/>
        <v>35974.627303618174</v>
      </c>
      <c r="AI36" s="50">
        <f t="shared" si="20"/>
        <v>47316.78513990454</v>
      </c>
      <c r="AJ36" s="50">
        <f t="shared" si="20"/>
        <v>59269.67283188022</v>
      </c>
      <c r="AK36" s="7">
        <v>2013</v>
      </c>
      <c r="AL36" s="7">
        <f aca="true" t="shared" si="21" ref="AL36:AO37">AK36+1</f>
        <v>2014</v>
      </c>
      <c r="AM36" s="7">
        <f t="shared" si="21"/>
        <v>2015</v>
      </c>
      <c r="AN36" s="7">
        <f t="shared" si="21"/>
        <v>2016</v>
      </c>
      <c r="AO36" s="7">
        <f t="shared" si="21"/>
        <v>2017</v>
      </c>
      <c r="AP36" s="7">
        <f aca="true" t="shared" si="22" ref="AP36:AR37">AO36+1</f>
        <v>2018</v>
      </c>
      <c r="AQ36" s="7">
        <f t="shared" si="22"/>
        <v>2019</v>
      </c>
      <c r="AR36" s="7">
        <f t="shared" si="22"/>
        <v>2020</v>
      </c>
      <c r="AS36" s="7">
        <f>AR36+1</f>
        <v>2021</v>
      </c>
    </row>
    <row r="37" spans="1:45" ht="12.75">
      <c r="A37" s="52"/>
      <c r="B37" s="53">
        <f>AJ36</f>
        <v>59269.67283188022</v>
      </c>
      <c r="C37" s="54"/>
      <c r="D37" s="55">
        <f aca="true" t="shared" si="23" ref="D37:M37">D7+D35-D36</f>
        <v>0</v>
      </c>
      <c r="E37" s="55">
        <f t="shared" si="23"/>
        <v>0</v>
      </c>
      <c r="F37" s="55">
        <f t="shared" si="23"/>
        <v>0</v>
      </c>
      <c r="G37" s="55">
        <f t="shared" si="23"/>
        <v>0</v>
      </c>
      <c r="H37" s="55">
        <f t="shared" si="23"/>
        <v>0</v>
      </c>
      <c r="I37" s="55">
        <f t="shared" si="23"/>
        <v>0</v>
      </c>
      <c r="J37" s="55">
        <f t="shared" si="23"/>
        <v>0</v>
      </c>
      <c r="K37" s="55">
        <f t="shared" si="23"/>
        <v>0</v>
      </c>
      <c r="L37" s="55">
        <f t="shared" si="23"/>
        <v>0</v>
      </c>
      <c r="M37" s="55">
        <f t="shared" si="23"/>
        <v>0</v>
      </c>
      <c r="N37" s="55"/>
      <c r="O37" s="55">
        <f>O7+O35-O36</f>
        <v>0</v>
      </c>
      <c r="P37" s="55"/>
      <c r="Q37" s="55">
        <f>Q7+Q35-Q36</f>
        <v>0</v>
      </c>
      <c r="R37" s="55">
        <f>R7+R35-R36</f>
        <v>0</v>
      </c>
      <c r="S37" s="55">
        <f>S7+S35-S36</f>
        <v>0</v>
      </c>
      <c r="T37" s="55">
        <f>T7+T35-T36</f>
        <v>0</v>
      </c>
      <c r="U37" s="55"/>
      <c r="V37" s="55"/>
      <c r="W37" s="55">
        <f aca="true" t="shared" si="24" ref="W37:AB37">W7+W35-W36</f>
        <v>0</v>
      </c>
      <c r="X37" s="55">
        <f t="shared" si="24"/>
        <v>0</v>
      </c>
      <c r="Y37" s="55">
        <f t="shared" si="24"/>
        <v>0</v>
      </c>
      <c r="Z37" s="55">
        <f t="shared" si="24"/>
        <v>0</v>
      </c>
      <c r="AA37" s="55">
        <f t="shared" si="24"/>
        <v>0</v>
      </c>
      <c r="AB37" s="55">
        <f t="shared" si="24"/>
        <v>0</v>
      </c>
      <c r="AC37" s="55"/>
      <c r="AD37" s="55">
        <f>AD7+AD35-AD36</f>
        <v>0</v>
      </c>
      <c r="AE37" s="55">
        <f>AE7+AE35-AE36</f>
        <v>0</v>
      </c>
      <c r="AF37" s="55">
        <f>AF7+AF35-AF36</f>
        <v>0</v>
      </c>
      <c r="AG37" s="55">
        <f>AG7+AG35-AG36</f>
        <v>0</v>
      </c>
      <c r="AH37" s="55">
        <f>AH7+AH35-AH36</f>
        <v>0</v>
      </c>
      <c r="AK37" s="61">
        <v>0</v>
      </c>
      <c r="AL37" s="61">
        <f t="shared" si="21"/>
        <v>1</v>
      </c>
      <c r="AM37" s="61">
        <f t="shared" si="21"/>
        <v>2</v>
      </c>
      <c r="AN37" s="61">
        <f t="shared" si="21"/>
        <v>3</v>
      </c>
      <c r="AO37" s="61">
        <f t="shared" si="21"/>
        <v>4</v>
      </c>
      <c r="AP37" s="61">
        <f t="shared" si="22"/>
        <v>5</v>
      </c>
      <c r="AQ37" s="61">
        <f t="shared" si="22"/>
        <v>6</v>
      </c>
      <c r="AR37" s="61">
        <f t="shared" si="22"/>
        <v>7</v>
      </c>
      <c r="AS37" s="61">
        <f>AR37+1</f>
        <v>8</v>
      </c>
    </row>
    <row r="38" spans="1:45" ht="12.75">
      <c r="A38" s="52" t="s">
        <v>53</v>
      </c>
      <c r="B38" s="62">
        <f>B36-B37</f>
        <v>0</v>
      </c>
      <c r="C38" s="54"/>
      <c r="P38" s="6"/>
      <c r="AK38" s="57">
        <f>P35</f>
        <v>0</v>
      </c>
      <c r="AL38" s="57">
        <f aca="true" t="shared" si="25" ref="AL38:AS38">AC35</f>
        <v>2627.0790929288364</v>
      </c>
      <c r="AM38" s="57">
        <f t="shared" si="25"/>
        <v>3247.2743091041866</v>
      </c>
      <c r="AN38" s="57">
        <f t="shared" si="25"/>
        <v>3914.657406604185</v>
      </c>
      <c r="AO38" s="57">
        <f t="shared" si="25"/>
        <v>5382.746357753488</v>
      </c>
      <c r="AP38" s="57">
        <f t="shared" si="25"/>
        <v>10083.904510049986</v>
      </c>
      <c r="AQ38" s="57">
        <f t="shared" si="25"/>
        <v>10718.965627177487</v>
      </c>
      <c r="AR38" s="57">
        <f t="shared" si="25"/>
        <v>11342.157836286366</v>
      </c>
      <c r="AS38" s="57">
        <f t="shared" si="25"/>
        <v>11952.88769197568</v>
      </c>
    </row>
    <row r="39" spans="1:45" ht="12.75">
      <c r="A39" s="52" t="s">
        <v>54</v>
      </c>
      <c r="B39" s="54"/>
      <c r="C39" s="54"/>
      <c r="AK39" s="57">
        <f>AK38+P33+P32+P16</f>
        <v>0</v>
      </c>
      <c r="AL39" s="57">
        <f aca="true" t="shared" si="26" ref="AL39:AS39">AL38+AC33+AC32+AC16</f>
        <v>7087.351737499996</v>
      </c>
      <c r="AM39" s="57">
        <f t="shared" si="26"/>
        <v>8113.026284999996</v>
      </c>
      <c r="AN39" s="57">
        <f t="shared" si="26"/>
        <v>8780.409382499995</v>
      </c>
      <c r="AO39" s="57">
        <f t="shared" si="26"/>
        <v>9437.539670999997</v>
      </c>
      <c r="AP39" s="57">
        <f t="shared" si="26"/>
        <v>10083.904510049992</v>
      </c>
      <c r="AQ39" s="57">
        <f t="shared" si="26"/>
        <v>10718.965627177493</v>
      </c>
      <c r="AR39" s="57">
        <f t="shared" si="26"/>
        <v>11342.157836286371</v>
      </c>
      <c r="AS39" s="57">
        <f t="shared" si="26"/>
        <v>11952.887691975686</v>
      </c>
    </row>
    <row r="40" spans="1:45" ht="12.75">
      <c r="A40" s="52" t="s">
        <v>55</v>
      </c>
      <c r="B40" s="54"/>
      <c r="C40" s="54"/>
      <c r="V40" s="57"/>
      <c r="AK40" s="57">
        <f>P28</f>
        <v>19206.470915</v>
      </c>
      <c r="AL40" s="57">
        <f>AC28</f>
        <v>796.7255000000001</v>
      </c>
      <c r="AM40" s="57"/>
      <c r="AN40" s="57"/>
      <c r="AO40" s="57"/>
      <c r="AP40" s="57"/>
      <c r="AQ40" s="57"/>
      <c r="AR40" s="57"/>
      <c r="AS40" s="57"/>
    </row>
    <row r="41" spans="1:45" ht="12.75">
      <c r="A41" s="63" t="s">
        <v>56</v>
      </c>
      <c r="B41" s="54"/>
      <c r="C41" s="54"/>
      <c r="AK41" s="64">
        <f>AK39-AK40</f>
        <v>-19206.470915</v>
      </c>
      <c r="AL41" s="64">
        <f aca="true" t="shared" si="27" ref="AL41:AQ41">AL39-AL40</f>
        <v>6290.626237499995</v>
      </c>
      <c r="AM41" s="64">
        <f t="shared" si="27"/>
        <v>8113.026284999996</v>
      </c>
      <c r="AN41" s="64">
        <f t="shared" si="27"/>
        <v>8780.409382499995</v>
      </c>
      <c r="AO41" s="64">
        <f t="shared" si="27"/>
        <v>9437.539670999997</v>
      </c>
      <c r="AP41" s="64">
        <f t="shared" si="27"/>
        <v>10083.904510049992</v>
      </c>
      <c r="AQ41" s="64">
        <f t="shared" si="27"/>
        <v>10718.965627177493</v>
      </c>
      <c r="AR41" s="64">
        <f>AR39-AR40</f>
        <v>11342.157836286371</v>
      </c>
      <c r="AS41" s="64">
        <f>AS39-AS40</f>
        <v>11952.887691975686</v>
      </c>
    </row>
    <row r="42" spans="1:45" ht="12.75">
      <c r="A42" s="65" t="s">
        <v>57</v>
      </c>
      <c r="B42" s="54"/>
      <c r="C42" s="54"/>
      <c r="AK42" s="66">
        <f>AK41/(1+Исх!$C$7)^'1-Ф3'!AK37</f>
        <v>-19206.470915</v>
      </c>
      <c r="AL42" s="66">
        <f>AL41/(1+Исх!$C$7)^'1-Ф3'!AL37</f>
        <v>5797.503635054058</v>
      </c>
      <c r="AM42" s="66">
        <f>AM41/(1+Исх!$C$7)^'1-Ф3'!AM37</f>
        <v>6890.919527799669</v>
      </c>
      <c r="AN42" s="66">
        <f>AN41/(1+Исх!$C$7)^'1-Ф3'!AN37</f>
        <v>6873.156107398956</v>
      </c>
      <c r="AO42" s="66">
        <f>AO41/(1+Исх!$C$7)^'1-Ф3'!AO37</f>
        <v>6808.436333119046</v>
      </c>
      <c r="AP42" s="66">
        <f>AP41/(1+Исх!$C$7)^'1-Ф3'!AP37</f>
        <v>6704.470165111613</v>
      </c>
      <c r="AQ42" s="66">
        <f>AQ41/(1+Исх!$C$7)^'1-Ф3'!AQ37</f>
        <v>6568.03962051243</v>
      </c>
      <c r="AR42" s="66">
        <f>AR41/(1+Исх!$C$7)^'1-Ф3'!AR37</f>
        <v>6405.0971282193095</v>
      </c>
      <c r="AS42" s="66">
        <f>AS41/(1+Исх!$C$7)^'1-Ф3'!AS37</f>
        <v>6220.8541577467395</v>
      </c>
    </row>
    <row r="43" spans="1:45" ht="12.75">
      <c r="A43" s="63" t="s">
        <v>58</v>
      </c>
      <c r="B43" s="54"/>
      <c r="C43" s="54"/>
      <c r="AK43" s="64">
        <f>AK41</f>
        <v>-19206.470915</v>
      </c>
      <c r="AL43" s="64">
        <f aca="true" t="shared" si="28" ref="AL43:AO44">AK43+AL41</f>
        <v>-12915.844677500007</v>
      </c>
      <c r="AM43" s="64">
        <f t="shared" si="28"/>
        <v>-4802.81839250001</v>
      </c>
      <c r="AN43" s="64">
        <f t="shared" si="28"/>
        <v>3977.5909899999842</v>
      </c>
      <c r="AO43" s="64">
        <f t="shared" si="28"/>
        <v>13415.130660999981</v>
      </c>
      <c r="AP43" s="64">
        <f aca="true" t="shared" si="29" ref="AP43:AR44">AO43+AP41</f>
        <v>23499.035171049974</v>
      </c>
      <c r="AQ43" s="64">
        <f t="shared" si="29"/>
        <v>34218.00079822747</v>
      </c>
      <c r="AR43" s="64">
        <f t="shared" si="29"/>
        <v>45560.15863451384</v>
      </c>
      <c r="AS43" s="64">
        <f>AR43+AS41</f>
        <v>57513.04632648953</v>
      </c>
    </row>
    <row r="44" spans="1:45" ht="12.75">
      <c r="A44" s="65" t="s">
        <v>59</v>
      </c>
      <c r="B44" s="54"/>
      <c r="C44" s="54"/>
      <c r="AK44" s="66">
        <f>AK42</f>
        <v>-19206.470915</v>
      </c>
      <c r="AL44" s="66">
        <f t="shared" si="28"/>
        <v>-13408.967279945944</v>
      </c>
      <c r="AM44" s="66">
        <f t="shared" si="28"/>
        <v>-6518.047752146275</v>
      </c>
      <c r="AN44" s="66">
        <f t="shared" si="28"/>
        <v>355.10835525268067</v>
      </c>
      <c r="AO44" s="66">
        <f t="shared" si="28"/>
        <v>7163.544688371727</v>
      </c>
      <c r="AP44" s="66">
        <f t="shared" si="29"/>
        <v>13868.014853483339</v>
      </c>
      <c r="AQ44" s="66">
        <f t="shared" si="29"/>
        <v>20436.05447399577</v>
      </c>
      <c r="AR44" s="66">
        <f t="shared" si="29"/>
        <v>26841.15160221508</v>
      </c>
      <c r="AS44" s="66">
        <f>AR44+AS42</f>
        <v>33062.005759961816</v>
      </c>
    </row>
    <row r="45" spans="1:45" ht="12.75">
      <c r="A45" s="52" t="s">
        <v>60</v>
      </c>
      <c r="B45" s="54"/>
      <c r="C45" s="54"/>
      <c r="AK45" s="57">
        <f>NPV(Исх!$C$7,'1-Ф3'!$AK39:AK39)</f>
        <v>0</v>
      </c>
      <c r="AL45" s="57">
        <f>NPV(Исх!$C$7,'1-Ф3'!$AK39:AL39)</f>
        <v>6019.74759759128</v>
      </c>
      <c r="AM45" s="57">
        <f>NPV(Исх!$C$7,'1-Ф3'!$AK39:AM39)</f>
        <v>12370.487492632388</v>
      </c>
      <c r="AN45" s="57">
        <f>NPV(Исх!$C$7,'1-Ф3'!$AK39:AN39)</f>
        <v>18704.856442960518</v>
      </c>
      <c r="AO45" s="57">
        <f>NPV(Исх!$C$7,'1-Ф3'!$AK39:AO39)</f>
        <v>24979.579006350108</v>
      </c>
      <c r="AP45" s="57">
        <f>NPV(Исх!$C$7,'1-Ф3'!$AK39:AP39)</f>
        <v>31158.485316446408</v>
      </c>
      <c r="AQ45" s="57">
        <f>NPV(Исх!$C$7,'1-Ф3'!$AK39:AQ39)</f>
        <v>37211.655881263316</v>
      </c>
      <c r="AR45" s="57">
        <f>NPV(Исх!$C$7,'1-Ф3'!$AK39:AR39)</f>
        <v>43114.657026421686</v>
      </c>
      <c r="AS45" s="57">
        <f>NPV(Исх!$C$7,'1-Ф3'!$AK39:AS39)</f>
        <v>48847.85801962056</v>
      </c>
    </row>
    <row r="46" spans="1:45" ht="12.75">
      <c r="A46" s="52" t="s">
        <v>61</v>
      </c>
      <c r="B46" s="54"/>
      <c r="C46" s="54"/>
      <c r="AK46" s="57">
        <f>NPV(Исх!$C$7,'1-Ф3'!$AK40:AK40)</f>
        <v>17700.874403010916</v>
      </c>
      <c r="AL46" s="57">
        <f>NPV(Исх!$C$7,'1-Ф3'!$AK40:AL40)</f>
        <v>18377.585054916064</v>
      </c>
      <c r="AM46" s="57">
        <f>NPV(Исх!$C$7,'1-Ф3'!$AK40:AM40)</f>
        <v>18377.585054916064</v>
      </c>
      <c r="AN46" s="57">
        <f>NPV(Исх!$C$7,'1-Ф3'!$AK40:AN40)</f>
        <v>18377.585054916064</v>
      </c>
      <c r="AO46" s="57">
        <f>NPV(Исх!$C$7,'1-Ф3'!$AK40:AO40)</f>
        <v>18377.585054916064</v>
      </c>
      <c r="AP46" s="57">
        <f>NPV(Исх!$C$7,'1-Ф3'!$AK40:AP40)</f>
        <v>18377.585054916064</v>
      </c>
      <c r="AQ46" s="57">
        <f>NPV(Исх!$C$7,'1-Ф3'!$AK40:AQ40)</f>
        <v>18377.585054916064</v>
      </c>
      <c r="AR46" s="57">
        <f>NPV(Исх!$C$7,'1-Ф3'!$AK40:AR40)</f>
        <v>18377.585054916064</v>
      </c>
      <c r="AS46" s="57">
        <f>NPV(Исх!$C$7,'1-Ф3'!$AK40:AS40)</f>
        <v>18377.585054916064</v>
      </c>
    </row>
    <row r="47" spans="1:45" ht="12.75">
      <c r="A47" s="52" t="s">
        <v>62</v>
      </c>
      <c r="B47" s="54"/>
      <c r="C47" s="54"/>
      <c r="AK47" s="57">
        <f aca="true" t="shared" si="30" ref="AK47:AQ47">AK45-AK46</f>
        <v>-17700.874403010916</v>
      </c>
      <c r="AL47" s="57">
        <f t="shared" si="30"/>
        <v>-12357.837457324784</v>
      </c>
      <c r="AM47" s="57">
        <f t="shared" si="30"/>
        <v>-6007.097562283676</v>
      </c>
      <c r="AN47" s="57">
        <f t="shared" si="30"/>
        <v>327.2713880444535</v>
      </c>
      <c r="AO47" s="57">
        <f t="shared" si="30"/>
        <v>6601.993951434044</v>
      </c>
      <c r="AP47" s="57">
        <f t="shared" si="30"/>
        <v>12780.900261530343</v>
      </c>
      <c r="AQ47" s="57">
        <f t="shared" si="30"/>
        <v>18834.07082634725</v>
      </c>
      <c r="AR47" s="57">
        <f>AR45-AR46</f>
        <v>24737.071971505622</v>
      </c>
      <c r="AS47" s="57">
        <f>AS45-AS46</f>
        <v>30470.272964704494</v>
      </c>
    </row>
    <row r="48" spans="1:45" ht="12.75">
      <c r="A48" s="52" t="s">
        <v>63</v>
      </c>
      <c r="B48" s="54"/>
      <c r="C48" s="54"/>
      <c r="AK48" s="67">
        <f aca="true" t="shared" si="31" ref="AK48:AQ48">AK45/AK46</f>
        <v>0</v>
      </c>
      <c r="AL48" s="67">
        <f t="shared" si="31"/>
        <v>0.3275592293330716</v>
      </c>
      <c r="AM48" s="67">
        <f t="shared" si="31"/>
        <v>0.6731291111246003</v>
      </c>
      <c r="AN48" s="67">
        <f t="shared" si="31"/>
        <v>1.0178081824715541</v>
      </c>
      <c r="AO48" s="67">
        <f t="shared" si="31"/>
        <v>1.3592416485466348</v>
      </c>
      <c r="AP48" s="67">
        <f t="shared" si="31"/>
        <v>1.6954613581348335</v>
      </c>
      <c r="AQ48" s="67">
        <f t="shared" si="31"/>
        <v>2.024839268601784</v>
      </c>
      <c r="AR48" s="67">
        <f>AR45/AR46</f>
        <v>2.346045843215313</v>
      </c>
      <c r="AS48" s="67">
        <f>AS45/AS46</f>
        <v>2.658012893078876</v>
      </c>
    </row>
    <row r="49" spans="1:45" ht="12.75">
      <c r="A49" s="52" t="s">
        <v>64</v>
      </c>
      <c r="B49" s="54"/>
      <c r="C49" s="54"/>
      <c r="AG49" s="68" t="str">
        <f>IF(ISERROR(IRR($AK41:AK$41))," ",IF(IRR($AK41:AK$41)&lt;0," ",IRR($AK41:AK$41)))</f>
        <v> </v>
      </c>
      <c r="AH49" s="68"/>
      <c r="AK49" s="68" t="str">
        <f>IF(ISERROR(IRR($AK41:AK$41))," ",IF(IRR($AK41:AK$41)&lt;0," ",IRR($AK41:AK$41)))</f>
        <v> </v>
      </c>
      <c r="AL49" s="68" t="str">
        <f>IF(ISERROR(IRR($AK41:AL$41))," ",IF(IRR($AK41:AL$41)&lt;0," ",IRR($AK41:AL$41)))</f>
        <v> </v>
      </c>
      <c r="AM49" s="68" t="str">
        <f>IF(ISERROR(IRR($AK41:AM$41))," ",IF(IRR($AK41:AM$41)&lt;0," ",IRR($AK41:AM$41)))</f>
        <v> </v>
      </c>
      <c r="AN49" s="68">
        <f>IF(ISERROR(IRR($AK41:AN$41))," ",IF(IRR($AK41:AN$41)&lt;0," ",IRR($AK41:AN$41)))</f>
        <v>0.09478793974667443</v>
      </c>
      <c r="AO49" s="68">
        <f>IF(ISERROR(IRR($AK41:AO$41))," ",IF(IRR($AK41:AO$41)&lt;0," ",IRR($AK41:AO$41)))</f>
        <v>0.23298040772324446</v>
      </c>
      <c r="AP49" s="68">
        <f>IF(ISERROR(IRR($AK41:AP$41))," ",IF(IRR($AK41:AP$41)&lt;0," ",IRR($AK41:AP$41)))</f>
        <v>0.3111957672507186</v>
      </c>
      <c r="AQ49" s="68">
        <f>IF(ISERROR(IRR($AK41:AQ$41))," ",IF(IRR($AK41:AQ$41)&lt;0," ",IRR($AK41:AQ$41)))</f>
        <v>0.3579646813001258</v>
      </c>
      <c r="AR49" s="68">
        <f>IF(ISERROR(IRR($AK41:AR$41))," ",IF(IRR($AK41:AR$41)&lt;0," ",IRR($AK41:AR$41)))</f>
        <v>0.3871285959176778</v>
      </c>
      <c r="AS49" s="68">
        <f>IF(ISERROR(IRR($AK41:AS$41))," ",IF(IRR($AK41:AS$41)&lt;0," ",IRR($AK41:AS$41)))</f>
        <v>0.40589952258136064</v>
      </c>
    </row>
    <row r="50" spans="1:3" ht="12.75">
      <c r="A50" s="69" t="s">
        <v>30</v>
      </c>
      <c r="B50" s="317">
        <f>AM37-AM43/AN41</f>
        <v>2.5469925356865915</v>
      </c>
      <c r="C50" s="54"/>
    </row>
    <row r="51" spans="1:3" ht="12.75">
      <c r="A51" s="69" t="s">
        <v>25</v>
      </c>
      <c r="B51" s="317">
        <f>AL37-AL44/AM42</f>
        <v>2.9458894021111206</v>
      </c>
      <c r="C51" s="54"/>
    </row>
    <row r="52" spans="1:3" ht="12.75">
      <c r="A52" s="52"/>
      <c r="B52" s="54"/>
      <c r="C52" s="54"/>
    </row>
    <row r="53" spans="1:3" ht="12.75">
      <c r="A53" s="52"/>
      <c r="B53" s="54"/>
      <c r="C53" s="54"/>
    </row>
    <row r="54" spans="1:3" ht="12.75">
      <c r="A54" s="52"/>
      <c r="B54" s="54"/>
      <c r="C54" s="54"/>
    </row>
    <row r="55" spans="1:3" ht="12.75">
      <c r="A55" s="52"/>
      <c r="B55" s="54"/>
      <c r="C55" s="54"/>
    </row>
    <row r="56" spans="1:3" ht="12.75">
      <c r="A56" s="52"/>
      <c r="B56" s="54"/>
      <c r="C56" s="54"/>
    </row>
    <row r="57" spans="1:3" ht="12.75">
      <c r="A57" s="52"/>
      <c r="B57" s="54"/>
      <c r="C57" s="54"/>
    </row>
    <row r="58" spans="1:3" ht="12.75">
      <c r="A58" s="52"/>
      <c r="B58" s="54"/>
      <c r="C58" s="54"/>
    </row>
    <row r="59" spans="1:3" ht="12.75">
      <c r="A59" s="52"/>
      <c r="B59" s="54"/>
      <c r="C59" s="54"/>
    </row>
    <row r="60" spans="1:3" ht="12.75">
      <c r="A60" s="52"/>
      <c r="B60" s="54"/>
      <c r="C60" s="54"/>
    </row>
    <row r="61" spans="1:3" ht="12.75">
      <c r="A61" s="52"/>
      <c r="B61" s="54"/>
      <c r="C61" s="54"/>
    </row>
    <row r="62" spans="1:3" ht="12.75">
      <c r="A62" s="52"/>
      <c r="B62" s="54"/>
      <c r="C62" s="54"/>
    </row>
    <row r="63" spans="1:3" ht="12.75">
      <c r="A63" s="52"/>
      <c r="B63" s="54"/>
      <c r="C63" s="54"/>
    </row>
    <row r="64" spans="1:32" ht="12.75">
      <c r="A64" s="52"/>
      <c r="B64" s="54"/>
      <c r="C64" s="54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1:32" ht="12.75">
      <c r="A65" s="52"/>
      <c r="B65" s="54"/>
      <c r="C65" s="54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1:32" ht="12.75">
      <c r="A66" s="52"/>
      <c r="B66" s="54"/>
      <c r="C66" s="54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1:32" ht="12.75">
      <c r="A67" s="52"/>
      <c r="B67" s="54"/>
      <c r="C67" s="54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1:32" ht="12.75">
      <c r="A68" s="52"/>
      <c r="B68" s="54"/>
      <c r="C68" s="54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1:32" ht="12.75">
      <c r="A69" s="52"/>
      <c r="B69" s="54"/>
      <c r="C69" s="54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1:32" ht="12.75">
      <c r="A70" s="52"/>
      <c r="B70" s="54"/>
      <c r="C70" s="54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1:32" ht="12.75">
      <c r="A71" s="52"/>
      <c r="B71" s="54"/>
      <c r="C71" s="54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1:32" ht="12.75">
      <c r="A72" s="52"/>
      <c r="B72" s="54"/>
      <c r="C72" s="54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1:32" ht="12.75">
      <c r="A73" s="52"/>
      <c r="B73" s="54"/>
      <c r="C73" s="54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1:32" ht="12.75">
      <c r="A74" s="52"/>
      <c r="B74" s="54"/>
      <c r="C74" s="54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1:32" ht="12.75">
      <c r="A75" s="52"/>
      <c r="B75" s="54"/>
      <c r="C75" s="54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1:32" ht="12.75">
      <c r="A76" s="52"/>
      <c r="B76" s="54"/>
      <c r="C76" s="54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1:32" ht="12.75">
      <c r="A77" s="52"/>
      <c r="B77" s="54"/>
      <c r="C77" s="54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1:32" ht="12.75">
      <c r="A78" s="52"/>
      <c r="B78" s="54"/>
      <c r="C78" s="54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1:32" ht="12.75">
      <c r="A79" s="52"/>
      <c r="B79" s="54"/>
      <c r="C79" s="54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1:32" ht="12.75">
      <c r="A80" s="52"/>
      <c r="B80" s="54"/>
      <c r="C80" s="54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1:32" ht="12.75">
      <c r="A81" s="52"/>
      <c r="B81" s="54"/>
      <c r="C81" s="54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1:32" ht="12.75">
      <c r="A82" s="52"/>
      <c r="B82" s="54"/>
      <c r="C82" s="54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1:32" ht="12.75">
      <c r="A83" s="52"/>
      <c r="B83" s="54"/>
      <c r="C83" s="54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1:32" ht="12.75">
      <c r="A84" s="52"/>
      <c r="B84" s="54"/>
      <c r="C84" s="54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1:32" ht="12.75">
      <c r="A85" s="52"/>
      <c r="B85" s="54"/>
      <c r="C85" s="54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1:32" ht="12.75">
      <c r="A86" s="52"/>
      <c r="B86" s="54"/>
      <c r="C86" s="54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1:32" ht="12.75">
      <c r="A87" s="52"/>
      <c r="B87" s="54"/>
      <c r="C87" s="54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1:32" ht="12.75">
      <c r="A88" s="52"/>
      <c r="B88" s="54"/>
      <c r="C88" s="54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1:32" ht="12.75">
      <c r="A89" s="52"/>
      <c r="B89" s="54"/>
      <c r="C89" s="54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1:32" ht="12.75">
      <c r="A90" s="52"/>
      <c r="B90" s="54"/>
      <c r="C90" s="54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1:32" ht="12.75">
      <c r="A91" s="52"/>
      <c r="B91" s="54"/>
      <c r="C91" s="54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1:32" ht="12.75">
      <c r="A92" s="52"/>
      <c r="B92" s="54"/>
      <c r="C92" s="54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1:32" ht="12.75">
      <c r="A93" s="52"/>
      <c r="B93" s="54"/>
      <c r="C93" s="54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1:32" ht="12.75">
      <c r="A94" s="52"/>
      <c r="B94" s="54"/>
      <c r="C94" s="54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1:32" ht="12.75">
      <c r="A95" s="52"/>
      <c r="B95" s="54"/>
      <c r="C95" s="54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1:32" ht="12.75">
      <c r="A96" s="52"/>
      <c r="B96" s="54"/>
      <c r="C96" s="5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ht="12.75">
      <c r="A97" s="52"/>
      <c r="B97" s="54"/>
      <c r="C97" s="54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ht="12.75">
      <c r="A98" s="52"/>
      <c r="B98" s="54"/>
      <c r="C98" s="54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ht="12.75">
      <c r="A99" s="52"/>
      <c r="B99" s="54"/>
      <c r="C99" s="54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ht="12.75">
      <c r="A100" s="52"/>
      <c r="B100" s="54"/>
      <c r="C100" s="54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ht="12.75">
      <c r="A101" s="52"/>
      <c r="B101" s="54"/>
      <c r="C101" s="5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ht="12.75">
      <c r="A102" s="52"/>
      <c r="B102" s="54"/>
      <c r="C102" s="54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:32" ht="12.75">
      <c r="A103" s="52"/>
      <c r="B103" s="54"/>
      <c r="C103" s="54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1:32" ht="12.75">
      <c r="A104" s="52"/>
      <c r="B104" s="54"/>
      <c r="C104" s="54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1:32" ht="12.75">
      <c r="A105" s="52"/>
      <c r="B105" s="54"/>
      <c r="C105" s="54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1:32" ht="12.75">
      <c r="A106" s="52"/>
      <c r="B106" s="54"/>
      <c r="C106" s="54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 ht="12.75">
      <c r="A107" s="52"/>
      <c r="B107" s="54"/>
      <c r="C107" s="54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ht="12.75">
      <c r="A108" s="52"/>
      <c r="B108" s="54"/>
      <c r="C108" s="54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 ht="12.75">
      <c r="A109" s="52"/>
      <c r="B109" s="54"/>
      <c r="C109" s="54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</row>
    <row r="110" spans="1:32" ht="12.75">
      <c r="A110" s="52"/>
      <c r="B110" s="54"/>
      <c r="C110" s="54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</row>
    <row r="111" spans="1:32" ht="12.75">
      <c r="A111" s="52"/>
      <c r="B111" s="54"/>
      <c r="C111" s="54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</row>
    <row r="112" spans="1:32" ht="12.75">
      <c r="A112" s="52"/>
      <c r="B112" s="54"/>
      <c r="C112" s="54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</row>
    <row r="113" spans="1:32" ht="12.75">
      <c r="A113" s="52"/>
      <c r="B113" s="54"/>
      <c r="C113" s="54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</row>
    <row r="114" spans="1:32" ht="12.75">
      <c r="A114" s="52"/>
      <c r="B114" s="54"/>
      <c r="C114" s="54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ht="12.75">
      <c r="A115" s="52"/>
      <c r="B115" s="54"/>
      <c r="C115" s="54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ht="12.75">
      <c r="A116" s="52"/>
      <c r="B116" s="54"/>
      <c r="C116" s="54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ht="12.75">
      <c r="A117" s="52"/>
      <c r="B117" s="54"/>
      <c r="C117" s="54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</row>
    <row r="118" spans="1:32" ht="12.75">
      <c r="A118" s="52"/>
      <c r="B118" s="54"/>
      <c r="C118" s="54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</row>
    <row r="119" spans="1:32" ht="12.75">
      <c r="A119" s="52"/>
      <c r="B119" s="54"/>
      <c r="C119" s="54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</row>
    <row r="120" spans="1:32" ht="12.75">
      <c r="A120" s="52"/>
      <c r="B120" s="54"/>
      <c r="C120" s="54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</row>
    <row r="121" spans="1:32" ht="12.75">
      <c r="A121" s="52"/>
      <c r="B121" s="54"/>
      <c r="C121" s="54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</row>
    <row r="122" spans="1:32" ht="12.75">
      <c r="A122" s="52"/>
      <c r="B122" s="54"/>
      <c r="C122" s="54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</row>
    <row r="123" spans="1:32" ht="12.75">
      <c r="A123" s="52"/>
      <c r="B123" s="54"/>
      <c r="C123" s="54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</row>
    <row r="124" spans="1:32" ht="12.75">
      <c r="A124" s="52"/>
      <c r="B124" s="54"/>
      <c r="C124" s="54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</row>
    <row r="125" spans="1:32" ht="12.75">
      <c r="A125" s="52"/>
      <c r="B125" s="54"/>
      <c r="C125" s="54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</row>
    <row r="126" spans="1:32" ht="12.75">
      <c r="A126" s="52"/>
      <c r="B126" s="54"/>
      <c r="C126" s="54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</row>
    <row r="127" spans="1:32" ht="12.75">
      <c r="A127" s="52"/>
      <c r="B127" s="54"/>
      <c r="C127" s="54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</row>
    <row r="128" spans="1:32" ht="12.75">
      <c r="A128" s="52"/>
      <c r="B128" s="54"/>
      <c r="C128" s="54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</row>
    <row r="129" spans="1:32" ht="12.75">
      <c r="A129" s="52"/>
      <c r="B129" s="54"/>
      <c r="C129" s="54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</row>
    <row r="130" spans="1:32" ht="12.75">
      <c r="A130" s="52"/>
      <c r="B130" s="54"/>
      <c r="C130" s="54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</row>
    <row r="131" spans="1:32" ht="12.75">
      <c r="A131" s="52"/>
      <c r="B131" s="54"/>
      <c r="C131" s="54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</row>
    <row r="132" spans="1:32" ht="12.75">
      <c r="A132" s="52"/>
      <c r="B132" s="54"/>
      <c r="C132" s="54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</row>
    <row r="133" spans="1:32" ht="12.75">
      <c r="A133" s="52"/>
      <c r="B133" s="54"/>
      <c r="C133" s="54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</row>
    <row r="134" spans="1:32" ht="12.75">
      <c r="A134" s="52"/>
      <c r="B134" s="54"/>
      <c r="C134" s="54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</row>
    <row r="135" spans="1:32" ht="12.75">
      <c r="A135" s="52"/>
      <c r="B135" s="54"/>
      <c r="C135" s="54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</row>
    <row r="136" spans="1:32" ht="12.75">
      <c r="A136" s="52"/>
      <c r="B136" s="54"/>
      <c r="C136" s="54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</row>
    <row r="137" spans="1:32" ht="12.75">
      <c r="A137" s="52"/>
      <c r="B137" s="54"/>
      <c r="C137" s="54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</row>
    <row r="138" spans="1:32" ht="12.75">
      <c r="A138" s="52"/>
      <c r="B138" s="54"/>
      <c r="C138" s="54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</row>
    <row r="139" spans="1:32" ht="12.75">
      <c r="A139" s="52"/>
      <c r="B139" s="54"/>
      <c r="C139" s="54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</row>
    <row r="140" spans="1:32" ht="12.75">
      <c r="A140" s="52"/>
      <c r="B140" s="54"/>
      <c r="C140" s="54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</row>
    <row r="141" spans="1:32" ht="12.75">
      <c r="A141" s="52"/>
      <c r="B141" s="54"/>
      <c r="C141" s="54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</row>
    <row r="142" spans="1:32" ht="12.75">
      <c r="A142" s="52"/>
      <c r="B142" s="54"/>
      <c r="C142" s="54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</row>
    <row r="143" spans="1:32" ht="12.75">
      <c r="A143" s="52"/>
      <c r="B143" s="54"/>
      <c r="C143" s="54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</row>
  </sheetData>
  <sheetProtection/>
  <mergeCells count="4">
    <mergeCell ref="A5:A6"/>
    <mergeCell ref="B5:B6"/>
    <mergeCell ref="D5:P5"/>
    <mergeCell ref="Q5:AC5"/>
  </mergeCells>
  <printOptions/>
  <pageMargins left="0.4330708661417323" right="0.2755905511811024" top="0.5905511811023623" bottom="0.35433070866141736" header="0.35433070866141736" footer="0.2362204724409449"/>
  <pageSetup horizontalDpi="600" verticalDpi="600" orientation="landscape" paperSize="9" r:id="rId1"/>
  <headerFooter alignWithMargins="0">
    <oddHeader>&amp;RПриложение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2:DP60"/>
  <sheetViews>
    <sheetView showGridLines="0" zoomScalePageLayoutView="0" workbookViewId="0" topLeftCell="A1">
      <pane xSplit="2" ySplit="6" topLeftCell="O7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BM23" sqref="BM23"/>
    </sheetView>
  </sheetViews>
  <sheetFormatPr defaultColWidth="9.00390625" defaultRowHeight="12.75" outlineLevelCol="1"/>
  <cols>
    <col min="1" max="1" width="23.25390625" style="172" customWidth="1"/>
    <col min="2" max="2" width="12.125" style="172" customWidth="1"/>
    <col min="3" max="14" width="9.125" style="172" hidden="1" customWidth="1" outlineLevel="1"/>
    <col min="15" max="15" width="8.375" style="173" customWidth="1" collapsed="1"/>
    <col min="16" max="27" width="8.375" style="172" hidden="1" customWidth="1" outlineLevel="1"/>
    <col min="28" max="28" width="8.375" style="173" customWidth="1" collapsed="1"/>
    <col min="29" max="40" width="8.375" style="172" hidden="1" customWidth="1" outlineLevel="1"/>
    <col min="41" max="41" width="8.375" style="173" customWidth="1" collapsed="1"/>
    <col min="42" max="53" width="8.375" style="172" hidden="1" customWidth="1" outlineLevel="1"/>
    <col min="54" max="54" width="8.375" style="173" customWidth="1" collapsed="1"/>
    <col min="55" max="66" width="8.375" style="172" hidden="1" customWidth="1" outlineLevel="1"/>
    <col min="67" max="67" width="8.375" style="173" customWidth="1" collapsed="1"/>
    <col min="68" max="79" width="8.375" style="172" hidden="1" customWidth="1" outlineLevel="1"/>
    <col min="80" max="80" width="8.375" style="173" customWidth="1" collapsed="1"/>
    <col min="81" max="92" width="8.375" style="172" hidden="1" customWidth="1" outlineLevel="1"/>
    <col min="93" max="93" width="8.375" style="173" customWidth="1" collapsed="1"/>
    <col min="94" max="105" width="8.375" style="172" hidden="1" customWidth="1" outlineLevel="1"/>
    <col min="106" max="106" width="8.375" style="173" customWidth="1" collapsed="1"/>
    <col min="107" max="118" width="8.375" style="172" hidden="1" customWidth="1" outlineLevel="1"/>
    <col min="119" max="119" width="8.375" style="173" customWidth="1" collapsed="1"/>
    <col min="120" max="16384" width="9.125" style="172" customWidth="1"/>
  </cols>
  <sheetData>
    <row r="1" ht="9.75" customHeight="1"/>
    <row r="2" spans="1:15" ht="18.75" customHeight="1">
      <c r="A2" s="173" t="s">
        <v>90</v>
      </c>
      <c r="B2" s="174"/>
      <c r="D2" s="175"/>
      <c r="E2" s="175"/>
      <c r="F2" s="176"/>
      <c r="G2" s="175"/>
      <c r="O2" s="177"/>
    </row>
    <row r="3" spans="1:15" ht="13.5" customHeight="1">
      <c r="A3" s="178"/>
      <c r="B3" s="174"/>
      <c r="D3" s="175"/>
      <c r="E3" s="175"/>
      <c r="F3" s="176"/>
      <c r="G3" s="175"/>
      <c r="O3" s="177"/>
    </row>
    <row r="4" spans="1:2" ht="12.75">
      <c r="A4" s="277"/>
      <c r="B4" s="278"/>
    </row>
    <row r="5" spans="1:119" ht="15.75" customHeight="1">
      <c r="A5" s="179" t="s">
        <v>9</v>
      </c>
      <c r="B5" s="279">
        <f>Исх!C37</f>
        <v>0.07</v>
      </c>
      <c r="C5" s="355">
        <v>2013</v>
      </c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>
        <v>2014</v>
      </c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>
        <v>2015</v>
      </c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>
        <v>2016</v>
      </c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>
        <v>2017</v>
      </c>
      <c r="BD5" s="355"/>
      <c r="BE5" s="355"/>
      <c r="BF5" s="355"/>
      <c r="BG5" s="355"/>
      <c r="BH5" s="355"/>
      <c r="BI5" s="355"/>
      <c r="BJ5" s="355"/>
      <c r="BK5" s="355"/>
      <c r="BL5" s="355"/>
      <c r="BM5" s="355"/>
      <c r="BN5" s="355"/>
      <c r="BO5" s="355"/>
      <c r="BP5" s="355">
        <v>2018</v>
      </c>
      <c r="BQ5" s="355"/>
      <c r="BR5" s="355"/>
      <c r="BS5" s="355"/>
      <c r="BT5" s="355"/>
      <c r="BU5" s="355"/>
      <c r="BV5" s="355"/>
      <c r="BW5" s="355"/>
      <c r="BX5" s="355"/>
      <c r="BY5" s="355"/>
      <c r="BZ5" s="355"/>
      <c r="CA5" s="355"/>
      <c r="CB5" s="355"/>
      <c r="CC5" s="355">
        <v>2019</v>
      </c>
      <c r="CD5" s="355"/>
      <c r="CE5" s="355"/>
      <c r="CF5" s="355"/>
      <c r="CG5" s="355"/>
      <c r="CH5" s="355"/>
      <c r="CI5" s="355"/>
      <c r="CJ5" s="355"/>
      <c r="CK5" s="355"/>
      <c r="CL5" s="355"/>
      <c r="CM5" s="355"/>
      <c r="CN5" s="355"/>
      <c r="CO5" s="355"/>
      <c r="CP5" s="355">
        <v>2020</v>
      </c>
      <c r="CQ5" s="355"/>
      <c r="CR5" s="355"/>
      <c r="CS5" s="355"/>
      <c r="CT5" s="355"/>
      <c r="CU5" s="355"/>
      <c r="CV5" s="355"/>
      <c r="CW5" s="355"/>
      <c r="CX5" s="355"/>
      <c r="CY5" s="355"/>
      <c r="CZ5" s="355"/>
      <c r="DA5" s="355"/>
      <c r="DB5" s="355"/>
      <c r="DC5" s="355">
        <v>2021</v>
      </c>
      <c r="DD5" s="355"/>
      <c r="DE5" s="355"/>
      <c r="DF5" s="355"/>
      <c r="DG5" s="355"/>
      <c r="DH5" s="355"/>
      <c r="DI5" s="355"/>
      <c r="DJ5" s="355"/>
      <c r="DK5" s="355"/>
      <c r="DL5" s="355"/>
      <c r="DM5" s="355"/>
      <c r="DN5" s="355"/>
      <c r="DO5" s="355"/>
    </row>
    <row r="6" spans="1:119" s="184" customFormat="1" ht="15" customHeight="1">
      <c r="A6" s="180" t="s">
        <v>7</v>
      </c>
      <c r="B6" s="181" t="s">
        <v>80</v>
      </c>
      <c r="C6" s="182">
        <v>1</v>
      </c>
      <c r="D6" s="182">
        <v>2</v>
      </c>
      <c r="E6" s="182">
        <f>D6+1</f>
        <v>3</v>
      </c>
      <c r="F6" s="182">
        <f aca="true" t="shared" si="0" ref="F6:N6">E6+1</f>
        <v>4</v>
      </c>
      <c r="G6" s="182">
        <f t="shared" si="0"/>
        <v>5</v>
      </c>
      <c r="H6" s="182">
        <f t="shared" si="0"/>
        <v>6</v>
      </c>
      <c r="I6" s="182">
        <f t="shared" si="0"/>
        <v>7</v>
      </c>
      <c r="J6" s="182">
        <f t="shared" si="0"/>
        <v>8</v>
      </c>
      <c r="K6" s="182">
        <f t="shared" si="0"/>
        <v>9</v>
      </c>
      <c r="L6" s="182">
        <f t="shared" si="0"/>
        <v>10</v>
      </c>
      <c r="M6" s="182">
        <f t="shared" si="0"/>
        <v>11</v>
      </c>
      <c r="N6" s="182">
        <f t="shared" si="0"/>
        <v>12</v>
      </c>
      <c r="O6" s="183" t="s">
        <v>0</v>
      </c>
      <c r="P6" s="182">
        <v>1</v>
      </c>
      <c r="Q6" s="182">
        <v>2</v>
      </c>
      <c r="R6" s="182">
        <f>Q6+1</f>
        <v>3</v>
      </c>
      <c r="S6" s="182">
        <f aca="true" t="shared" si="1" ref="S6:AA6">R6+1</f>
        <v>4</v>
      </c>
      <c r="T6" s="182">
        <f t="shared" si="1"/>
        <v>5</v>
      </c>
      <c r="U6" s="182">
        <f t="shared" si="1"/>
        <v>6</v>
      </c>
      <c r="V6" s="182">
        <f t="shared" si="1"/>
        <v>7</v>
      </c>
      <c r="W6" s="182">
        <f t="shared" si="1"/>
        <v>8</v>
      </c>
      <c r="X6" s="182">
        <f t="shared" si="1"/>
        <v>9</v>
      </c>
      <c r="Y6" s="182">
        <f t="shared" si="1"/>
        <v>10</v>
      </c>
      <c r="Z6" s="182">
        <f t="shared" si="1"/>
        <v>11</v>
      </c>
      <c r="AA6" s="182">
        <f t="shared" si="1"/>
        <v>12</v>
      </c>
      <c r="AB6" s="183" t="s">
        <v>0</v>
      </c>
      <c r="AC6" s="182">
        <v>1</v>
      </c>
      <c r="AD6" s="182">
        <v>2</v>
      </c>
      <c r="AE6" s="182">
        <f aca="true" t="shared" si="2" ref="AE6:BN6">AD6+1</f>
        <v>3</v>
      </c>
      <c r="AF6" s="182">
        <f t="shared" si="2"/>
        <v>4</v>
      </c>
      <c r="AG6" s="182">
        <f t="shared" si="2"/>
        <v>5</v>
      </c>
      <c r="AH6" s="182">
        <f t="shared" si="2"/>
        <v>6</v>
      </c>
      <c r="AI6" s="182">
        <f t="shared" si="2"/>
        <v>7</v>
      </c>
      <c r="AJ6" s="182">
        <f t="shared" si="2"/>
        <v>8</v>
      </c>
      <c r="AK6" s="182">
        <f t="shared" si="2"/>
        <v>9</v>
      </c>
      <c r="AL6" s="182">
        <f t="shared" si="2"/>
        <v>10</v>
      </c>
      <c r="AM6" s="182">
        <f t="shared" si="2"/>
        <v>11</v>
      </c>
      <c r="AN6" s="182">
        <f t="shared" si="2"/>
        <v>12</v>
      </c>
      <c r="AO6" s="183" t="s">
        <v>0</v>
      </c>
      <c r="AP6" s="182">
        <v>1</v>
      </c>
      <c r="AQ6" s="182">
        <v>2</v>
      </c>
      <c r="AR6" s="182">
        <f>AQ6+1</f>
        <v>3</v>
      </c>
      <c r="AS6" s="182">
        <f t="shared" si="2"/>
        <v>4</v>
      </c>
      <c r="AT6" s="182">
        <f t="shared" si="2"/>
        <v>5</v>
      </c>
      <c r="AU6" s="182">
        <f t="shared" si="2"/>
        <v>6</v>
      </c>
      <c r="AV6" s="182">
        <f t="shared" si="2"/>
        <v>7</v>
      </c>
      <c r="AW6" s="182">
        <f t="shared" si="2"/>
        <v>8</v>
      </c>
      <c r="AX6" s="182">
        <f t="shared" si="2"/>
        <v>9</v>
      </c>
      <c r="AY6" s="182">
        <f t="shared" si="2"/>
        <v>10</v>
      </c>
      <c r="AZ6" s="182">
        <f t="shared" si="2"/>
        <v>11</v>
      </c>
      <c r="BA6" s="182">
        <f t="shared" si="2"/>
        <v>12</v>
      </c>
      <c r="BB6" s="183" t="s">
        <v>0</v>
      </c>
      <c r="BC6" s="182">
        <v>1</v>
      </c>
      <c r="BD6" s="182">
        <v>2</v>
      </c>
      <c r="BE6" s="182">
        <f>BD6+1</f>
        <v>3</v>
      </c>
      <c r="BF6" s="182">
        <f t="shared" si="2"/>
        <v>4</v>
      </c>
      <c r="BG6" s="182">
        <f t="shared" si="2"/>
        <v>5</v>
      </c>
      <c r="BH6" s="182">
        <f t="shared" si="2"/>
        <v>6</v>
      </c>
      <c r="BI6" s="182">
        <f t="shared" si="2"/>
        <v>7</v>
      </c>
      <c r="BJ6" s="182">
        <f t="shared" si="2"/>
        <v>8</v>
      </c>
      <c r="BK6" s="182">
        <f t="shared" si="2"/>
        <v>9</v>
      </c>
      <c r="BL6" s="182">
        <f t="shared" si="2"/>
        <v>10</v>
      </c>
      <c r="BM6" s="182">
        <f t="shared" si="2"/>
        <v>11</v>
      </c>
      <c r="BN6" s="182">
        <f t="shared" si="2"/>
        <v>12</v>
      </c>
      <c r="BO6" s="183" t="s">
        <v>0</v>
      </c>
      <c r="BP6" s="182">
        <v>1</v>
      </c>
      <c r="BQ6" s="182">
        <v>2</v>
      </c>
      <c r="BR6" s="182">
        <f aca="true" t="shared" si="3" ref="BR6:CA6">BQ6+1</f>
        <v>3</v>
      </c>
      <c r="BS6" s="182">
        <f t="shared" si="3"/>
        <v>4</v>
      </c>
      <c r="BT6" s="182">
        <f t="shared" si="3"/>
        <v>5</v>
      </c>
      <c r="BU6" s="182">
        <f t="shared" si="3"/>
        <v>6</v>
      </c>
      <c r="BV6" s="182">
        <f t="shared" si="3"/>
        <v>7</v>
      </c>
      <c r="BW6" s="182">
        <f t="shared" si="3"/>
        <v>8</v>
      </c>
      <c r="BX6" s="182">
        <f t="shared" si="3"/>
        <v>9</v>
      </c>
      <c r="BY6" s="182">
        <f t="shared" si="3"/>
        <v>10</v>
      </c>
      <c r="BZ6" s="182">
        <f t="shared" si="3"/>
        <v>11</v>
      </c>
      <c r="CA6" s="182">
        <f t="shared" si="3"/>
        <v>12</v>
      </c>
      <c r="CB6" s="183" t="s">
        <v>0</v>
      </c>
      <c r="CC6" s="182">
        <v>1</v>
      </c>
      <c r="CD6" s="182">
        <v>2</v>
      </c>
      <c r="CE6" s="182">
        <f aca="true" t="shared" si="4" ref="CE6:CN6">CD6+1</f>
        <v>3</v>
      </c>
      <c r="CF6" s="182">
        <f t="shared" si="4"/>
        <v>4</v>
      </c>
      <c r="CG6" s="182">
        <f t="shared" si="4"/>
        <v>5</v>
      </c>
      <c r="CH6" s="182">
        <f t="shared" si="4"/>
        <v>6</v>
      </c>
      <c r="CI6" s="182">
        <f t="shared" si="4"/>
        <v>7</v>
      </c>
      <c r="CJ6" s="182">
        <f t="shared" si="4"/>
        <v>8</v>
      </c>
      <c r="CK6" s="182">
        <f t="shared" si="4"/>
        <v>9</v>
      </c>
      <c r="CL6" s="182">
        <f t="shared" si="4"/>
        <v>10</v>
      </c>
      <c r="CM6" s="182">
        <f t="shared" si="4"/>
        <v>11</v>
      </c>
      <c r="CN6" s="182">
        <f t="shared" si="4"/>
        <v>12</v>
      </c>
      <c r="CO6" s="183" t="s">
        <v>0</v>
      </c>
      <c r="CP6" s="182">
        <v>1</v>
      </c>
      <c r="CQ6" s="182">
        <v>2</v>
      </c>
      <c r="CR6" s="182">
        <f aca="true" t="shared" si="5" ref="CR6:DA6">CQ6+1</f>
        <v>3</v>
      </c>
      <c r="CS6" s="182">
        <f t="shared" si="5"/>
        <v>4</v>
      </c>
      <c r="CT6" s="182">
        <f t="shared" si="5"/>
        <v>5</v>
      </c>
      <c r="CU6" s="182">
        <f t="shared" si="5"/>
        <v>6</v>
      </c>
      <c r="CV6" s="182">
        <f t="shared" si="5"/>
        <v>7</v>
      </c>
      <c r="CW6" s="182">
        <f t="shared" si="5"/>
        <v>8</v>
      </c>
      <c r="CX6" s="182">
        <f t="shared" si="5"/>
        <v>9</v>
      </c>
      <c r="CY6" s="182">
        <f t="shared" si="5"/>
        <v>10</v>
      </c>
      <c r="CZ6" s="182">
        <f t="shared" si="5"/>
        <v>11</v>
      </c>
      <c r="DA6" s="182">
        <f t="shared" si="5"/>
        <v>12</v>
      </c>
      <c r="DB6" s="183" t="s">
        <v>0</v>
      </c>
      <c r="DC6" s="182">
        <v>1</v>
      </c>
      <c r="DD6" s="182">
        <v>2</v>
      </c>
      <c r="DE6" s="182">
        <f aca="true" t="shared" si="6" ref="DE6:DN6">DD6+1</f>
        <v>3</v>
      </c>
      <c r="DF6" s="182">
        <f t="shared" si="6"/>
        <v>4</v>
      </c>
      <c r="DG6" s="182">
        <f t="shared" si="6"/>
        <v>5</v>
      </c>
      <c r="DH6" s="182">
        <f t="shared" si="6"/>
        <v>6</v>
      </c>
      <c r="DI6" s="182">
        <f t="shared" si="6"/>
        <v>7</v>
      </c>
      <c r="DJ6" s="182">
        <f t="shared" si="6"/>
        <v>8</v>
      </c>
      <c r="DK6" s="182">
        <f t="shared" si="6"/>
        <v>9</v>
      </c>
      <c r="DL6" s="182">
        <f t="shared" si="6"/>
        <v>10</v>
      </c>
      <c r="DM6" s="182">
        <f t="shared" si="6"/>
        <v>11</v>
      </c>
      <c r="DN6" s="182">
        <f t="shared" si="6"/>
        <v>12</v>
      </c>
      <c r="DO6" s="183" t="s">
        <v>0</v>
      </c>
    </row>
    <row r="7" spans="1:120" ht="12.75">
      <c r="A7" s="180" t="s">
        <v>98</v>
      </c>
      <c r="B7" s="185">
        <f>O7+AB7+AO7+BB7+BO7+CB7+CO7+DB7+DO7</f>
        <v>15822.809075000001</v>
      </c>
      <c r="C7" s="186">
        <f>C20+C35+C50</f>
        <v>0</v>
      </c>
      <c r="D7" s="186">
        <f aca="true" t="shared" si="7" ref="D7:N7">D20+D35+D50</f>
        <v>0</v>
      </c>
      <c r="E7" s="186">
        <f t="shared" si="7"/>
        <v>0</v>
      </c>
      <c r="F7" s="186">
        <f t="shared" si="7"/>
        <v>0</v>
      </c>
      <c r="G7" s="186">
        <f t="shared" si="7"/>
        <v>0</v>
      </c>
      <c r="H7" s="186">
        <f t="shared" si="7"/>
        <v>0</v>
      </c>
      <c r="I7" s="186">
        <f t="shared" si="7"/>
        <v>0</v>
      </c>
      <c r="J7" s="186">
        <f t="shared" si="7"/>
        <v>0</v>
      </c>
      <c r="K7" s="186">
        <f t="shared" si="7"/>
        <v>0</v>
      </c>
      <c r="L7" s="186">
        <f t="shared" si="7"/>
        <v>0</v>
      </c>
      <c r="M7" s="186">
        <f t="shared" si="7"/>
        <v>15822.809075000001</v>
      </c>
      <c r="N7" s="186">
        <f t="shared" si="7"/>
        <v>0</v>
      </c>
      <c r="O7" s="187">
        <f>SUM(C7:N7)</f>
        <v>15822.809075000001</v>
      </c>
      <c r="P7" s="186">
        <f aca="true" t="shared" si="8" ref="P7:AA7">P20+P35+P50</f>
        <v>0</v>
      </c>
      <c r="Q7" s="186">
        <f t="shared" si="8"/>
        <v>0</v>
      </c>
      <c r="R7" s="186">
        <f t="shared" si="8"/>
        <v>0</v>
      </c>
      <c r="S7" s="186">
        <f t="shared" si="8"/>
        <v>0</v>
      </c>
      <c r="T7" s="186">
        <f t="shared" si="8"/>
        <v>0</v>
      </c>
      <c r="U7" s="186">
        <f t="shared" si="8"/>
        <v>0</v>
      </c>
      <c r="V7" s="186">
        <f t="shared" si="8"/>
        <v>0</v>
      </c>
      <c r="W7" s="186">
        <f t="shared" si="8"/>
        <v>0</v>
      </c>
      <c r="X7" s="186">
        <f t="shared" si="8"/>
        <v>0</v>
      </c>
      <c r="Y7" s="186">
        <f t="shared" si="8"/>
        <v>0</v>
      </c>
      <c r="Z7" s="186">
        <f t="shared" si="8"/>
        <v>0</v>
      </c>
      <c r="AA7" s="186">
        <f t="shared" si="8"/>
        <v>0</v>
      </c>
      <c r="AB7" s="187">
        <f>SUM(P7:AA7)</f>
        <v>0</v>
      </c>
      <c r="AC7" s="186">
        <f aca="true" t="shared" si="9" ref="AC7:AN7">AC20+AC35+AC50</f>
        <v>0</v>
      </c>
      <c r="AD7" s="186">
        <f t="shared" si="9"/>
        <v>0</v>
      </c>
      <c r="AE7" s="186">
        <f t="shared" si="9"/>
        <v>0</v>
      </c>
      <c r="AF7" s="186">
        <f t="shared" si="9"/>
        <v>0</v>
      </c>
      <c r="AG7" s="186">
        <f t="shared" si="9"/>
        <v>0</v>
      </c>
      <c r="AH7" s="186">
        <f t="shared" si="9"/>
        <v>0</v>
      </c>
      <c r="AI7" s="186">
        <f t="shared" si="9"/>
        <v>0</v>
      </c>
      <c r="AJ7" s="186">
        <f t="shared" si="9"/>
        <v>0</v>
      </c>
      <c r="AK7" s="186">
        <f t="shared" si="9"/>
        <v>0</v>
      </c>
      <c r="AL7" s="186">
        <f t="shared" si="9"/>
        <v>0</v>
      </c>
      <c r="AM7" s="186">
        <f t="shared" si="9"/>
        <v>0</v>
      </c>
      <c r="AN7" s="186">
        <f t="shared" si="9"/>
        <v>0</v>
      </c>
      <c r="AO7" s="187">
        <f>SUM(AC7:AN7)</f>
        <v>0</v>
      </c>
      <c r="AP7" s="186">
        <f aca="true" t="shared" si="10" ref="AP7:BA7">AP20+AP35+AP50</f>
        <v>0</v>
      </c>
      <c r="AQ7" s="186">
        <f t="shared" si="10"/>
        <v>0</v>
      </c>
      <c r="AR7" s="186">
        <f t="shared" si="10"/>
        <v>0</v>
      </c>
      <c r="AS7" s="186">
        <f t="shared" si="10"/>
        <v>0</v>
      </c>
      <c r="AT7" s="186">
        <f t="shared" si="10"/>
        <v>0</v>
      </c>
      <c r="AU7" s="186">
        <f t="shared" si="10"/>
        <v>0</v>
      </c>
      <c r="AV7" s="186">
        <f t="shared" si="10"/>
        <v>0</v>
      </c>
      <c r="AW7" s="186">
        <f t="shared" si="10"/>
        <v>0</v>
      </c>
      <c r="AX7" s="186">
        <f t="shared" si="10"/>
        <v>0</v>
      </c>
      <c r="AY7" s="186">
        <f t="shared" si="10"/>
        <v>0</v>
      </c>
      <c r="AZ7" s="186">
        <f t="shared" si="10"/>
        <v>0</v>
      </c>
      <c r="BA7" s="186">
        <f t="shared" si="10"/>
        <v>0</v>
      </c>
      <c r="BB7" s="187">
        <f>SUM(AP7:BA7)</f>
        <v>0</v>
      </c>
      <c r="BC7" s="186">
        <f aca="true" t="shared" si="11" ref="BC7:BN7">BC20+BC35+BC50</f>
        <v>0</v>
      </c>
      <c r="BD7" s="186">
        <f t="shared" si="11"/>
        <v>0</v>
      </c>
      <c r="BE7" s="186">
        <f t="shared" si="11"/>
        <v>0</v>
      </c>
      <c r="BF7" s="186">
        <f t="shared" si="11"/>
        <v>0</v>
      </c>
      <c r="BG7" s="186">
        <f t="shared" si="11"/>
        <v>0</v>
      </c>
      <c r="BH7" s="186">
        <f t="shared" si="11"/>
        <v>0</v>
      </c>
      <c r="BI7" s="186">
        <f t="shared" si="11"/>
        <v>0</v>
      </c>
      <c r="BJ7" s="186">
        <f t="shared" si="11"/>
        <v>0</v>
      </c>
      <c r="BK7" s="186">
        <f t="shared" si="11"/>
        <v>0</v>
      </c>
      <c r="BL7" s="186">
        <f t="shared" si="11"/>
        <v>0</v>
      </c>
      <c r="BM7" s="186">
        <f t="shared" si="11"/>
        <v>0</v>
      </c>
      <c r="BN7" s="186">
        <f t="shared" si="11"/>
        <v>0</v>
      </c>
      <c r="BO7" s="187">
        <f>SUM(BC7:BN7)</f>
        <v>0</v>
      </c>
      <c r="BP7" s="186">
        <f aca="true" t="shared" si="12" ref="BP7:CA7">BP20+BP35+BP50</f>
        <v>0</v>
      </c>
      <c r="BQ7" s="186">
        <f t="shared" si="12"/>
        <v>0</v>
      </c>
      <c r="BR7" s="186">
        <f t="shared" si="12"/>
        <v>0</v>
      </c>
      <c r="BS7" s="186">
        <f t="shared" si="12"/>
        <v>0</v>
      </c>
      <c r="BT7" s="186">
        <f t="shared" si="12"/>
        <v>0</v>
      </c>
      <c r="BU7" s="186">
        <f t="shared" si="12"/>
        <v>0</v>
      </c>
      <c r="BV7" s="186">
        <f t="shared" si="12"/>
        <v>0</v>
      </c>
      <c r="BW7" s="186">
        <f t="shared" si="12"/>
        <v>0</v>
      </c>
      <c r="BX7" s="186">
        <f t="shared" si="12"/>
        <v>0</v>
      </c>
      <c r="BY7" s="186">
        <f t="shared" si="12"/>
        <v>0</v>
      </c>
      <c r="BZ7" s="186">
        <f t="shared" si="12"/>
        <v>0</v>
      </c>
      <c r="CA7" s="186">
        <f t="shared" si="12"/>
        <v>0</v>
      </c>
      <c r="CB7" s="187">
        <f>SUM(BP7:CA7)</f>
        <v>0</v>
      </c>
      <c r="CC7" s="186">
        <f aca="true" t="shared" si="13" ref="CC7:CN7">CC20+CC35+CC50</f>
        <v>0</v>
      </c>
      <c r="CD7" s="186">
        <f t="shared" si="13"/>
        <v>0</v>
      </c>
      <c r="CE7" s="186">
        <f t="shared" si="13"/>
        <v>0</v>
      </c>
      <c r="CF7" s="186">
        <f t="shared" si="13"/>
        <v>0</v>
      </c>
      <c r="CG7" s="186">
        <f t="shared" si="13"/>
        <v>0</v>
      </c>
      <c r="CH7" s="186">
        <f t="shared" si="13"/>
        <v>0</v>
      </c>
      <c r="CI7" s="186">
        <f t="shared" si="13"/>
        <v>0</v>
      </c>
      <c r="CJ7" s="186">
        <f t="shared" si="13"/>
        <v>0</v>
      </c>
      <c r="CK7" s="186">
        <f t="shared" si="13"/>
        <v>0</v>
      </c>
      <c r="CL7" s="186">
        <f t="shared" si="13"/>
        <v>0</v>
      </c>
      <c r="CM7" s="186">
        <f t="shared" si="13"/>
        <v>0</v>
      </c>
      <c r="CN7" s="186">
        <f t="shared" si="13"/>
        <v>0</v>
      </c>
      <c r="CO7" s="187">
        <f>SUM(CC7:CN7)</f>
        <v>0</v>
      </c>
      <c r="CP7" s="186">
        <f aca="true" t="shared" si="14" ref="CP7:DA7">CP20+CP35+CP50</f>
        <v>0</v>
      </c>
      <c r="CQ7" s="186">
        <f t="shared" si="14"/>
        <v>0</v>
      </c>
      <c r="CR7" s="186">
        <f t="shared" si="14"/>
        <v>0</v>
      </c>
      <c r="CS7" s="186">
        <f t="shared" si="14"/>
        <v>0</v>
      </c>
      <c r="CT7" s="186">
        <f t="shared" si="14"/>
        <v>0</v>
      </c>
      <c r="CU7" s="186">
        <f t="shared" si="14"/>
        <v>0</v>
      </c>
      <c r="CV7" s="186">
        <f t="shared" si="14"/>
        <v>0</v>
      </c>
      <c r="CW7" s="186">
        <f t="shared" si="14"/>
        <v>0</v>
      </c>
      <c r="CX7" s="186">
        <f t="shared" si="14"/>
        <v>0</v>
      </c>
      <c r="CY7" s="186">
        <f t="shared" si="14"/>
        <v>0</v>
      </c>
      <c r="CZ7" s="186">
        <f t="shared" si="14"/>
        <v>0</v>
      </c>
      <c r="DA7" s="186">
        <f t="shared" si="14"/>
        <v>0</v>
      </c>
      <c r="DB7" s="187">
        <f>SUM(CP7:DA7)</f>
        <v>0</v>
      </c>
      <c r="DC7" s="186">
        <f aca="true" t="shared" si="15" ref="DC7:DN7">DC20+DC35+DC50</f>
        <v>0</v>
      </c>
      <c r="DD7" s="186">
        <f t="shared" si="15"/>
        <v>0</v>
      </c>
      <c r="DE7" s="186">
        <f t="shared" si="15"/>
        <v>0</v>
      </c>
      <c r="DF7" s="186">
        <f t="shared" si="15"/>
        <v>0</v>
      </c>
      <c r="DG7" s="186">
        <f t="shared" si="15"/>
        <v>0</v>
      </c>
      <c r="DH7" s="186">
        <f t="shared" si="15"/>
        <v>0</v>
      </c>
      <c r="DI7" s="186">
        <f t="shared" si="15"/>
        <v>0</v>
      </c>
      <c r="DJ7" s="186">
        <f t="shared" si="15"/>
        <v>0</v>
      </c>
      <c r="DK7" s="186">
        <f t="shared" si="15"/>
        <v>0</v>
      </c>
      <c r="DL7" s="186">
        <f t="shared" si="15"/>
        <v>0</v>
      </c>
      <c r="DM7" s="186">
        <f t="shared" si="15"/>
        <v>0</v>
      </c>
      <c r="DN7" s="186">
        <f t="shared" si="15"/>
        <v>0</v>
      </c>
      <c r="DO7" s="187">
        <f>SUM(DC7:DN7)</f>
        <v>0</v>
      </c>
      <c r="DP7" s="188"/>
    </row>
    <row r="8" spans="1:119" s="189" customFormat="1" ht="20.25" customHeight="1">
      <c r="A8" s="180" t="s">
        <v>27</v>
      </c>
      <c r="B8" s="185">
        <f>O8+AB8+AO8+BB8+BO8+CB8+CO8+DB8+DO8</f>
        <v>184.59943920833337</v>
      </c>
      <c r="C8" s="186">
        <f aca="true" t="shared" si="16" ref="C8:N12">C21+C36+C51</f>
        <v>0</v>
      </c>
      <c r="D8" s="186">
        <f t="shared" si="16"/>
        <v>0</v>
      </c>
      <c r="E8" s="186">
        <f t="shared" si="16"/>
        <v>0</v>
      </c>
      <c r="F8" s="186">
        <f t="shared" si="16"/>
        <v>0</v>
      </c>
      <c r="G8" s="186">
        <f t="shared" si="16"/>
        <v>0</v>
      </c>
      <c r="H8" s="186">
        <f t="shared" si="16"/>
        <v>0</v>
      </c>
      <c r="I8" s="186">
        <f t="shared" si="16"/>
        <v>0</v>
      </c>
      <c r="J8" s="186">
        <f t="shared" si="16"/>
        <v>0</v>
      </c>
      <c r="K8" s="186">
        <f t="shared" si="16"/>
        <v>0</v>
      </c>
      <c r="L8" s="186">
        <f t="shared" si="16"/>
        <v>0</v>
      </c>
      <c r="M8" s="186">
        <f t="shared" si="16"/>
        <v>0</v>
      </c>
      <c r="N8" s="186">
        <f t="shared" si="16"/>
        <v>0</v>
      </c>
      <c r="O8" s="187">
        <f>SUM(C8:N8)</f>
        <v>0</v>
      </c>
      <c r="P8" s="186">
        <f aca="true" t="shared" si="17" ref="P8:AA8">P21+P36+P51</f>
        <v>184.59943920833337</v>
      </c>
      <c r="Q8" s="186">
        <f t="shared" si="17"/>
        <v>0</v>
      </c>
      <c r="R8" s="186">
        <f t="shared" si="17"/>
        <v>0</v>
      </c>
      <c r="S8" s="186">
        <f t="shared" si="17"/>
        <v>0</v>
      </c>
      <c r="T8" s="186">
        <f t="shared" si="17"/>
        <v>0</v>
      </c>
      <c r="U8" s="186">
        <f t="shared" si="17"/>
        <v>0</v>
      </c>
      <c r="V8" s="186">
        <f t="shared" si="17"/>
        <v>0</v>
      </c>
      <c r="W8" s="186">
        <f t="shared" si="17"/>
        <v>0</v>
      </c>
      <c r="X8" s="186">
        <f t="shared" si="17"/>
        <v>0</v>
      </c>
      <c r="Y8" s="186">
        <f t="shared" si="17"/>
        <v>0</v>
      </c>
      <c r="Z8" s="186">
        <f t="shared" si="17"/>
        <v>0</v>
      </c>
      <c r="AA8" s="186">
        <f t="shared" si="17"/>
        <v>0</v>
      </c>
      <c r="AB8" s="187">
        <f>SUM(P8:AA8)</f>
        <v>184.59943920833337</v>
      </c>
      <c r="AC8" s="186">
        <f aca="true" t="shared" si="18" ref="AC8:AN8">AC21+AC36+AC51</f>
        <v>0</v>
      </c>
      <c r="AD8" s="186">
        <f t="shared" si="18"/>
        <v>0</v>
      </c>
      <c r="AE8" s="186">
        <f t="shared" si="18"/>
        <v>0</v>
      </c>
      <c r="AF8" s="186">
        <f t="shared" si="18"/>
        <v>0</v>
      </c>
      <c r="AG8" s="186">
        <f t="shared" si="18"/>
        <v>0</v>
      </c>
      <c r="AH8" s="186">
        <f t="shared" si="18"/>
        <v>0</v>
      </c>
      <c r="AI8" s="186">
        <f t="shared" si="18"/>
        <v>0</v>
      </c>
      <c r="AJ8" s="186">
        <f t="shared" si="18"/>
        <v>0</v>
      </c>
      <c r="AK8" s="186">
        <f t="shared" si="18"/>
        <v>0</v>
      </c>
      <c r="AL8" s="186">
        <f t="shared" si="18"/>
        <v>0</v>
      </c>
      <c r="AM8" s="186">
        <f t="shared" si="18"/>
        <v>0</v>
      </c>
      <c r="AN8" s="186">
        <f t="shared" si="18"/>
        <v>0</v>
      </c>
      <c r="AO8" s="187">
        <f>SUM(AC8:AN8)</f>
        <v>0</v>
      </c>
      <c r="AP8" s="186">
        <f aca="true" t="shared" si="19" ref="AP8:BA8">AP21+AP36+AP51</f>
        <v>0</v>
      </c>
      <c r="AQ8" s="186">
        <f t="shared" si="19"/>
        <v>0</v>
      </c>
      <c r="AR8" s="186">
        <f t="shared" si="19"/>
        <v>0</v>
      </c>
      <c r="AS8" s="186">
        <f t="shared" si="19"/>
        <v>0</v>
      </c>
      <c r="AT8" s="186">
        <f t="shared" si="19"/>
        <v>0</v>
      </c>
      <c r="AU8" s="186">
        <f t="shared" si="19"/>
        <v>0</v>
      </c>
      <c r="AV8" s="186">
        <f t="shared" si="19"/>
        <v>0</v>
      </c>
      <c r="AW8" s="186">
        <f t="shared" si="19"/>
        <v>0</v>
      </c>
      <c r="AX8" s="186">
        <f t="shared" si="19"/>
        <v>0</v>
      </c>
      <c r="AY8" s="186">
        <f t="shared" si="19"/>
        <v>0</v>
      </c>
      <c r="AZ8" s="186">
        <f t="shared" si="19"/>
        <v>0</v>
      </c>
      <c r="BA8" s="186">
        <f t="shared" si="19"/>
        <v>0</v>
      </c>
      <c r="BB8" s="187">
        <f>SUM(AP8:BA8)</f>
        <v>0</v>
      </c>
      <c r="BC8" s="186">
        <f aca="true" t="shared" si="20" ref="BC8:BN8">BC21+BC36+BC51</f>
        <v>0</v>
      </c>
      <c r="BD8" s="186">
        <f t="shared" si="20"/>
        <v>0</v>
      </c>
      <c r="BE8" s="186">
        <f t="shared" si="20"/>
        <v>0</v>
      </c>
      <c r="BF8" s="186">
        <f t="shared" si="20"/>
        <v>0</v>
      </c>
      <c r="BG8" s="186">
        <f t="shared" si="20"/>
        <v>0</v>
      </c>
      <c r="BH8" s="186">
        <f t="shared" si="20"/>
        <v>0</v>
      </c>
      <c r="BI8" s="186">
        <f t="shared" si="20"/>
        <v>0</v>
      </c>
      <c r="BJ8" s="186">
        <f t="shared" si="20"/>
        <v>0</v>
      </c>
      <c r="BK8" s="186">
        <f t="shared" si="20"/>
        <v>0</v>
      </c>
      <c r="BL8" s="186">
        <f t="shared" si="20"/>
        <v>0</v>
      </c>
      <c r="BM8" s="186">
        <f t="shared" si="20"/>
        <v>0</v>
      </c>
      <c r="BN8" s="186">
        <f t="shared" si="20"/>
        <v>0</v>
      </c>
      <c r="BO8" s="187">
        <f>SUM(BC8:BN8)</f>
        <v>0</v>
      </c>
      <c r="BP8" s="186">
        <f aca="true" t="shared" si="21" ref="BP8:CA8">BP21+BP36+BP51</f>
        <v>0</v>
      </c>
      <c r="BQ8" s="186">
        <f t="shared" si="21"/>
        <v>0</v>
      </c>
      <c r="BR8" s="186">
        <f t="shared" si="21"/>
        <v>0</v>
      </c>
      <c r="BS8" s="186">
        <f t="shared" si="21"/>
        <v>0</v>
      </c>
      <c r="BT8" s="186">
        <f t="shared" si="21"/>
        <v>0</v>
      </c>
      <c r="BU8" s="186">
        <f t="shared" si="21"/>
        <v>0</v>
      </c>
      <c r="BV8" s="186">
        <f t="shared" si="21"/>
        <v>0</v>
      </c>
      <c r="BW8" s="186">
        <f t="shared" si="21"/>
        <v>0</v>
      </c>
      <c r="BX8" s="186">
        <f t="shared" si="21"/>
        <v>0</v>
      </c>
      <c r="BY8" s="186">
        <f t="shared" si="21"/>
        <v>0</v>
      </c>
      <c r="BZ8" s="186">
        <f t="shared" si="21"/>
        <v>0</v>
      </c>
      <c r="CA8" s="186">
        <f t="shared" si="21"/>
        <v>0</v>
      </c>
      <c r="CB8" s="187">
        <f>SUM(BP8:CA8)</f>
        <v>0</v>
      </c>
      <c r="CC8" s="186">
        <f aca="true" t="shared" si="22" ref="CC8:CN8">CC21+CC36+CC51</f>
        <v>0</v>
      </c>
      <c r="CD8" s="186">
        <f t="shared" si="22"/>
        <v>0</v>
      </c>
      <c r="CE8" s="186">
        <f t="shared" si="22"/>
        <v>0</v>
      </c>
      <c r="CF8" s="186">
        <f t="shared" si="22"/>
        <v>0</v>
      </c>
      <c r="CG8" s="186">
        <f t="shared" si="22"/>
        <v>0</v>
      </c>
      <c r="CH8" s="186">
        <f t="shared" si="22"/>
        <v>0</v>
      </c>
      <c r="CI8" s="186">
        <f t="shared" si="22"/>
        <v>0</v>
      </c>
      <c r="CJ8" s="186">
        <f t="shared" si="22"/>
        <v>0</v>
      </c>
      <c r="CK8" s="186">
        <f t="shared" si="22"/>
        <v>0</v>
      </c>
      <c r="CL8" s="186">
        <f t="shared" si="22"/>
        <v>0</v>
      </c>
      <c r="CM8" s="186">
        <f t="shared" si="22"/>
        <v>0</v>
      </c>
      <c r="CN8" s="186">
        <f t="shared" si="22"/>
        <v>0</v>
      </c>
      <c r="CO8" s="187">
        <f>SUM(CC8:CN8)</f>
        <v>0</v>
      </c>
      <c r="CP8" s="186">
        <f aca="true" t="shared" si="23" ref="CP8:DA8">CP21+CP36+CP51</f>
        <v>0</v>
      </c>
      <c r="CQ8" s="186">
        <f t="shared" si="23"/>
        <v>0</v>
      </c>
      <c r="CR8" s="186">
        <f t="shared" si="23"/>
        <v>0</v>
      </c>
      <c r="CS8" s="186">
        <f t="shared" si="23"/>
        <v>0</v>
      </c>
      <c r="CT8" s="186">
        <f t="shared" si="23"/>
        <v>0</v>
      </c>
      <c r="CU8" s="186">
        <f t="shared" si="23"/>
        <v>0</v>
      </c>
      <c r="CV8" s="186">
        <f t="shared" si="23"/>
        <v>0</v>
      </c>
      <c r="CW8" s="186">
        <f t="shared" si="23"/>
        <v>0</v>
      </c>
      <c r="CX8" s="186">
        <f t="shared" si="23"/>
        <v>0</v>
      </c>
      <c r="CY8" s="186">
        <f t="shared" si="23"/>
        <v>0</v>
      </c>
      <c r="CZ8" s="186">
        <f t="shared" si="23"/>
        <v>0</v>
      </c>
      <c r="DA8" s="186">
        <f t="shared" si="23"/>
        <v>0</v>
      </c>
      <c r="DB8" s="187">
        <f>SUM(CP8:DA8)</f>
        <v>0</v>
      </c>
      <c r="DC8" s="186">
        <f aca="true" t="shared" si="24" ref="DC8:DN8">DC21+DC36+DC51</f>
        <v>0</v>
      </c>
      <c r="DD8" s="186">
        <f t="shared" si="24"/>
        <v>0</v>
      </c>
      <c r="DE8" s="186">
        <f t="shared" si="24"/>
        <v>0</v>
      </c>
      <c r="DF8" s="186">
        <f t="shared" si="24"/>
        <v>0</v>
      </c>
      <c r="DG8" s="186">
        <f t="shared" si="24"/>
        <v>0</v>
      </c>
      <c r="DH8" s="186">
        <f t="shared" si="24"/>
        <v>0</v>
      </c>
      <c r="DI8" s="186">
        <f t="shared" si="24"/>
        <v>0</v>
      </c>
      <c r="DJ8" s="186">
        <f t="shared" si="24"/>
        <v>0</v>
      </c>
      <c r="DK8" s="186">
        <f t="shared" si="24"/>
        <v>0</v>
      </c>
      <c r="DL8" s="186">
        <f t="shared" si="24"/>
        <v>0</v>
      </c>
      <c r="DM8" s="186">
        <f t="shared" si="24"/>
        <v>0</v>
      </c>
      <c r="DN8" s="186">
        <f t="shared" si="24"/>
        <v>0</v>
      </c>
      <c r="DO8" s="187">
        <f>SUM(DC8:DN8)</f>
        <v>0</v>
      </c>
    </row>
    <row r="9" spans="1:119" s="189" customFormat="1" ht="12.75">
      <c r="A9" s="190" t="s">
        <v>10</v>
      </c>
      <c r="B9" s="185">
        <f>O9+AB9+AO9+BB9+BO9+CB9+CO9+DB9+DO9</f>
        <v>2423.7608346093834</v>
      </c>
      <c r="C9" s="186">
        <f t="shared" si="16"/>
        <v>0</v>
      </c>
      <c r="D9" s="186">
        <f t="shared" si="16"/>
        <v>0</v>
      </c>
      <c r="E9" s="186">
        <f t="shared" si="16"/>
        <v>0</v>
      </c>
      <c r="F9" s="186">
        <f t="shared" si="16"/>
        <v>0</v>
      </c>
      <c r="G9" s="186">
        <f t="shared" si="16"/>
        <v>0</v>
      </c>
      <c r="H9" s="186">
        <f t="shared" si="16"/>
        <v>0</v>
      </c>
      <c r="I9" s="186">
        <f t="shared" si="16"/>
        <v>0</v>
      </c>
      <c r="J9" s="186">
        <f t="shared" si="16"/>
        <v>0</v>
      </c>
      <c r="K9" s="186">
        <f t="shared" si="16"/>
        <v>0</v>
      </c>
      <c r="L9" s="186">
        <f t="shared" si="16"/>
        <v>0</v>
      </c>
      <c r="M9" s="186">
        <f t="shared" si="16"/>
        <v>0</v>
      </c>
      <c r="N9" s="186">
        <f t="shared" si="16"/>
        <v>92.29971960416668</v>
      </c>
      <c r="O9" s="187">
        <f>SUM(C9:N9)</f>
        <v>92.29971960416668</v>
      </c>
      <c r="P9" s="186">
        <f aca="true" t="shared" si="25" ref="P9:AA9">P22+P37+P52</f>
        <v>92.29971960416668</v>
      </c>
      <c r="Q9" s="186">
        <f t="shared" si="25"/>
        <v>93.3765496662153</v>
      </c>
      <c r="R9" s="186">
        <f t="shared" si="25"/>
        <v>91.55595010654109</v>
      </c>
      <c r="S9" s="186">
        <f t="shared" si="25"/>
        <v>89.72473038276878</v>
      </c>
      <c r="T9" s="186">
        <f t="shared" si="25"/>
        <v>87.88282854394113</v>
      </c>
      <c r="U9" s="186">
        <f t="shared" si="25"/>
        <v>86.03018227772031</v>
      </c>
      <c r="V9" s="186">
        <f t="shared" si="25"/>
        <v>84.1667289082799</v>
      </c>
      <c r="W9" s="186">
        <f t="shared" si="25"/>
        <v>82.2924053941844</v>
      </c>
      <c r="X9" s="186">
        <f t="shared" si="25"/>
        <v>80.40714832625669</v>
      </c>
      <c r="Y9" s="186">
        <f t="shared" si="25"/>
        <v>78.51089392543273</v>
      </c>
      <c r="Z9" s="186">
        <f t="shared" si="25"/>
        <v>76.60357804060395</v>
      </c>
      <c r="AA9" s="186">
        <f t="shared" si="25"/>
        <v>74.68513614644701</v>
      </c>
      <c r="AB9" s="187">
        <f>SUM(P9:AA9)</f>
        <v>1017.5358513225578</v>
      </c>
      <c r="AC9" s="186">
        <f aca="true" t="shared" si="26" ref="AC9:AN9">AC22+AC37+AC52</f>
        <v>72.75550334124082</v>
      </c>
      <c r="AD9" s="186">
        <f t="shared" si="26"/>
        <v>70.81461434467094</v>
      </c>
      <c r="AE9" s="186">
        <f t="shared" si="26"/>
        <v>68.86240349562105</v>
      </c>
      <c r="AF9" s="186">
        <f t="shared" si="26"/>
        <v>66.89880474995172</v>
      </c>
      <c r="AG9" s="186">
        <f t="shared" si="26"/>
        <v>64.92375167826597</v>
      </c>
      <c r="AH9" s="186">
        <f t="shared" si="26"/>
        <v>62.93717746366207</v>
      </c>
      <c r="AI9" s="186">
        <f t="shared" si="26"/>
        <v>60.939014899472966</v>
      </c>
      <c r="AJ9" s="186">
        <f t="shared" si="26"/>
        <v>58.929196386992764</v>
      </c>
      <c r="AK9" s="186">
        <f t="shared" si="26"/>
        <v>56.907653933189756</v>
      </c>
      <c r="AL9" s="186">
        <f t="shared" si="26"/>
        <v>54.87431914840624</v>
      </c>
      <c r="AM9" s="186">
        <f t="shared" si="26"/>
        <v>52.829123244044816</v>
      </c>
      <c r="AN9" s="186">
        <f t="shared" si="26"/>
        <v>50.77199703024127</v>
      </c>
      <c r="AO9" s="187">
        <f>SUM(AC9:AN9)</f>
        <v>742.4435597157604</v>
      </c>
      <c r="AP9" s="186">
        <f aca="true" t="shared" si="27" ref="AP9:BA9">AP22+AP37+AP52</f>
        <v>48.70287091352389</v>
      </c>
      <c r="AQ9" s="186">
        <f t="shared" si="27"/>
        <v>46.621674894458984</v>
      </c>
      <c r="AR9" s="186">
        <f t="shared" si="27"/>
        <v>44.528338565282866</v>
      </c>
      <c r="AS9" s="186">
        <f t="shared" si="27"/>
        <v>42.42279110751988</v>
      </c>
      <c r="AT9" s="186">
        <f t="shared" si="27"/>
        <v>40.30496128958662</v>
      </c>
      <c r="AU9" s="186">
        <f t="shared" si="27"/>
        <v>38.174777464382075</v>
      </c>
      <c r="AV9" s="186">
        <f t="shared" si="27"/>
        <v>36.03216756686384</v>
      </c>
      <c r="AW9" s="186">
        <f t="shared" si="27"/>
        <v>33.87705911161008</v>
      </c>
      <c r="AX9" s="186">
        <f t="shared" si="27"/>
        <v>31.709379190367343</v>
      </c>
      <c r="AY9" s="186">
        <f t="shared" si="27"/>
        <v>29.529054469584022</v>
      </c>
      <c r="AZ9" s="186">
        <f t="shared" si="27"/>
        <v>27.33601118792946</v>
      </c>
      <c r="BA9" s="186">
        <f t="shared" si="27"/>
        <v>25.13017515379859</v>
      </c>
      <c r="BB9" s="187">
        <f>SUM(AP9:BA9)</f>
        <v>444.36926091490767</v>
      </c>
      <c r="BC9" s="186">
        <f aca="true" t="shared" si="28" ref="BC9:BN9">BC22+BC37+BC52</f>
        <v>22.91147174280195</v>
      </c>
      <c r="BD9" s="186">
        <f t="shared" si="28"/>
        <v>20.679825895241162</v>
      </c>
      <c r="BE9" s="186">
        <f t="shared" si="28"/>
        <v>18.435162113569607</v>
      </c>
      <c r="BF9" s="186">
        <f t="shared" si="28"/>
        <v>16.177404459838296</v>
      </c>
      <c r="BG9" s="186">
        <f t="shared" si="28"/>
        <v>13.906476553126891</v>
      </c>
      <c r="BH9" s="186">
        <f t="shared" si="28"/>
        <v>11.622301566959669</v>
      </c>
      <c r="BI9" s="186">
        <f t="shared" si="28"/>
        <v>9.324802226706469</v>
      </c>
      <c r="BJ9" s="186">
        <f t="shared" si="28"/>
        <v>7.0139008069684605</v>
      </c>
      <c r="BK9" s="186">
        <f t="shared" si="28"/>
        <v>4.689519128948646</v>
      </c>
      <c r="BL9" s="186">
        <f t="shared" si="28"/>
        <v>2.35157855780705</v>
      </c>
      <c r="BM9" s="186">
        <f t="shared" si="28"/>
        <v>4.612369745397398E-13</v>
      </c>
      <c r="BN9" s="186">
        <f t="shared" si="28"/>
        <v>4.612369745397398E-13</v>
      </c>
      <c r="BO9" s="187">
        <f>SUM(BC9:BN9)</f>
        <v>127.11244305196911</v>
      </c>
      <c r="BP9" s="186">
        <f aca="true" t="shared" si="29" ref="BP9:CA9">BP22+BP37+BP52</f>
        <v>4.612369745397398E-13</v>
      </c>
      <c r="BQ9" s="186">
        <f t="shared" si="29"/>
        <v>4.612369745397398E-13</v>
      </c>
      <c r="BR9" s="186">
        <f t="shared" si="29"/>
        <v>4.612369745397398E-13</v>
      </c>
      <c r="BS9" s="186">
        <f t="shared" si="29"/>
        <v>4.612369745397398E-13</v>
      </c>
      <c r="BT9" s="186">
        <f t="shared" si="29"/>
        <v>4.612369745397398E-13</v>
      </c>
      <c r="BU9" s="186">
        <f t="shared" si="29"/>
        <v>4.612369745397398E-13</v>
      </c>
      <c r="BV9" s="186">
        <f t="shared" si="29"/>
        <v>4.612369745397398E-13</v>
      </c>
      <c r="BW9" s="186">
        <f t="shared" si="29"/>
        <v>4.612369745397398E-13</v>
      </c>
      <c r="BX9" s="186">
        <f t="shared" si="29"/>
        <v>4.612369745397398E-13</v>
      </c>
      <c r="BY9" s="186">
        <f t="shared" si="29"/>
        <v>4.612369745397398E-13</v>
      </c>
      <c r="BZ9" s="186">
        <f t="shared" si="29"/>
        <v>4.612369745397398E-13</v>
      </c>
      <c r="CA9" s="186">
        <f t="shared" si="29"/>
        <v>4.612369745397398E-13</v>
      </c>
      <c r="CB9" s="187">
        <f>SUM(BP9:CA9)</f>
        <v>5.534843694476876E-12</v>
      </c>
      <c r="CC9" s="186">
        <f aca="true" t="shared" si="30" ref="CC9:CN9">CC22+CC37+CC52</f>
        <v>4.612369745397398E-13</v>
      </c>
      <c r="CD9" s="186">
        <f t="shared" si="30"/>
        <v>4.612369745397398E-13</v>
      </c>
      <c r="CE9" s="186">
        <f t="shared" si="30"/>
        <v>4.612369745397398E-13</v>
      </c>
      <c r="CF9" s="186">
        <f t="shared" si="30"/>
        <v>4.612369745397398E-13</v>
      </c>
      <c r="CG9" s="186">
        <f t="shared" si="30"/>
        <v>4.612369745397398E-13</v>
      </c>
      <c r="CH9" s="186">
        <f t="shared" si="30"/>
        <v>4.612369745397398E-13</v>
      </c>
      <c r="CI9" s="186">
        <f t="shared" si="30"/>
        <v>4.612369745397398E-13</v>
      </c>
      <c r="CJ9" s="186">
        <f t="shared" si="30"/>
        <v>4.612369745397398E-13</v>
      </c>
      <c r="CK9" s="186">
        <f t="shared" si="30"/>
        <v>4.612369745397398E-13</v>
      </c>
      <c r="CL9" s="186">
        <f t="shared" si="30"/>
        <v>4.612369745397398E-13</v>
      </c>
      <c r="CM9" s="186">
        <f t="shared" si="30"/>
        <v>4.612369745397398E-13</v>
      </c>
      <c r="CN9" s="186">
        <f t="shared" si="30"/>
        <v>4.612369745397398E-13</v>
      </c>
      <c r="CO9" s="187">
        <f>SUM(CC9:CN9)</f>
        <v>5.534843694476876E-12</v>
      </c>
      <c r="CP9" s="186">
        <f aca="true" t="shared" si="31" ref="CP9:DA9">CP22+CP37+CP52</f>
        <v>4.612369745397398E-13</v>
      </c>
      <c r="CQ9" s="186">
        <f t="shared" si="31"/>
        <v>4.612369745397398E-13</v>
      </c>
      <c r="CR9" s="186">
        <f t="shared" si="31"/>
        <v>4.612369745397398E-13</v>
      </c>
      <c r="CS9" s="186">
        <f t="shared" si="31"/>
        <v>4.612369745397398E-13</v>
      </c>
      <c r="CT9" s="186">
        <f t="shared" si="31"/>
        <v>4.612369745397398E-13</v>
      </c>
      <c r="CU9" s="186">
        <f t="shared" si="31"/>
        <v>4.612369745397398E-13</v>
      </c>
      <c r="CV9" s="186">
        <f t="shared" si="31"/>
        <v>4.612369745397398E-13</v>
      </c>
      <c r="CW9" s="186">
        <f t="shared" si="31"/>
        <v>4.612369745397398E-13</v>
      </c>
      <c r="CX9" s="186">
        <f t="shared" si="31"/>
        <v>4.612369745397398E-13</v>
      </c>
      <c r="CY9" s="186">
        <f t="shared" si="31"/>
        <v>4.612369745397398E-13</v>
      </c>
      <c r="CZ9" s="186">
        <f t="shared" si="31"/>
        <v>4.612369745397398E-13</v>
      </c>
      <c r="DA9" s="186">
        <f t="shared" si="31"/>
        <v>4.612369745397398E-13</v>
      </c>
      <c r="DB9" s="187">
        <f>SUM(CP9:DA9)</f>
        <v>5.534843694476876E-12</v>
      </c>
      <c r="DC9" s="186">
        <f aca="true" t="shared" si="32" ref="DC9:DN9">DC22+DC37+DC52</f>
        <v>4.612369745397398E-13</v>
      </c>
      <c r="DD9" s="186">
        <f t="shared" si="32"/>
        <v>4.612369745397398E-13</v>
      </c>
      <c r="DE9" s="186">
        <f t="shared" si="32"/>
        <v>4.612369745397398E-13</v>
      </c>
      <c r="DF9" s="186">
        <f t="shared" si="32"/>
        <v>4.612369745397398E-13</v>
      </c>
      <c r="DG9" s="186">
        <f t="shared" si="32"/>
        <v>4.612369745397398E-13</v>
      </c>
      <c r="DH9" s="186">
        <f t="shared" si="32"/>
        <v>4.612369745397398E-13</v>
      </c>
      <c r="DI9" s="186">
        <f t="shared" si="32"/>
        <v>4.612369745397398E-13</v>
      </c>
      <c r="DJ9" s="186">
        <f t="shared" si="32"/>
        <v>4.612369745397398E-13</v>
      </c>
      <c r="DK9" s="186">
        <f t="shared" si="32"/>
        <v>4.612369745397398E-13</v>
      </c>
      <c r="DL9" s="186">
        <f t="shared" si="32"/>
        <v>4.612369745397398E-13</v>
      </c>
      <c r="DM9" s="186">
        <f t="shared" si="32"/>
        <v>4.612369745397398E-13</v>
      </c>
      <c r="DN9" s="186">
        <f t="shared" si="32"/>
        <v>4.612369745397398E-13</v>
      </c>
      <c r="DO9" s="187">
        <f>SUM(DC9:DN9)</f>
        <v>5.534843694476876E-12</v>
      </c>
    </row>
    <row r="10" spans="1:120" ht="12.75">
      <c r="A10" s="180" t="s">
        <v>11</v>
      </c>
      <c r="B10" s="185">
        <f>O10+AB10+AO10+BB10+BO10+CB10+CO10+DB10+DO10</f>
        <v>16007.408514208259</v>
      </c>
      <c r="C10" s="186">
        <f t="shared" si="16"/>
        <v>0</v>
      </c>
      <c r="D10" s="186">
        <f t="shared" si="16"/>
        <v>0</v>
      </c>
      <c r="E10" s="186">
        <f t="shared" si="16"/>
        <v>0</v>
      </c>
      <c r="F10" s="186">
        <f t="shared" si="16"/>
        <v>0</v>
      </c>
      <c r="G10" s="186">
        <f t="shared" si="16"/>
        <v>0</v>
      </c>
      <c r="H10" s="186">
        <f t="shared" si="16"/>
        <v>0</v>
      </c>
      <c r="I10" s="186">
        <f t="shared" si="16"/>
        <v>0</v>
      </c>
      <c r="J10" s="186">
        <f t="shared" si="16"/>
        <v>0</v>
      </c>
      <c r="K10" s="186">
        <f t="shared" si="16"/>
        <v>0</v>
      </c>
      <c r="L10" s="186">
        <f t="shared" si="16"/>
        <v>0</v>
      </c>
      <c r="M10" s="186">
        <f t="shared" si="16"/>
        <v>0</v>
      </c>
      <c r="N10" s="186">
        <f t="shared" si="16"/>
        <v>0</v>
      </c>
      <c r="O10" s="187">
        <f>SUM(C10:N10)</f>
        <v>0</v>
      </c>
      <c r="P10" s="186">
        <f aca="true" t="shared" si="33" ref="P10:AA10">P23+P38+P53</f>
        <v>0</v>
      </c>
      <c r="Q10" s="186">
        <f t="shared" si="33"/>
        <v>312.1027816584355</v>
      </c>
      <c r="R10" s="186">
        <f t="shared" si="33"/>
        <v>313.9233812181097</v>
      </c>
      <c r="S10" s="186">
        <f t="shared" si="33"/>
        <v>315.754600941882</v>
      </c>
      <c r="T10" s="186">
        <f t="shared" si="33"/>
        <v>317.59650278070967</v>
      </c>
      <c r="U10" s="186">
        <f t="shared" si="33"/>
        <v>319.4491490469305</v>
      </c>
      <c r="V10" s="186">
        <f t="shared" si="33"/>
        <v>321.3126024163709</v>
      </c>
      <c r="W10" s="186">
        <f t="shared" si="33"/>
        <v>323.1869259304664</v>
      </c>
      <c r="X10" s="186">
        <f t="shared" si="33"/>
        <v>325.0721829983941</v>
      </c>
      <c r="Y10" s="186">
        <f t="shared" si="33"/>
        <v>326.96843739921803</v>
      </c>
      <c r="Z10" s="186">
        <f t="shared" si="33"/>
        <v>328.8757532840468</v>
      </c>
      <c r="AA10" s="186">
        <f t="shared" si="33"/>
        <v>330.7941951782038</v>
      </c>
      <c r="AB10" s="187">
        <f>SUM(P10:AA10)</f>
        <v>3535.0365128527674</v>
      </c>
      <c r="AC10" s="186">
        <f aca="true" t="shared" si="34" ref="AC10:AN10">AC23+AC38+AC53</f>
        <v>332.72382798340993</v>
      </c>
      <c r="AD10" s="186">
        <f t="shared" si="34"/>
        <v>334.66471697997986</v>
      </c>
      <c r="AE10" s="186">
        <f t="shared" si="34"/>
        <v>336.61692782902975</v>
      </c>
      <c r="AF10" s="186">
        <f t="shared" si="34"/>
        <v>338.5805265746991</v>
      </c>
      <c r="AG10" s="186">
        <f t="shared" si="34"/>
        <v>340.5555796463848</v>
      </c>
      <c r="AH10" s="186">
        <f t="shared" si="34"/>
        <v>342.5421538609887</v>
      </c>
      <c r="AI10" s="186">
        <f t="shared" si="34"/>
        <v>344.5403164251778</v>
      </c>
      <c r="AJ10" s="186">
        <f t="shared" si="34"/>
        <v>346.550134937658</v>
      </c>
      <c r="AK10" s="186">
        <f t="shared" si="34"/>
        <v>348.57167739146104</v>
      </c>
      <c r="AL10" s="186">
        <f t="shared" si="34"/>
        <v>350.60501217624454</v>
      </c>
      <c r="AM10" s="186">
        <f t="shared" si="34"/>
        <v>352.650208080606</v>
      </c>
      <c r="AN10" s="186">
        <f t="shared" si="34"/>
        <v>354.7073342944095</v>
      </c>
      <c r="AO10" s="187">
        <f>SUM(AC10:AN10)</f>
        <v>4123.308416180049</v>
      </c>
      <c r="AP10" s="186">
        <f aca="true" t="shared" si="35" ref="AP10:BA10">AP23+AP38+AP53</f>
        <v>356.7764604111269</v>
      </c>
      <c r="AQ10" s="186">
        <f t="shared" si="35"/>
        <v>358.8576564301918</v>
      </c>
      <c r="AR10" s="186">
        <f t="shared" si="35"/>
        <v>360.9509927593679</v>
      </c>
      <c r="AS10" s="186">
        <f t="shared" si="35"/>
        <v>363.05654021713093</v>
      </c>
      <c r="AT10" s="186">
        <f t="shared" si="35"/>
        <v>365.17437003506416</v>
      </c>
      <c r="AU10" s="186">
        <f t="shared" si="35"/>
        <v>367.3045538602687</v>
      </c>
      <c r="AV10" s="186">
        <f t="shared" si="35"/>
        <v>369.44716375778694</v>
      </c>
      <c r="AW10" s="186">
        <f t="shared" si="35"/>
        <v>371.6022722130407</v>
      </c>
      <c r="AX10" s="186">
        <f t="shared" si="35"/>
        <v>373.76995213428347</v>
      </c>
      <c r="AY10" s="186">
        <f t="shared" si="35"/>
        <v>375.95027685506676</v>
      </c>
      <c r="AZ10" s="186">
        <f t="shared" si="35"/>
        <v>378.14332013672134</v>
      </c>
      <c r="BA10" s="186">
        <f t="shared" si="35"/>
        <v>380.3491561708522</v>
      </c>
      <c r="BB10" s="187">
        <f>SUM(AP10:BA10)</f>
        <v>4421.382714980902</v>
      </c>
      <c r="BC10" s="186">
        <f aca="true" t="shared" si="36" ref="BC10:BN10">BC23+BC38+BC53</f>
        <v>382.56785958184884</v>
      </c>
      <c r="BD10" s="186">
        <f t="shared" si="36"/>
        <v>384.79950542940963</v>
      </c>
      <c r="BE10" s="186">
        <f t="shared" si="36"/>
        <v>387.04416921108117</v>
      </c>
      <c r="BF10" s="186">
        <f t="shared" si="36"/>
        <v>389.3019268648125</v>
      </c>
      <c r="BG10" s="186">
        <f t="shared" si="36"/>
        <v>391.5728547715239</v>
      </c>
      <c r="BH10" s="186">
        <f t="shared" si="36"/>
        <v>393.8570297576911</v>
      </c>
      <c r="BI10" s="186">
        <f t="shared" si="36"/>
        <v>396.1545290979443</v>
      </c>
      <c r="BJ10" s="186">
        <f t="shared" si="36"/>
        <v>398.4654305176823</v>
      </c>
      <c r="BK10" s="186">
        <f t="shared" si="36"/>
        <v>400.78981219570215</v>
      </c>
      <c r="BL10" s="186">
        <f t="shared" si="36"/>
        <v>403.12775276684374</v>
      </c>
      <c r="BM10" s="186">
        <f t="shared" si="36"/>
        <v>0</v>
      </c>
      <c r="BN10" s="186">
        <f t="shared" si="36"/>
        <v>0</v>
      </c>
      <c r="BO10" s="187">
        <f>SUM(BC10:BN10)</f>
        <v>3927.68087019454</v>
      </c>
      <c r="BP10" s="186">
        <f aca="true" t="shared" si="37" ref="BP10:CA10">BP23+BP38+BP53</f>
        <v>0</v>
      </c>
      <c r="BQ10" s="186">
        <f t="shared" si="37"/>
        <v>0</v>
      </c>
      <c r="BR10" s="186">
        <f t="shared" si="37"/>
        <v>0</v>
      </c>
      <c r="BS10" s="186">
        <f t="shared" si="37"/>
        <v>0</v>
      </c>
      <c r="BT10" s="186">
        <f t="shared" si="37"/>
        <v>0</v>
      </c>
      <c r="BU10" s="186">
        <f t="shared" si="37"/>
        <v>0</v>
      </c>
      <c r="BV10" s="186">
        <f t="shared" si="37"/>
        <v>0</v>
      </c>
      <c r="BW10" s="186">
        <f t="shared" si="37"/>
        <v>0</v>
      </c>
      <c r="BX10" s="186">
        <f t="shared" si="37"/>
        <v>0</v>
      </c>
      <c r="BY10" s="186">
        <f t="shared" si="37"/>
        <v>0</v>
      </c>
      <c r="BZ10" s="186">
        <f t="shared" si="37"/>
        <v>0</v>
      </c>
      <c r="CA10" s="186">
        <f t="shared" si="37"/>
        <v>0</v>
      </c>
      <c r="CB10" s="187">
        <f>SUM(BP10:CA10)</f>
        <v>0</v>
      </c>
      <c r="CC10" s="186">
        <f aca="true" t="shared" si="38" ref="CC10:CN10">CC23+CC38+CC53</f>
        <v>0</v>
      </c>
      <c r="CD10" s="186">
        <f t="shared" si="38"/>
        <v>0</v>
      </c>
      <c r="CE10" s="186">
        <f t="shared" si="38"/>
        <v>0</v>
      </c>
      <c r="CF10" s="186">
        <f t="shared" si="38"/>
        <v>0</v>
      </c>
      <c r="CG10" s="186">
        <f t="shared" si="38"/>
        <v>0</v>
      </c>
      <c r="CH10" s="186">
        <f t="shared" si="38"/>
        <v>0</v>
      </c>
      <c r="CI10" s="186">
        <f t="shared" si="38"/>
        <v>0</v>
      </c>
      <c r="CJ10" s="186">
        <f t="shared" si="38"/>
        <v>0</v>
      </c>
      <c r="CK10" s="186">
        <f t="shared" si="38"/>
        <v>0</v>
      </c>
      <c r="CL10" s="186">
        <f t="shared" si="38"/>
        <v>0</v>
      </c>
      <c r="CM10" s="186">
        <f t="shared" si="38"/>
        <v>0</v>
      </c>
      <c r="CN10" s="186">
        <f t="shared" si="38"/>
        <v>0</v>
      </c>
      <c r="CO10" s="187">
        <f>SUM(CC10:CN10)</f>
        <v>0</v>
      </c>
      <c r="CP10" s="186">
        <f aca="true" t="shared" si="39" ref="CP10:DA10">CP23+CP38+CP53</f>
        <v>0</v>
      </c>
      <c r="CQ10" s="186">
        <f t="shared" si="39"/>
        <v>0</v>
      </c>
      <c r="CR10" s="186">
        <f t="shared" si="39"/>
        <v>0</v>
      </c>
      <c r="CS10" s="186">
        <f t="shared" si="39"/>
        <v>0</v>
      </c>
      <c r="CT10" s="186">
        <f t="shared" si="39"/>
        <v>0</v>
      </c>
      <c r="CU10" s="186">
        <f t="shared" si="39"/>
        <v>0</v>
      </c>
      <c r="CV10" s="186">
        <f t="shared" si="39"/>
        <v>0</v>
      </c>
      <c r="CW10" s="186">
        <f t="shared" si="39"/>
        <v>0</v>
      </c>
      <c r="CX10" s="186">
        <f t="shared" si="39"/>
        <v>0</v>
      </c>
      <c r="CY10" s="186">
        <f t="shared" si="39"/>
        <v>0</v>
      </c>
      <c r="CZ10" s="186">
        <f t="shared" si="39"/>
        <v>0</v>
      </c>
      <c r="DA10" s="186">
        <f t="shared" si="39"/>
        <v>0</v>
      </c>
      <c r="DB10" s="187">
        <f>SUM(CP10:DA10)</f>
        <v>0</v>
      </c>
      <c r="DC10" s="186">
        <f aca="true" t="shared" si="40" ref="DC10:DN10">DC23+DC38+DC53</f>
        <v>0</v>
      </c>
      <c r="DD10" s="186">
        <f t="shared" si="40"/>
        <v>0</v>
      </c>
      <c r="DE10" s="186">
        <f t="shared" si="40"/>
        <v>0</v>
      </c>
      <c r="DF10" s="186">
        <f t="shared" si="40"/>
        <v>0</v>
      </c>
      <c r="DG10" s="186">
        <f t="shared" si="40"/>
        <v>0</v>
      </c>
      <c r="DH10" s="186">
        <f t="shared" si="40"/>
        <v>0</v>
      </c>
      <c r="DI10" s="186">
        <f t="shared" si="40"/>
        <v>0</v>
      </c>
      <c r="DJ10" s="186">
        <f t="shared" si="40"/>
        <v>0</v>
      </c>
      <c r="DK10" s="186">
        <f t="shared" si="40"/>
        <v>0</v>
      </c>
      <c r="DL10" s="186">
        <f t="shared" si="40"/>
        <v>0</v>
      </c>
      <c r="DM10" s="186">
        <f t="shared" si="40"/>
        <v>0</v>
      </c>
      <c r="DN10" s="186">
        <f t="shared" si="40"/>
        <v>0</v>
      </c>
      <c r="DO10" s="187">
        <f>SUM(DC10:DN10)</f>
        <v>0</v>
      </c>
      <c r="DP10" s="188"/>
    </row>
    <row r="11" spans="1:120" ht="12.75">
      <c r="A11" s="180" t="s">
        <v>12</v>
      </c>
      <c r="B11" s="185">
        <f>O11+AB11+AO11+BB11+BO11+CB11+CO11+DB11+DO11</f>
        <v>2239.16139540105</v>
      </c>
      <c r="C11" s="186">
        <f t="shared" si="16"/>
        <v>0</v>
      </c>
      <c r="D11" s="186">
        <f t="shared" si="16"/>
        <v>0</v>
      </c>
      <c r="E11" s="186">
        <f t="shared" si="16"/>
        <v>0</v>
      </c>
      <c r="F11" s="186">
        <f t="shared" si="16"/>
        <v>0</v>
      </c>
      <c r="G11" s="186">
        <f t="shared" si="16"/>
        <v>0</v>
      </c>
      <c r="H11" s="186">
        <f t="shared" si="16"/>
        <v>0</v>
      </c>
      <c r="I11" s="186">
        <f t="shared" si="16"/>
        <v>0</v>
      </c>
      <c r="J11" s="186">
        <f t="shared" si="16"/>
        <v>0</v>
      </c>
      <c r="K11" s="186">
        <f t="shared" si="16"/>
        <v>0</v>
      </c>
      <c r="L11" s="186">
        <f t="shared" si="16"/>
        <v>0</v>
      </c>
      <c r="M11" s="186">
        <f t="shared" si="16"/>
        <v>0</v>
      </c>
      <c r="N11" s="186">
        <f t="shared" si="16"/>
        <v>0</v>
      </c>
      <c r="O11" s="187">
        <f>SUM(C11:N11)</f>
        <v>0</v>
      </c>
      <c r="P11" s="186">
        <f aca="true" t="shared" si="41" ref="P11:AA11">P24+P39+P54</f>
        <v>0</v>
      </c>
      <c r="Q11" s="186">
        <f t="shared" si="41"/>
        <v>93.3765496662153</v>
      </c>
      <c r="R11" s="186">
        <f t="shared" si="41"/>
        <v>91.55595010654109</v>
      </c>
      <c r="S11" s="186">
        <f t="shared" si="41"/>
        <v>89.72473038276878</v>
      </c>
      <c r="T11" s="186">
        <f t="shared" si="41"/>
        <v>87.88282854394113</v>
      </c>
      <c r="U11" s="186">
        <f t="shared" si="41"/>
        <v>86.03018227772031</v>
      </c>
      <c r="V11" s="186">
        <f t="shared" si="41"/>
        <v>84.1667289082799</v>
      </c>
      <c r="W11" s="186">
        <f t="shared" si="41"/>
        <v>82.2924053941844</v>
      </c>
      <c r="X11" s="186">
        <f t="shared" si="41"/>
        <v>80.40714832625669</v>
      </c>
      <c r="Y11" s="186">
        <f t="shared" si="41"/>
        <v>78.51089392543273</v>
      </c>
      <c r="Z11" s="186">
        <f t="shared" si="41"/>
        <v>76.60357804060395</v>
      </c>
      <c r="AA11" s="186">
        <f t="shared" si="41"/>
        <v>74.68513614644701</v>
      </c>
      <c r="AB11" s="187">
        <f>SUM(P11:AA11)</f>
        <v>925.2361317183911</v>
      </c>
      <c r="AC11" s="186">
        <f aca="true" t="shared" si="42" ref="AC11:AN11">AC24+AC39+AC54</f>
        <v>72.75550334124082</v>
      </c>
      <c r="AD11" s="186">
        <f t="shared" si="42"/>
        <v>70.81461434467094</v>
      </c>
      <c r="AE11" s="186">
        <f t="shared" si="42"/>
        <v>68.86240349562105</v>
      </c>
      <c r="AF11" s="186">
        <f t="shared" si="42"/>
        <v>66.89880474995172</v>
      </c>
      <c r="AG11" s="186">
        <f t="shared" si="42"/>
        <v>64.92375167826597</v>
      </c>
      <c r="AH11" s="186">
        <f t="shared" si="42"/>
        <v>62.93717746366207</v>
      </c>
      <c r="AI11" s="186">
        <f t="shared" si="42"/>
        <v>60.939014899472966</v>
      </c>
      <c r="AJ11" s="186">
        <f t="shared" si="42"/>
        <v>58.929196386992764</v>
      </c>
      <c r="AK11" s="186">
        <f t="shared" si="42"/>
        <v>56.907653933189756</v>
      </c>
      <c r="AL11" s="186">
        <f t="shared" si="42"/>
        <v>54.87431914840624</v>
      </c>
      <c r="AM11" s="186">
        <f t="shared" si="42"/>
        <v>52.829123244044816</v>
      </c>
      <c r="AN11" s="186">
        <f t="shared" si="42"/>
        <v>50.77199703024127</v>
      </c>
      <c r="AO11" s="187">
        <f>SUM(AC11:AN11)</f>
        <v>742.4435597157604</v>
      </c>
      <c r="AP11" s="186">
        <f aca="true" t="shared" si="43" ref="AP11:BA11">AP24+AP39+AP54</f>
        <v>48.70287091352389</v>
      </c>
      <c r="AQ11" s="186">
        <f t="shared" si="43"/>
        <v>46.621674894458984</v>
      </c>
      <c r="AR11" s="186">
        <f t="shared" si="43"/>
        <v>44.528338565282866</v>
      </c>
      <c r="AS11" s="186">
        <f t="shared" si="43"/>
        <v>42.42279110751988</v>
      </c>
      <c r="AT11" s="186">
        <f t="shared" si="43"/>
        <v>40.30496128958662</v>
      </c>
      <c r="AU11" s="186">
        <f t="shared" si="43"/>
        <v>38.174777464382075</v>
      </c>
      <c r="AV11" s="186">
        <f t="shared" si="43"/>
        <v>36.03216756686384</v>
      </c>
      <c r="AW11" s="186">
        <f t="shared" si="43"/>
        <v>33.87705911161008</v>
      </c>
      <c r="AX11" s="186">
        <f t="shared" si="43"/>
        <v>31.709379190367343</v>
      </c>
      <c r="AY11" s="186">
        <f t="shared" si="43"/>
        <v>29.529054469584022</v>
      </c>
      <c r="AZ11" s="186">
        <f t="shared" si="43"/>
        <v>27.33601118792946</v>
      </c>
      <c r="BA11" s="186">
        <f t="shared" si="43"/>
        <v>25.13017515379859</v>
      </c>
      <c r="BB11" s="187">
        <f>SUM(AP11:BA11)</f>
        <v>444.36926091490767</v>
      </c>
      <c r="BC11" s="186">
        <f aca="true" t="shared" si="44" ref="BC11:BN11">BC24+BC39+BC54</f>
        <v>22.91147174280195</v>
      </c>
      <c r="BD11" s="186">
        <f t="shared" si="44"/>
        <v>20.679825895241162</v>
      </c>
      <c r="BE11" s="186">
        <f t="shared" si="44"/>
        <v>18.435162113569607</v>
      </c>
      <c r="BF11" s="186">
        <f t="shared" si="44"/>
        <v>16.177404459838296</v>
      </c>
      <c r="BG11" s="186">
        <f t="shared" si="44"/>
        <v>13.906476553126891</v>
      </c>
      <c r="BH11" s="186">
        <f t="shared" si="44"/>
        <v>11.622301566959669</v>
      </c>
      <c r="BI11" s="186">
        <f t="shared" si="44"/>
        <v>9.324802226706469</v>
      </c>
      <c r="BJ11" s="186">
        <f t="shared" si="44"/>
        <v>7.0139008069684605</v>
      </c>
      <c r="BK11" s="186">
        <f t="shared" si="44"/>
        <v>4.689519128948646</v>
      </c>
      <c r="BL11" s="186">
        <f t="shared" si="44"/>
        <v>2.35157855780705</v>
      </c>
      <c r="BM11" s="186">
        <f t="shared" si="44"/>
        <v>4.612369745397398E-13</v>
      </c>
      <c r="BN11" s="186">
        <f t="shared" si="44"/>
        <v>4.612369745397398E-13</v>
      </c>
      <c r="BO11" s="187">
        <f>SUM(BC11:BN11)</f>
        <v>127.11244305196911</v>
      </c>
      <c r="BP11" s="186">
        <f aca="true" t="shared" si="45" ref="BP11:CA11">BP24+BP39+BP54</f>
        <v>4.612369745397398E-13</v>
      </c>
      <c r="BQ11" s="186">
        <f t="shared" si="45"/>
        <v>4.612369745397398E-13</v>
      </c>
      <c r="BR11" s="186">
        <f t="shared" si="45"/>
        <v>4.612369745397398E-13</v>
      </c>
      <c r="BS11" s="186">
        <f t="shared" si="45"/>
        <v>4.612369745397398E-13</v>
      </c>
      <c r="BT11" s="186">
        <f t="shared" si="45"/>
        <v>4.612369745397398E-13</v>
      </c>
      <c r="BU11" s="186">
        <f t="shared" si="45"/>
        <v>4.612369745397398E-13</v>
      </c>
      <c r="BV11" s="186">
        <f t="shared" si="45"/>
        <v>4.612369745397398E-13</v>
      </c>
      <c r="BW11" s="186">
        <f t="shared" si="45"/>
        <v>4.612369745397398E-13</v>
      </c>
      <c r="BX11" s="186">
        <f t="shared" si="45"/>
        <v>4.612369745397398E-13</v>
      </c>
      <c r="BY11" s="186">
        <f t="shared" si="45"/>
        <v>4.612369745397398E-13</v>
      </c>
      <c r="BZ11" s="186">
        <f t="shared" si="45"/>
        <v>4.612369745397398E-13</v>
      </c>
      <c r="CA11" s="186">
        <f t="shared" si="45"/>
        <v>4.612369745397398E-13</v>
      </c>
      <c r="CB11" s="187">
        <f>SUM(BP11:CA11)</f>
        <v>5.534843694476876E-12</v>
      </c>
      <c r="CC11" s="186">
        <f aca="true" t="shared" si="46" ref="CC11:CN11">CC24+CC39+CC54</f>
        <v>4.612369745397398E-13</v>
      </c>
      <c r="CD11" s="186">
        <f t="shared" si="46"/>
        <v>4.612369745397398E-13</v>
      </c>
      <c r="CE11" s="186">
        <f t="shared" si="46"/>
        <v>4.612369745397398E-13</v>
      </c>
      <c r="CF11" s="186">
        <f t="shared" si="46"/>
        <v>4.612369745397398E-13</v>
      </c>
      <c r="CG11" s="186">
        <f t="shared" si="46"/>
        <v>4.612369745397398E-13</v>
      </c>
      <c r="CH11" s="186">
        <f t="shared" si="46"/>
        <v>4.612369745397398E-13</v>
      </c>
      <c r="CI11" s="186">
        <f t="shared" si="46"/>
        <v>4.612369745397398E-13</v>
      </c>
      <c r="CJ11" s="186">
        <f t="shared" si="46"/>
        <v>4.612369745397398E-13</v>
      </c>
      <c r="CK11" s="186">
        <f t="shared" si="46"/>
        <v>4.612369745397398E-13</v>
      </c>
      <c r="CL11" s="186">
        <f t="shared" si="46"/>
        <v>4.612369745397398E-13</v>
      </c>
      <c r="CM11" s="186">
        <f t="shared" si="46"/>
        <v>4.612369745397398E-13</v>
      </c>
      <c r="CN11" s="186">
        <f t="shared" si="46"/>
        <v>4.612369745397398E-13</v>
      </c>
      <c r="CO11" s="187">
        <f>SUM(CC11:CN11)</f>
        <v>5.534843694476876E-12</v>
      </c>
      <c r="CP11" s="186">
        <f aca="true" t="shared" si="47" ref="CP11:DA11">CP24+CP39+CP54</f>
        <v>4.612369745397398E-13</v>
      </c>
      <c r="CQ11" s="186">
        <f t="shared" si="47"/>
        <v>4.612369745397398E-13</v>
      </c>
      <c r="CR11" s="186">
        <f t="shared" si="47"/>
        <v>4.612369745397398E-13</v>
      </c>
      <c r="CS11" s="186">
        <f t="shared" si="47"/>
        <v>4.612369745397398E-13</v>
      </c>
      <c r="CT11" s="186">
        <f t="shared" si="47"/>
        <v>4.612369745397398E-13</v>
      </c>
      <c r="CU11" s="186">
        <f t="shared" si="47"/>
        <v>4.612369745397398E-13</v>
      </c>
      <c r="CV11" s="186">
        <f t="shared" si="47"/>
        <v>4.612369745397398E-13</v>
      </c>
      <c r="CW11" s="186">
        <f t="shared" si="47"/>
        <v>4.612369745397398E-13</v>
      </c>
      <c r="CX11" s="186">
        <f t="shared" si="47"/>
        <v>4.612369745397398E-13</v>
      </c>
      <c r="CY11" s="186">
        <f t="shared" si="47"/>
        <v>4.612369745397398E-13</v>
      </c>
      <c r="CZ11" s="186">
        <f t="shared" si="47"/>
        <v>4.612369745397398E-13</v>
      </c>
      <c r="DA11" s="186">
        <f t="shared" si="47"/>
        <v>4.612369745397398E-13</v>
      </c>
      <c r="DB11" s="187">
        <f>SUM(CP11:DA11)</f>
        <v>5.534843694476876E-12</v>
      </c>
      <c r="DC11" s="186">
        <f aca="true" t="shared" si="48" ref="DC11:DN11">DC24+DC39+DC54</f>
        <v>4.612369745397398E-13</v>
      </c>
      <c r="DD11" s="186">
        <f t="shared" si="48"/>
        <v>4.612369745397398E-13</v>
      </c>
      <c r="DE11" s="186">
        <f t="shared" si="48"/>
        <v>4.612369745397398E-13</v>
      </c>
      <c r="DF11" s="186">
        <f t="shared" si="48"/>
        <v>4.612369745397398E-13</v>
      </c>
      <c r="DG11" s="186">
        <f t="shared" si="48"/>
        <v>4.612369745397398E-13</v>
      </c>
      <c r="DH11" s="186">
        <f t="shared" si="48"/>
        <v>4.612369745397398E-13</v>
      </c>
      <c r="DI11" s="186">
        <f t="shared" si="48"/>
        <v>4.612369745397398E-13</v>
      </c>
      <c r="DJ11" s="186">
        <f t="shared" si="48"/>
        <v>4.612369745397398E-13</v>
      </c>
      <c r="DK11" s="186">
        <f t="shared" si="48"/>
        <v>4.612369745397398E-13</v>
      </c>
      <c r="DL11" s="186">
        <f t="shared" si="48"/>
        <v>4.612369745397398E-13</v>
      </c>
      <c r="DM11" s="186">
        <f t="shared" si="48"/>
        <v>4.612369745397398E-13</v>
      </c>
      <c r="DN11" s="186">
        <f t="shared" si="48"/>
        <v>4.612369745397398E-13</v>
      </c>
      <c r="DO11" s="187">
        <f>SUM(DC11:DN11)</f>
        <v>5.534843694476876E-12</v>
      </c>
      <c r="DP11" s="188" t="s">
        <v>50</v>
      </c>
    </row>
    <row r="12" spans="1:120" ht="12.75">
      <c r="A12" s="180" t="s">
        <v>13</v>
      </c>
      <c r="B12" s="185">
        <f>DO12</f>
        <v>7.906919563538395E-11</v>
      </c>
      <c r="C12" s="186">
        <f t="shared" si="16"/>
        <v>0</v>
      </c>
      <c r="D12" s="186">
        <f t="shared" si="16"/>
        <v>0</v>
      </c>
      <c r="E12" s="186">
        <f t="shared" si="16"/>
        <v>0</v>
      </c>
      <c r="F12" s="186">
        <f t="shared" si="16"/>
        <v>0</v>
      </c>
      <c r="G12" s="186">
        <f t="shared" si="16"/>
        <v>0</v>
      </c>
      <c r="H12" s="186">
        <f t="shared" si="16"/>
        <v>0</v>
      </c>
      <c r="I12" s="186">
        <f t="shared" si="16"/>
        <v>0</v>
      </c>
      <c r="J12" s="186">
        <f t="shared" si="16"/>
        <v>0</v>
      </c>
      <c r="K12" s="186">
        <f t="shared" si="16"/>
        <v>0</v>
      </c>
      <c r="L12" s="186">
        <f t="shared" si="16"/>
        <v>0</v>
      </c>
      <c r="M12" s="186">
        <f t="shared" si="16"/>
        <v>15822.809075000001</v>
      </c>
      <c r="N12" s="186">
        <f t="shared" si="16"/>
        <v>15822.809075000001</v>
      </c>
      <c r="O12" s="187">
        <f>N12</f>
        <v>15822.809075000001</v>
      </c>
      <c r="P12" s="186">
        <f aca="true" t="shared" si="49" ref="P12:AA12">P25+P40+P55</f>
        <v>16007.408514208335</v>
      </c>
      <c r="Q12" s="186">
        <f t="shared" si="49"/>
        <v>15695.3057325499</v>
      </c>
      <c r="R12" s="186">
        <f t="shared" si="49"/>
        <v>15381.38235133179</v>
      </c>
      <c r="S12" s="186">
        <f t="shared" si="49"/>
        <v>15065.627750389907</v>
      </c>
      <c r="T12" s="186">
        <f t="shared" si="49"/>
        <v>14748.031247609197</v>
      </c>
      <c r="U12" s="186">
        <f t="shared" si="49"/>
        <v>14428.582098562267</v>
      </c>
      <c r="V12" s="186">
        <f t="shared" si="49"/>
        <v>14107.269496145896</v>
      </c>
      <c r="W12" s="186">
        <f t="shared" si="49"/>
        <v>13784.08257021543</v>
      </c>
      <c r="X12" s="186">
        <f t="shared" si="49"/>
        <v>13459.010387217037</v>
      </c>
      <c r="Y12" s="186">
        <f t="shared" si="49"/>
        <v>13132.041949817818</v>
      </c>
      <c r="Z12" s="186">
        <f t="shared" si="49"/>
        <v>12803.166196533772</v>
      </c>
      <c r="AA12" s="186">
        <f t="shared" si="49"/>
        <v>12472.372001355569</v>
      </c>
      <c r="AB12" s="187">
        <f>AA12</f>
        <v>12472.372001355569</v>
      </c>
      <c r="AC12" s="186">
        <f aca="true" t="shared" si="50" ref="AC12:AN12">AC25+AC40+AC55</f>
        <v>12139.64817337216</v>
      </c>
      <c r="AD12" s="186">
        <f t="shared" si="50"/>
        <v>11804.98345639218</v>
      </c>
      <c r="AE12" s="186">
        <f t="shared" si="50"/>
        <v>11468.36652856315</v>
      </c>
      <c r="AF12" s="186">
        <f t="shared" si="50"/>
        <v>11129.786001988452</v>
      </c>
      <c r="AG12" s="186">
        <f t="shared" si="50"/>
        <v>10789.230422342067</v>
      </c>
      <c r="AH12" s="186">
        <f t="shared" si="50"/>
        <v>10446.688268481079</v>
      </c>
      <c r="AI12" s="186">
        <f t="shared" si="50"/>
        <v>10102.1479520559</v>
      </c>
      <c r="AJ12" s="186">
        <f t="shared" si="50"/>
        <v>9755.597817118243</v>
      </c>
      <c r="AK12" s="186">
        <f t="shared" si="50"/>
        <v>9407.026139726782</v>
      </c>
      <c r="AL12" s="186">
        <f t="shared" si="50"/>
        <v>9056.421127550539</v>
      </c>
      <c r="AM12" s="186">
        <f t="shared" si="50"/>
        <v>8703.770919469933</v>
      </c>
      <c r="AN12" s="186">
        <f t="shared" si="50"/>
        <v>8349.063585175523</v>
      </c>
      <c r="AO12" s="187">
        <f>AN12</f>
        <v>8349.063585175523</v>
      </c>
      <c r="AP12" s="186">
        <f aca="true" t="shared" si="51" ref="AP12:BA12">AP25+AP40+AP55</f>
        <v>7992.287124764396</v>
      </c>
      <c r="AQ12" s="186">
        <f t="shared" si="51"/>
        <v>7633.429468334204</v>
      </c>
      <c r="AR12" s="186">
        <f t="shared" si="51"/>
        <v>7272.478475574836</v>
      </c>
      <c r="AS12" s="186">
        <f t="shared" si="51"/>
        <v>6909.4219353577055</v>
      </c>
      <c r="AT12" s="186">
        <f t="shared" si="51"/>
        <v>6544.247565322641</v>
      </c>
      <c r="AU12" s="186">
        <f t="shared" si="51"/>
        <v>6176.943011462372</v>
      </c>
      <c r="AV12" s="186">
        <f t="shared" si="51"/>
        <v>5807.495847704585</v>
      </c>
      <c r="AW12" s="186">
        <f t="shared" si="51"/>
        <v>5435.893575491544</v>
      </c>
      <c r="AX12" s="186">
        <f t="shared" si="51"/>
        <v>5062.12362335726</v>
      </c>
      <c r="AY12" s="186">
        <f t="shared" si="51"/>
        <v>4686.173346502193</v>
      </c>
      <c r="AZ12" s="186">
        <f t="shared" si="51"/>
        <v>4308.030026365472</v>
      </c>
      <c r="BA12" s="186">
        <f t="shared" si="51"/>
        <v>3927.6808701946193</v>
      </c>
      <c r="BB12" s="187">
        <f>BA12</f>
        <v>3927.6808701946193</v>
      </c>
      <c r="BC12" s="186">
        <f aca="true" t="shared" si="52" ref="BC12:BN12">BC25+BC40+BC55</f>
        <v>3545.1130106127703</v>
      </c>
      <c r="BD12" s="186">
        <f t="shared" si="52"/>
        <v>3160.3135051833606</v>
      </c>
      <c r="BE12" s="186">
        <f t="shared" si="52"/>
        <v>2773.2693359722794</v>
      </c>
      <c r="BF12" s="186">
        <f t="shared" si="52"/>
        <v>2383.9674091074667</v>
      </c>
      <c r="BG12" s="186">
        <f t="shared" si="52"/>
        <v>1992.3945543359428</v>
      </c>
      <c r="BH12" s="186">
        <f t="shared" si="52"/>
        <v>1598.5375245782516</v>
      </c>
      <c r="BI12" s="186">
        <f t="shared" si="52"/>
        <v>1202.3829954803073</v>
      </c>
      <c r="BJ12" s="186">
        <f t="shared" si="52"/>
        <v>803.917564962625</v>
      </c>
      <c r="BK12" s="186">
        <f t="shared" si="52"/>
        <v>403.1277527669228</v>
      </c>
      <c r="BL12" s="186">
        <f t="shared" si="52"/>
        <v>7.906919563538395E-11</v>
      </c>
      <c r="BM12" s="186">
        <f t="shared" si="52"/>
        <v>7.906919563538395E-11</v>
      </c>
      <c r="BN12" s="186">
        <f t="shared" si="52"/>
        <v>7.906919563538395E-11</v>
      </c>
      <c r="BO12" s="187">
        <f>BN12</f>
        <v>7.906919563538395E-11</v>
      </c>
      <c r="BP12" s="186">
        <f aca="true" t="shared" si="53" ref="BP12:CA12">BP25+BP40+BP55</f>
        <v>7.906919563538395E-11</v>
      </c>
      <c r="BQ12" s="186">
        <f t="shared" si="53"/>
        <v>7.906919563538395E-11</v>
      </c>
      <c r="BR12" s="186">
        <f t="shared" si="53"/>
        <v>7.906919563538395E-11</v>
      </c>
      <c r="BS12" s="186">
        <f t="shared" si="53"/>
        <v>7.906919563538395E-11</v>
      </c>
      <c r="BT12" s="186">
        <f t="shared" si="53"/>
        <v>7.906919563538395E-11</v>
      </c>
      <c r="BU12" s="186">
        <f t="shared" si="53"/>
        <v>7.906919563538395E-11</v>
      </c>
      <c r="BV12" s="186">
        <f t="shared" si="53"/>
        <v>7.906919563538395E-11</v>
      </c>
      <c r="BW12" s="186">
        <f t="shared" si="53"/>
        <v>7.906919563538395E-11</v>
      </c>
      <c r="BX12" s="186">
        <f t="shared" si="53"/>
        <v>7.906919563538395E-11</v>
      </c>
      <c r="BY12" s="186">
        <f t="shared" si="53"/>
        <v>7.906919563538395E-11</v>
      </c>
      <c r="BZ12" s="186">
        <f t="shared" si="53"/>
        <v>7.906919563538395E-11</v>
      </c>
      <c r="CA12" s="186">
        <f t="shared" si="53"/>
        <v>7.906919563538395E-11</v>
      </c>
      <c r="CB12" s="187">
        <f>CA12</f>
        <v>7.906919563538395E-11</v>
      </c>
      <c r="CC12" s="186">
        <f aca="true" t="shared" si="54" ref="CC12:CN12">CC25+CC40+CC55</f>
        <v>7.906919563538395E-11</v>
      </c>
      <c r="CD12" s="186">
        <f t="shared" si="54"/>
        <v>7.906919563538395E-11</v>
      </c>
      <c r="CE12" s="186">
        <f t="shared" si="54"/>
        <v>7.906919563538395E-11</v>
      </c>
      <c r="CF12" s="186">
        <f t="shared" si="54"/>
        <v>7.906919563538395E-11</v>
      </c>
      <c r="CG12" s="186">
        <f t="shared" si="54"/>
        <v>7.906919563538395E-11</v>
      </c>
      <c r="CH12" s="186">
        <f t="shared" si="54"/>
        <v>7.906919563538395E-11</v>
      </c>
      <c r="CI12" s="186">
        <f t="shared" si="54"/>
        <v>7.906919563538395E-11</v>
      </c>
      <c r="CJ12" s="186">
        <f t="shared" si="54"/>
        <v>7.906919563538395E-11</v>
      </c>
      <c r="CK12" s="186">
        <f t="shared" si="54"/>
        <v>7.906919563538395E-11</v>
      </c>
      <c r="CL12" s="186">
        <f t="shared" si="54"/>
        <v>7.906919563538395E-11</v>
      </c>
      <c r="CM12" s="186">
        <f t="shared" si="54"/>
        <v>7.906919563538395E-11</v>
      </c>
      <c r="CN12" s="186">
        <f t="shared" si="54"/>
        <v>7.906919563538395E-11</v>
      </c>
      <c r="CO12" s="187">
        <f>CN12</f>
        <v>7.906919563538395E-11</v>
      </c>
      <c r="CP12" s="186">
        <f aca="true" t="shared" si="55" ref="CP12:DA12">CP25+CP40+CP55</f>
        <v>7.906919563538395E-11</v>
      </c>
      <c r="CQ12" s="186">
        <f t="shared" si="55"/>
        <v>7.906919563538395E-11</v>
      </c>
      <c r="CR12" s="186">
        <f t="shared" si="55"/>
        <v>7.906919563538395E-11</v>
      </c>
      <c r="CS12" s="186">
        <f t="shared" si="55"/>
        <v>7.906919563538395E-11</v>
      </c>
      <c r="CT12" s="186">
        <f t="shared" si="55"/>
        <v>7.906919563538395E-11</v>
      </c>
      <c r="CU12" s="186">
        <f t="shared" si="55"/>
        <v>7.906919563538395E-11</v>
      </c>
      <c r="CV12" s="186">
        <f t="shared" si="55"/>
        <v>7.906919563538395E-11</v>
      </c>
      <c r="CW12" s="186">
        <f t="shared" si="55"/>
        <v>7.906919563538395E-11</v>
      </c>
      <c r="CX12" s="186">
        <f t="shared" si="55"/>
        <v>7.906919563538395E-11</v>
      </c>
      <c r="CY12" s="186">
        <f t="shared" si="55"/>
        <v>7.906919563538395E-11</v>
      </c>
      <c r="CZ12" s="186">
        <f t="shared" si="55"/>
        <v>7.906919563538395E-11</v>
      </c>
      <c r="DA12" s="186">
        <f t="shared" si="55"/>
        <v>7.906919563538395E-11</v>
      </c>
      <c r="DB12" s="187">
        <f>DA12</f>
        <v>7.906919563538395E-11</v>
      </c>
      <c r="DC12" s="186">
        <f aca="true" t="shared" si="56" ref="DC12:DN12">DC25+DC40+DC55</f>
        <v>7.906919563538395E-11</v>
      </c>
      <c r="DD12" s="186">
        <f t="shared" si="56"/>
        <v>7.906919563538395E-11</v>
      </c>
      <c r="DE12" s="186">
        <f t="shared" si="56"/>
        <v>7.906919563538395E-11</v>
      </c>
      <c r="DF12" s="186">
        <f t="shared" si="56"/>
        <v>7.906919563538395E-11</v>
      </c>
      <c r="DG12" s="186">
        <f t="shared" si="56"/>
        <v>7.906919563538395E-11</v>
      </c>
      <c r="DH12" s="186">
        <f t="shared" si="56"/>
        <v>7.906919563538395E-11</v>
      </c>
      <c r="DI12" s="186">
        <f t="shared" si="56"/>
        <v>7.906919563538395E-11</v>
      </c>
      <c r="DJ12" s="186">
        <f t="shared" si="56"/>
        <v>7.906919563538395E-11</v>
      </c>
      <c r="DK12" s="186">
        <f t="shared" si="56"/>
        <v>7.906919563538395E-11</v>
      </c>
      <c r="DL12" s="186">
        <f t="shared" si="56"/>
        <v>7.906919563538395E-11</v>
      </c>
      <c r="DM12" s="186">
        <f t="shared" si="56"/>
        <v>7.906919563538395E-11</v>
      </c>
      <c r="DN12" s="186">
        <f t="shared" si="56"/>
        <v>7.906919563538395E-11</v>
      </c>
      <c r="DO12" s="187">
        <f>DN12</f>
        <v>7.906919563538395E-11</v>
      </c>
      <c r="DP12" s="192">
        <f>MAX(C12:BO12)</f>
        <v>16007.408514208335</v>
      </c>
    </row>
    <row r="13" spans="1:120" ht="12.75">
      <c r="A13" s="172" t="s">
        <v>70</v>
      </c>
      <c r="B13" s="172">
        <f>Исх!$C$38*12-Исх!$C$40</f>
        <v>45</v>
      </c>
      <c r="DP13" s="175"/>
    </row>
    <row r="14" ht="12.75">
      <c r="A14" s="193">
        <f>B9-B8-B11</f>
        <v>0</v>
      </c>
    </row>
    <row r="15" ht="12.75">
      <c r="A15" s="193">
        <f>B9-B8-B11</f>
        <v>0</v>
      </c>
    </row>
    <row r="17" spans="1:119" ht="12.75">
      <c r="A17" s="280" t="s">
        <v>207</v>
      </c>
      <c r="B17" s="278"/>
      <c r="DB17" s="172"/>
      <c r="DO17" s="172"/>
    </row>
    <row r="18" spans="1:119" ht="15.75" customHeight="1">
      <c r="A18" s="179" t="s">
        <v>9</v>
      </c>
      <c r="B18" s="279">
        <f>Исх!$C$37</f>
        <v>0.07</v>
      </c>
      <c r="C18" s="355">
        <v>2013</v>
      </c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>
        <v>2014</v>
      </c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>
        <v>2015</v>
      </c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5"/>
      <c r="AP18" s="355">
        <v>2016</v>
      </c>
      <c r="AQ18" s="355"/>
      <c r="AR18" s="355"/>
      <c r="AS18" s="355"/>
      <c r="AT18" s="355"/>
      <c r="AU18" s="355"/>
      <c r="AV18" s="355"/>
      <c r="AW18" s="355"/>
      <c r="AX18" s="355"/>
      <c r="AY18" s="355"/>
      <c r="AZ18" s="355"/>
      <c r="BA18" s="355"/>
      <c r="BB18" s="355"/>
      <c r="BC18" s="355">
        <v>2017</v>
      </c>
      <c r="BD18" s="355"/>
      <c r="BE18" s="355"/>
      <c r="BF18" s="355"/>
      <c r="BG18" s="355"/>
      <c r="BH18" s="355"/>
      <c r="BI18" s="355"/>
      <c r="BJ18" s="355"/>
      <c r="BK18" s="355"/>
      <c r="BL18" s="355"/>
      <c r="BM18" s="355"/>
      <c r="BN18" s="355"/>
      <c r="BO18" s="355"/>
      <c r="BP18" s="355">
        <v>2018</v>
      </c>
      <c r="BQ18" s="355"/>
      <c r="BR18" s="355"/>
      <c r="BS18" s="355"/>
      <c r="BT18" s="355"/>
      <c r="BU18" s="355"/>
      <c r="BV18" s="355"/>
      <c r="BW18" s="355"/>
      <c r="BX18" s="355"/>
      <c r="BY18" s="355"/>
      <c r="BZ18" s="355"/>
      <c r="CA18" s="355"/>
      <c r="CB18" s="355"/>
      <c r="CC18" s="355">
        <v>2019</v>
      </c>
      <c r="CD18" s="355"/>
      <c r="CE18" s="355"/>
      <c r="CF18" s="355"/>
      <c r="CG18" s="355"/>
      <c r="CH18" s="355"/>
      <c r="CI18" s="355"/>
      <c r="CJ18" s="355"/>
      <c r="CK18" s="355"/>
      <c r="CL18" s="355"/>
      <c r="CM18" s="355"/>
      <c r="CN18" s="355"/>
      <c r="CO18" s="355"/>
      <c r="CP18" s="355">
        <v>2020</v>
      </c>
      <c r="CQ18" s="355"/>
      <c r="CR18" s="355"/>
      <c r="CS18" s="355"/>
      <c r="CT18" s="355"/>
      <c r="CU18" s="355"/>
      <c r="CV18" s="355"/>
      <c r="CW18" s="355"/>
      <c r="CX18" s="355"/>
      <c r="CY18" s="355"/>
      <c r="CZ18" s="355"/>
      <c r="DA18" s="355"/>
      <c r="DB18" s="355"/>
      <c r="DC18" s="355">
        <v>2021</v>
      </c>
      <c r="DD18" s="355"/>
      <c r="DE18" s="355"/>
      <c r="DF18" s="355"/>
      <c r="DG18" s="355"/>
      <c r="DH18" s="355"/>
      <c r="DI18" s="355"/>
      <c r="DJ18" s="355"/>
      <c r="DK18" s="355"/>
      <c r="DL18" s="355"/>
      <c r="DM18" s="355"/>
      <c r="DN18" s="355"/>
      <c r="DO18" s="355"/>
    </row>
    <row r="19" spans="1:119" s="184" customFormat="1" ht="15" customHeight="1">
      <c r="A19" s="180" t="s">
        <v>7</v>
      </c>
      <c r="B19" s="181" t="s">
        <v>80</v>
      </c>
      <c r="C19" s="182">
        <v>1</v>
      </c>
      <c r="D19" s="182">
        <v>2</v>
      </c>
      <c r="E19" s="182">
        <f aca="true" t="shared" si="57" ref="E19:N19">D19+1</f>
        <v>3</v>
      </c>
      <c r="F19" s="182">
        <f t="shared" si="57"/>
        <v>4</v>
      </c>
      <c r="G19" s="182">
        <f t="shared" si="57"/>
        <v>5</v>
      </c>
      <c r="H19" s="182">
        <f t="shared" si="57"/>
        <v>6</v>
      </c>
      <c r="I19" s="182">
        <f t="shared" si="57"/>
        <v>7</v>
      </c>
      <c r="J19" s="182">
        <f t="shared" si="57"/>
        <v>8</v>
      </c>
      <c r="K19" s="182">
        <f t="shared" si="57"/>
        <v>9</v>
      </c>
      <c r="L19" s="182">
        <f t="shared" si="57"/>
        <v>10</v>
      </c>
      <c r="M19" s="182">
        <f t="shared" si="57"/>
        <v>11</v>
      </c>
      <c r="N19" s="182">
        <f t="shared" si="57"/>
        <v>12</v>
      </c>
      <c r="O19" s="183">
        <f>O3</f>
        <v>0</v>
      </c>
      <c r="P19" s="182">
        <v>1</v>
      </c>
      <c r="Q19" s="182">
        <v>2</v>
      </c>
      <c r="R19" s="182">
        <f aca="true" t="shared" si="58" ref="R19:AA19">Q19+1</f>
        <v>3</v>
      </c>
      <c r="S19" s="182">
        <f t="shared" si="58"/>
        <v>4</v>
      </c>
      <c r="T19" s="182">
        <f t="shared" si="58"/>
        <v>5</v>
      </c>
      <c r="U19" s="182">
        <f t="shared" si="58"/>
        <v>6</v>
      </c>
      <c r="V19" s="182">
        <f t="shared" si="58"/>
        <v>7</v>
      </c>
      <c r="W19" s="182">
        <f t="shared" si="58"/>
        <v>8</v>
      </c>
      <c r="X19" s="182">
        <f t="shared" si="58"/>
        <v>9</v>
      </c>
      <c r="Y19" s="182">
        <f t="shared" si="58"/>
        <v>10</v>
      </c>
      <c r="Z19" s="182">
        <f t="shared" si="58"/>
        <v>11</v>
      </c>
      <c r="AA19" s="182">
        <f t="shared" si="58"/>
        <v>12</v>
      </c>
      <c r="AB19" s="183">
        <f>AB3</f>
        <v>0</v>
      </c>
      <c r="AC19" s="182">
        <v>1</v>
      </c>
      <c r="AD19" s="182">
        <v>2</v>
      </c>
      <c r="AE19" s="182">
        <f aca="true" t="shared" si="59" ref="AE19:AN19">AD19+1</f>
        <v>3</v>
      </c>
      <c r="AF19" s="182">
        <f t="shared" si="59"/>
        <v>4</v>
      </c>
      <c r="AG19" s="182">
        <f t="shared" si="59"/>
        <v>5</v>
      </c>
      <c r="AH19" s="182">
        <f t="shared" si="59"/>
        <v>6</v>
      </c>
      <c r="AI19" s="182">
        <f t="shared" si="59"/>
        <v>7</v>
      </c>
      <c r="AJ19" s="182">
        <f t="shared" si="59"/>
        <v>8</v>
      </c>
      <c r="AK19" s="182">
        <f t="shared" si="59"/>
        <v>9</v>
      </c>
      <c r="AL19" s="182">
        <f t="shared" si="59"/>
        <v>10</v>
      </c>
      <c r="AM19" s="182">
        <f t="shared" si="59"/>
        <v>11</v>
      </c>
      <c r="AN19" s="182">
        <f t="shared" si="59"/>
        <v>12</v>
      </c>
      <c r="AO19" s="183">
        <f>AO3</f>
        <v>0</v>
      </c>
      <c r="AP19" s="182">
        <v>1</v>
      </c>
      <c r="AQ19" s="182">
        <v>2</v>
      </c>
      <c r="AR19" s="182">
        <f aca="true" t="shared" si="60" ref="AR19:BA19">AQ19+1</f>
        <v>3</v>
      </c>
      <c r="AS19" s="182">
        <f t="shared" si="60"/>
        <v>4</v>
      </c>
      <c r="AT19" s="182">
        <f t="shared" si="60"/>
        <v>5</v>
      </c>
      <c r="AU19" s="182">
        <f t="shared" si="60"/>
        <v>6</v>
      </c>
      <c r="AV19" s="182">
        <f t="shared" si="60"/>
        <v>7</v>
      </c>
      <c r="AW19" s="182">
        <f t="shared" si="60"/>
        <v>8</v>
      </c>
      <c r="AX19" s="182">
        <f t="shared" si="60"/>
        <v>9</v>
      </c>
      <c r="AY19" s="182">
        <f t="shared" si="60"/>
        <v>10</v>
      </c>
      <c r="AZ19" s="182">
        <f t="shared" si="60"/>
        <v>11</v>
      </c>
      <c r="BA19" s="182">
        <f t="shared" si="60"/>
        <v>12</v>
      </c>
      <c r="BB19" s="183">
        <f>BB3</f>
        <v>0</v>
      </c>
      <c r="BC19" s="182">
        <v>1</v>
      </c>
      <c r="BD19" s="182">
        <v>2</v>
      </c>
      <c r="BE19" s="182">
        <f aca="true" t="shared" si="61" ref="BE19:BN19">BD19+1</f>
        <v>3</v>
      </c>
      <c r="BF19" s="182">
        <f t="shared" si="61"/>
        <v>4</v>
      </c>
      <c r="BG19" s="182">
        <f t="shared" si="61"/>
        <v>5</v>
      </c>
      <c r="BH19" s="182">
        <f t="shared" si="61"/>
        <v>6</v>
      </c>
      <c r="BI19" s="182">
        <f t="shared" si="61"/>
        <v>7</v>
      </c>
      <c r="BJ19" s="182">
        <f t="shared" si="61"/>
        <v>8</v>
      </c>
      <c r="BK19" s="182">
        <f t="shared" si="61"/>
        <v>9</v>
      </c>
      <c r="BL19" s="182">
        <f t="shared" si="61"/>
        <v>10</v>
      </c>
      <c r="BM19" s="182">
        <f t="shared" si="61"/>
        <v>11</v>
      </c>
      <c r="BN19" s="182">
        <f t="shared" si="61"/>
        <v>12</v>
      </c>
      <c r="BO19" s="183">
        <f>BO3</f>
        <v>0</v>
      </c>
      <c r="BP19" s="182">
        <v>1</v>
      </c>
      <c r="BQ19" s="182">
        <v>2</v>
      </c>
      <c r="BR19" s="182">
        <f aca="true" t="shared" si="62" ref="BR19:CA19">BQ19+1</f>
        <v>3</v>
      </c>
      <c r="BS19" s="182">
        <f t="shared" si="62"/>
        <v>4</v>
      </c>
      <c r="BT19" s="182">
        <f t="shared" si="62"/>
        <v>5</v>
      </c>
      <c r="BU19" s="182">
        <f t="shared" si="62"/>
        <v>6</v>
      </c>
      <c r="BV19" s="182">
        <f t="shared" si="62"/>
        <v>7</v>
      </c>
      <c r="BW19" s="182">
        <f t="shared" si="62"/>
        <v>8</v>
      </c>
      <c r="BX19" s="182">
        <f t="shared" si="62"/>
        <v>9</v>
      </c>
      <c r="BY19" s="182">
        <f t="shared" si="62"/>
        <v>10</v>
      </c>
      <c r="BZ19" s="182">
        <f t="shared" si="62"/>
        <v>11</v>
      </c>
      <c r="CA19" s="182">
        <f t="shared" si="62"/>
        <v>12</v>
      </c>
      <c r="CB19" s="183">
        <f>CB3</f>
        <v>0</v>
      </c>
      <c r="CC19" s="182">
        <v>1</v>
      </c>
      <c r="CD19" s="182">
        <v>2</v>
      </c>
      <c r="CE19" s="182">
        <f aca="true" t="shared" si="63" ref="CE19:CN19">CD19+1</f>
        <v>3</v>
      </c>
      <c r="CF19" s="182">
        <f t="shared" si="63"/>
        <v>4</v>
      </c>
      <c r="CG19" s="182">
        <f t="shared" si="63"/>
        <v>5</v>
      </c>
      <c r="CH19" s="182">
        <f t="shared" si="63"/>
        <v>6</v>
      </c>
      <c r="CI19" s="182">
        <f t="shared" si="63"/>
        <v>7</v>
      </c>
      <c r="CJ19" s="182">
        <f t="shared" si="63"/>
        <v>8</v>
      </c>
      <c r="CK19" s="182">
        <f t="shared" si="63"/>
        <v>9</v>
      </c>
      <c r="CL19" s="182">
        <f t="shared" si="63"/>
        <v>10</v>
      </c>
      <c r="CM19" s="182">
        <f t="shared" si="63"/>
        <v>11</v>
      </c>
      <c r="CN19" s="182">
        <f t="shared" si="63"/>
        <v>12</v>
      </c>
      <c r="CO19" s="183">
        <f>CO3</f>
        <v>0</v>
      </c>
      <c r="CP19" s="182">
        <v>1</v>
      </c>
      <c r="CQ19" s="182">
        <f aca="true" t="shared" si="64" ref="CQ19:DA19">CP19+1</f>
        <v>2</v>
      </c>
      <c r="CR19" s="182">
        <f t="shared" si="64"/>
        <v>3</v>
      </c>
      <c r="CS19" s="182">
        <f t="shared" si="64"/>
        <v>4</v>
      </c>
      <c r="CT19" s="182">
        <f t="shared" si="64"/>
        <v>5</v>
      </c>
      <c r="CU19" s="182">
        <f t="shared" si="64"/>
        <v>6</v>
      </c>
      <c r="CV19" s="182">
        <f t="shared" si="64"/>
        <v>7</v>
      </c>
      <c r="CW19" s="182">
        <f t="shared" si="64"/>
        <v>8</v>
      </c>
      <c r="CX19" s="182">
        <f t="shared" si="64"/>
        <v>9</v>
      </c>
      <c r="CY19" s="182">
        <f t="shared" si="64"/>
        <v>10</v>
      </c>
      <c r="CZ19" s="182">
        <f t="shared" si="64"/>
        <v>11</v>
      </c>
      <c r="DA19" s="182">
        <f t="shared" si="64"/>
        <v>12</v>
      </c>
      <c r="DB19" s="183">
        <f>DB3</f>
        <v>0</v>
      </c>
      <c r="DC19" s="182">
        <v>1</v>
      </c>
      <c r="DD19" s="182">
        <f aca="true" t="shared" si="65" ref="DD19:DN19">DC19+1</f>
        <v>2</v>
      </c>
      <c r="DE19" s="182">
        <f t="shared" si="65"/>
        <v>3</v>
      </c>
      <c r="DF19" s="182">
        <f t="shared" si="65"/>
        <v>4</v>
      </c>
      <c r="DG19" s="182">
        <f t="shared" si="65"/>
        <v>5</v>
      </c>
      <c r="DH19" s="182">
        <f t="shared" si="65"/>
        <v>6</v>
      </c>
      <c r="DI19" s="182">
        <f t="shared" si="65"/>
        <v>7</v>
      </c>
      <c r="DJ19" s="182">
        <f t="shared" si="65"/>
        <v>8</v>
      </c>
      <c r="DK19" s="182">
        <f t="shared" si="65"/>
        <v>9</v>
      </c>
      <c r="DL19" s="182">
        <f t="shared" si="65"/>
        <v>10</v>
      </c>
      <c r="DM19" s="182">
        <f t="shared" si="65"/>
        <v>11</v>
      </c>
      <c r="DN19" s="182">
        <f t="shared" si="65"/>
        <v>12</v>
      </c>
      <c r="DO19" s="183" t="s">
        <v>0</v>
      </c>
    </row>
    <row r="20" spans="1:119" ht="12.75">
      <c r="A20" s="180" t="s">
        <v>98</v>
      </c>
      <c r="B20" s="185">
        <f>O20+AB20+AO20+BB20+BO20+CB20+CO20+DB20+DO20</f>
        <v>15822.809075000001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>
        <f>'1-Ф3'!N$30</f>
        <v>15822.809075000001</v>
      </c>
      <c r="N20" s="186"/>
      <c r="O20" s="187">
        <f>SUM(C20:N20)</f>
        <v>15822.809075000001</v>
      </c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>
        <f>SUM(P20:AA20)</f>
        <v>0</v>
      </c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>
        <f>SUM(AC20:AN20)</f>
        <v>0</v>
      </c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</row>
    <row r="21" spans="1:119" s="189" customFormat="1" ht="20.25" customHeight="1">
      <c r="A21" s="180" t="s">
        <v>27</v>
      </c>
      <c r="B21" s="185">
        <f>O21+AB21+AO21+BB21+BO21+CB21+CO21+DB21+DO21</f>
        <v>184.59943920833337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7">
        <f>SUM(C21:N21)</f>
        <v>0</v>
      </c>
      <c r="P21" s="186">
        <f>SUM(O22:P22)</f>
        <v>184.59943920833337</v>
      </c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7">
        <f>SUM(P21:AA21)</f>
        <v>184.59943920833337</v>
      </c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7">
        <f>SUM(AC21:AN21)</f>
        <v>0</v>
      </c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7">
        <f>SUM(AP21:BA21)</f>
        <v>0</v>
      </c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7">
        <f>SUM(BC21:BN21)</f>
        <v>0</v>
      </c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7">
        <f>SUM(BP21:CA21)</f>
        <v>0</v>
      </c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7">
        <f>SUM(CC21:CN21)</f>
        <v>0</v>
      </c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7">
        <f>SUM(CP21:DA21)</f>
        <v>0</v>
      </c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7">
        <f>SUM(DC21:DN21)</f>
        <v>0</v>
      </c>
    </row>
    <row r="22" spans="1:119" s="189" customFormat="1" ht="12.75">
      <c r="A22" s="190" t="s">
        <v>10</v>
      </c>
      <c r="B22" s="185">
        <f>O22+AB22+AO22+BB22+BO22+CB22+CO22+DB22+DO22</f>
        <v>2423.7608346093834</v>
      </c>
      <c r="C22" s="186"/>
      <c r="D22" s="186">
        <f aca="true" t="shared" si="66" ref="D22:N22">C25*$B18/12</f>
        <v>0</v>
      </c>
      <c r="E22" s="186">
        <f t="shared" si="66"/>
        <v>0</v>
      </c>
      <c r="F22" s="186">
        <f t="shared" si="66"/>
        <v>0</v>
      </c>
      <c r="G22" s="186">
        <f t="shared" si="66"/>
        <v>0</v>
      </c>
      <c r="H22" s="186">
        <f t="shared" si="66"/>
        <v>0</v>
      </c>
      <c r="I22" s="186">
        <f t="shared" si="66"/>
        <v>0</v>
      </c>
      <c r="J22" s="186">
        <f t="shared" si="66"/>
        <v>0</v>
      </c>
      <c r="K22" s="186">
        <f t="shared" si="66"/>
        <v>0</v>
      </c>
      <c r="L22" s="186">
        <f t="shared" si="66"/>
        <v>0</v>
      </c>
      <c r="M22" s="186">
        <f t="shared" si="66"/>
        <v>0</v>
      </c>
      <c r="N22" s="186">
        <f t="shared" si="66"/>
        <v>92.29971960416668</v>
      </c>
      <c r="O22" s="187">
        <f>SUM(C22:N22)</f>
        <v>92.29971960416668</v>
      </c>
      <c r="P22" s="186">
        <f aca="true" t="shared" si="67" ref="P22:AA22">O25*$B18/12</f>
        <v>92.29971960416668</v>
      </c>
      <c r="Q22" s="186">
        <f t="shared" si="67"/>
        <v>93.3765496662153</v>
      </c>
      <c r="R22" s="186">
        <f t="shared" si="67"/>
        <v>91.55595010654109</v>
      </c>
      <c r="S22" s="186">
        <f t="shared" si="67"/>
        <v>89.72473038276878</v>
      </c>
      <c r="T22" s="186">
        <f t="shared" si="67"/>
        <v>87.88282854394113</v>
      </c>
      <c r="U22" s="186">
        <f t="shared" si="67"/>
        <v>86.03018227772031</v>
      </c>
      <c r="V22" s="186">
        <f t="shared" si="67"/>
        <v>84.1667289082799</v>
      </c>
      <c r="W22" s="186">
        <f t="shared" si="67"/>
        <v>82.2924053941844</v>
      </c>
      <c r="X22" s="186">
        <f t="shared" si="67"/>
        <v>80.40714832625669</v>
      </c>
      <c r="Y22" s="186">
        <f t="shared" si="67"/>
        <v>78.51089392543273</v>
      </c>
      <c r="Z22" s="186">
        <f t="shared" si="67"/>
        <v>76.60357804060395</v>
      </c>
      <c r="AA22" s="186">
        <f t="shared" si="67"/>
        <v>74.68513614644701</v>
      </c>
      <c r="AB22" s="187">
        <f>SUM(P22:AA22)</f>
        <v>1017.5358513225578</v>
      </c>
      <c r="AC22" s="186">
        <f aca="true" t="shared" si="68" ref="AC22:AN22">AB25*$B18/12</f>
        <v>72.75550334124082</v>
      </c>
      <c r="AD22" s="186">
        <f t="shared" si="68"/>
        <v>70.81461434467094</v>
      </c>
      <c r="AE22" s="186">
        <f t="shared" si="68"/>
        <v>68.86240349562105</v>
      </c>
      <c r="AF22" s="186">
        <f t="shared" si="68"/>
        <v>66.89880474995172</v>
      </c>
      <c r="AG22" s="186">
        <f t="shared" si="68"/>
        <v>64.92375167826597</v>
      </c>
      <c r="AH22" s="186">
        <f t="shared" si="68"/>
        <v>62.93717746366207</v>
      </c>
      <c r="AI22" s="186">
        <f t="shared" si="68"/>
        <v>60.939014899472966</v>
      </c>
      <c r="AJ22" s="186">
        <f t="shared" si="68"/>
        <v>58.929196386992764</v>
      </c>
      <c r="AK22" s="186">
        <f t="shared" si="68"/>
        <v>56.907653933189756</v>
      </c>
      <c r="AL22" s="186">
        <f t="shared" si="68"/>
        <v>54.87431914840624</v>
      </c>
      <c r="AM22" s="186">
        <f t="shared" si="68"/>
        <v>52.829123244044816</v>
      </c>
      <c r="AN22" s="186">
        <f t="shared" si="68"/>
        <v>50.77199703024127</v>
      </c>
      <c r="AO22" s="187">
        <f>SUM(AC22:AN22)</f>
        <v>742.4435597157604</v>
      </c>
      <c r="AP22" s="186">
        <f aca="true" t="shared" si="69" ref="AP22:BA22">AO25*$B18/12</f>
        <v>48.70287091352389</v>
      </c>
      <c r="AQ22" s="186">
        <f t="shared" si="69"/>
        <v>46.621674894458984</v>
      </c>
      <c r="AR22" s="186">
        <f t="shared" si="69"/>
        <v>44.528338565282866</v>
      </c>
      <c r="AS22" s="186">
        <f t="shared" si="69"/>
        <v>42.42279110751988</v>
      </c>
      <c r="AT22" s="186">
        <f t="shared" si="69"/>
        <v>40.30496128958662</v>
      </c>
      <c r="AU22" s="186">
        <f t="shared" si="69"/>
        <v>38.174777464382075</v>
      </c>
      <c r="AV22" s="186">
        <f t="shared" si="69"/>
        <v>36.03216756686384</v>
      </c>
      <c r="AW22" s="186">
        <f t="shared" si="69"/>
        <v>33.87705911161008</v>
      </c>
      <c r="AX22" s="186">
        <f t="shared" si="69"/>
        <v>31.709379190367343</v>
      </c>
      <c r="AY22" s="186">
        <f t="shared" si="69"/>
        <v>29.529054469584022</v>
      </c>
      <c r="AZ22" s="186">
        <f t="shared" si="69"/>
        <v>27.33601118792946</v>
      </c>
      <c r="BA22" s="186">
        <f t="shared" si="69"/>
        <v>25.13017515379859</v>
      </c>
      <c r="BB22" s="187">
        <f>SUM(AP22:BA22)</f>
        <v>444.36926091490767</v>
      </c>
      <c r="BC22" s="186">
        <f aca="true" t="shared" si="70" ref="BC22:BN22">BB25*$B18/12</f>
        <v>22.91147174280195</v>
      </c>
      <c r="BD22" s="186">
        <f t="shared" si="70"/>
        <v>20.679825895241162</v>
      </c>
      <c r="BE22" s="186">
        <f t="shared" si="70"/>
        <v>18.435162113569607</v>
      </c>
      <c r="BF22" s="186">
        <f t="shared" si="70"/>
        <v>16.177404459838296</v>
      </c>
      <c r="BG22" s="186">
        <f t="shared" si="70"/>
        <v>13.906476553126891</v>
      </c>
      <c r="BH22" s="186">
        <f t="shared" si="70"/>
        <v>11.622301566959669</v>
      </c>
      <c r="BI22" s="186">
        <f t="shared" si="70"/>
        <v>9.324802226706469</v>
      </c>
      <c r="BJ22" s="186">
        <f t="shared" si="70"/>
        <v>7.0139008069684605</v>
      </c>
      <c r="BK22" s="186">
        <f t="shared" si="70"/>
        <v>4.689519128948646</v>
      </c>
      <c r="BL22" s="186">
        <f t="shared" si="70"/>
        <v>2.35157855780705</v>
      </c>
      <c r="BM22" s="186">
        <f t="shared" si="70"/>
        <v>4.612369745397398E-13</v>
      </c>
      <c r="BN22" s="186">
        <f t="shared" si="70"/>
        <v>4.612369745397398E-13</v>
      </c>
      <c r="BO22" s="187">
        <f>SUM(BC22:BN22)</f>
        <v>127.11244305196911</v>
      </c>
      <c r="BP22" s="186">
        <f aca="true" t="shared" si="71" ref="BP22:CA22">BO25*$B18/12</f>
        <v>4.612369745397398E-13</v>
      </c>
      <c r="BQ22" s="186">
        <f t="shared" si="71"/>
        <v>4.612369745397398E-13</v>
      </c>
      <c r="BR22" s="186">
        <f t="shared" si="71"/>
        <v>4.612369745397398E-13</v>
      </c>
      <c r="BS22" s="186">
        <f t="shared" si="71"/>
        <v>4.612369745397398E-13</v>
      </c>
      <c r="BT22" s="186">
        <f t="shared" si="71"/>
        <v>4.612369745397398E-13</v>
      </c>
      <c r="BU22" s="186">
        <f t="shared" si="71"/>
        <v>4.612369745397398E-13</v>
      </c>
      <c r="BV22" s="186">
        <f t="shared" si="71"/>
        <v>4.612369745397398E-13</v>
      </c>
      <c r="BW22" s="186">
        <f t="shared" si="71"/>
        <v>4.612369745397398E-13</v>
      </c>
      <c r="BX22" s="186">
        <f t="shared" si="71"/>
        <v>4.612369745397398E-13</v>
      </c>
      <c r="BY22" s="186">
        <f t="shared" si="71"/>
        <v>4.612369745397398E-13</v>
      </c>
      <c r="BZ22" s="186">
        <f t="shared" si="71"/>
        <v>4.612369745397398E-13</v>
      </c>
      <c r="CA22" s="186">
        <f t="shared" si="71"/>
        <v>4.612369745397398E-13</v>
      </c>
      <c r="CB22" s="187">
        <f>SUM(BP22:CA22)</f>
        <v>5.534843694476876E-12</v>
      </c>
      <c r="CC22" s="186">
        <f aca="true" t="shared" si="72" ref="CC22:CN22">CB25*$B18/12</f>
        <v>4.612369745397398E-13</v>
      </c>
      <c r="CD22" s="186">
        <f t="shared" si="72"/>
        <v>4.612369745397398E-13</v>
      </c>
      <c r="CE22" s="186">
        <f t="shared" si="72"/>
        <v>4.612369745397398E-13</v>
      </c>
      <c r="CF22" s="186">
        <f t="shared" si="72"/>
        <v>4.612369745397398E-13</v>
      </c>
      <c r="CG22" s="186">
        <f t="shared" si="72"/>
        <v>4.612369745397398E-13</v>
      </c>
      <c r="CH22" s="186">
        <f t="shared" si="72"/>
        <v>4.612369745397398E-13</v>
      </c>
      <c r="CI22" s="186">
        <f t="shared" si="72"/>
        <v>4.612369745397398E-13</v>
      </c>
      <c r="CJ22" s="186">
        <f t="shared" si="72"/>
        <v>4.612369745397398E-13</v>
      </c>
      <c r="CK22" s="186">
        <f t="shared" si="72"/>
        <v>4.612369745397398E-13</v>
      </c>
      <c r="CL22" s="186">
        <f t="shared" si="72"/>
        <v>4.612369745397398E-13</v>
      </c>
      <c r="CM22" s="186">
        <f t="shared" si="72"/>
        <v>4.612369745397398E-13</v>
      </c>
      <c r="CN22" s="186">
        <f t="shared" si="72"/>
        <v>4.612369745397398E-13</v>
      </c>
      <c r="CO22" s="187">
        <f>SUM(CC22:CN22)</f>
        <v>5.534843694476876E-12</v>
      </c>
      <c r="CP22" s="186">
        <f aca="true" t="shared" si="73" ref="CP22:DA22">CO25*$B18/12</f>
        <v>4.612369745397398E-13</v>
      </c>
      <c r="CQ22" s="186">
        <f t="shared" si="73"/>
        <v>4.612369745397398E-13</v>
      </c>
      <c r="CR22" s="186">
        <f t="shared" si="73"/>
        <v>4.612369745397398E-13</v>
      </c>
      <c r="CS22" s="186">
        <f t="shared" si="73"/>
        <v>4.612369745397398E-13</v>
      </c>
      <c r="CT22" s="186">
        <f t="shared" si="73"/>
        <v>4.612369745397398E-13</v>
      </c>
      <c r="CU22" s="186">
        <f t="shared" si="73"/>
        <v>4.612369745397398E-13</v>
      </c>
      <c r="CV22" s="186">
        <f t="shared" si="73"/>
        <v>4.612369745397398E-13</v>
      </c>
      <c r="CW22" s="186">
        <f t="shared" si="73"/>
        <v>4.612369745397398E-13</v>
      </c>
      <c r="CX22" s="186">
        <f t="shared" si="73"/>
        <v>4.612369745397398E-13</v>
      </c>
      <c r="CY22" s="186">
        <f t="shared" si="73"/>
        <v>4.612369745397398E-13</v>
      </c>
      <c r="CZ22" s="186">
        <f t="shared" si="73"/>
        <v>4.612369745397398E-13</v>
      </c>
      <c r="DA22" s="186">
        <f t="shared" si="73"/>
        <v>4.612369745397398E-13</v>
      </c>
      <c r="DB22" s="187">
        <f>SUM(CP22:DA22)</f>
        <v>5.534843694476876E-12</v>
      </c>
      <c r="DC22" s="186">
        <f aca="true" t="shared" si="74" ref="DC22:DN22">DB25*$B18/12</f>
        <v>4.612369745397398E-13</v>
      </c>
      <c r="DD22" s="186">
        <f t="shared" si="74"/>
        <v>4.612369745397398E-13</v>
      </c>
      <c r="DE22" s="186">
        <f t="shared" si="74"/>
        <v>4.612369745397398E-13</v>
      </c>
      <c r="DF22" s="186">
        <f t="shared" si="74"/>
        <v>4.612369745397398E-13</v>
      </c>
      <c r="DG22" s="186">
        <f t="shared" si="74"/>
        <v>4.612369745397398E-13</v>
      </c>
      <c r="DH22" s="186">
        <f t="shared" si="74"/>
        <v>4.612369745397398E-13</v>
      </c>
      <c r="DI22" s="186">
        <f t="shared" si="74"/>
        <v>4.612369745397398E-13</v>
      </c>
      <c r="DJ22" s="186">
        <f t="shared" si="74"/>
        <v>4.612369745397398E-13</v>
      </c>
      <c r="DK22" s="186">
        <f t="shared" si="74"/>
        <v>4.612369745397398E-13</v>
      </c>
      <c r="DL22" s="186">
        <f t="shared" si="74"/>
        <v>4.612369745397398E-13</v>
      </c>
      <c r="DM22" s="186">
        <f t="shared" si="74"/>
        <v>4.612369745397398E-13</v>
      </c>
      <c r="DN22" s="186">
        <f t="shared" si="74"/>
        <v>4.612369745397398E-13</v>
      </c>
      <c r="DO22" s="187">
        <f>SUM(DC22:DN22)</f>
        <v>5.534843694476876E-12</v>
      </c>
    </row>
    <row r="23" spans="1:119" ht="12.75">
      <c r="A23" s="180" t="s">
        <v>11</v>
      </c>
      <c r="B23" s="185">
        <f>O23+AB23+AO23+BB23+BO23+CB23+CO23+DB23+DO23</f>
        <v>16007.408514208259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91"/>
      <c r="N23" s="191"/>
      <c r="O23" s="187">
        <f>SUM(C23:N23)</f>
        <v>0</v>
      </c>
      <c r="P23" s="191"/>
      <c r="Q23" s="186">
        <f>$B27-Q22</f>
        <v>312.1027816584355</v>
      </c>
      <c r="R23" s="186">
        <f aca="true" t="shared" si="75" ref="R23:W23">$B27-R22</f>
        <v>313.9233812181097</v>
      </c>
      <c r="S23" s="186">
        <f t="shared" si="75"/>
        <v>315.754600941882</v>
      </c>
      <c r="T23" s="186">
        <f t="shared" si="75"/>
        <v>317.59650278070967</v>
      </c>
      <c r="U23" s="186">
        <f t="shared" si="75"/>
        <v>319.4491490469305</v>
      </c>
      <c r="V23" s="186">
        <f t="shared" si="75"/>
        <v>321.3126024163709</v>
      </c>
      <c r="W23" s="186">
        <f t="shared" si="75"/>
        <v>323.1869259304664</v>
      </c>
      <c r="X23" s="186">
        <f>$B27-X22</f>
        <v>325.0721829983941</v>
      </c>
      <c r="Y23" s="186">
        <f>$B27-Y22</f>
        <v>326.96843739921803</v>
      </c>
      <c r="Z23" s="186">
        <f>$B27-Z22</f>
        <v>328.8757532840468</v>
      </c>
      <c r="AA23" s="186">
        <f>$B27-AA22</f>
        <v>330.7941951782038</v>
      </c>
      <c r="AB23" s="187">
        <f>SUM(P23:AA23)</f>
        <v>3535.0365128527674</v>
      </c>
      <c r="AC23" s="186">
        <f aca="true" t="shared" si="76" ref="AC23:AN23">$B27-AC22</f>
        <v>332.72382798340993</v>
      </c>
      <c r="AD23" s="186">
        <f t="shared" si="76"/>
        <v>334.66471697997986</v>
      </c>
      <c r="AE23" s="186">
        <f t="shared" si="76"/>
        <v>336.61692782902975</v>
      </c>
      <c r="AF23" s="186">
        <f t="shared" si="76"/>
        <v>338.5805265746991</v>
      </c>
      <c r="AG23" s="186">
        <f t="shared" si="76"/>
        <v>340.5555796463848</v>
      </c>
      <c r="AH23" s="186">
        <f t="shared" si="76"/>
        <v>342.5421538609887</v>
      </c>
      <c r="AI23" s="186">
        <f t="shared" si="76"/>
        <v>344.5403164251778</v>
      </c>
      <c r="AJ23" s="186">
        <f t="shared" si="76"/>
        <v>346.550134937658</v>
      </c>
      <c r="AK23" s="186">
        <f t="shared" si="76"/>
        <v>348.57167739146104</v>
      </c>
      <c r="AL23" s="186">
        <f t="shared" si="76"/>
        <v>350.60501217624454</v>
      </c>
      <c r="AM23" s="186">
        <f t="shared" si="76"/>
        <v>352.650208080606</v>
      </c>
      <c r="AN23" s="186">
        <f t="shared" si="76"/>
        <v>354.7073342944095</v>
      </c>
      <c r="AO23" s="187">
        <f>SUM(AC23:AN23)</f>
        <v>4123.308416180049</v>
      </c>
      <c r="AP23" s="186">
        <f aca="true" t="shared" si="77" ref="AP23:BL23">$B27-AP22</f>
        <v>356.7764604111269</v>
      </c>
      <c r="AQ23" s="186">
        <f t="shared" si="77"/>
        <v>358.8576564301918</v>
      </c>
      <c r="AR23" s="186">
        <f t="shared" si="77"/>
        <v>360.9509927593679</v>
      </c>
      <c r="AS23" s="186">
        <f t="shared" si="77"/>
        <v>363.05654021713093</v>
      </c>
      <c r="AT23" s="186">
        <f t="shared" si="77"/>
        <v>365.17437003506416</v>
      </c>
      <c r="AU23" s="186">
        <f t="shared" si="77"/>
        <v>367.3045538602687</v>
      </c>
      <c r="AV23" s="186">
        <f t="shared" si="77"/>
        <v>369.44716375778694</v>
      </c>
      <c r="AW23" s="186">
        <f t="shared" si="77"/>
        <v>371.6022722130407</v>
      </c>
      <c r="AX23" s="186">
        <f t="shared" si="77"/>
        <v>373.76995213428347</v>
      </c>
      <c r="AY23" s="186">
        <f t="shared" si="77"/>
        <v>375.95027685506676</v>
      </c>
      <c r="AZ23" s="186">
        <f t="shared" si="77"/>
        <v>378.14332013672134</v>
      </c>
      <c r="BA23" s="186">
        <f t="shared" si="77"/>
        <v>380.3491561708522</v>
      </c>
      <c r="BB23" s="187">
        <f>SUM(AP23:BA23)</f>
        <v>4421.382714980902</v>
      </c>
      <c r="BC23" s="186">
        <f t="shared" si="77"/>
        <v>382.56785958184884</v>
      </c>
      <c r="BD23" s="186">
        <f t="shared" si="77"/>
        <v>384.79950542940963</v>
      </c>
      <c r="BE23" s="186">
        <f t="shared" si="77"/>
        <v>387.04416921108117</v>
      </c>
      <c r="BF23" s="186">
        <f t="shared" si="77"/>
        <v>389.3019268648125</v>
      </c>
      <c r="BG23" s="186">
        <f t="shared" si="77"/>
        <v>391.5728547715239</v>
      </c>
      <c r="BH23" s="186">
        <f t="shared" si="77"/>
        <v>393.8570297576911</v>
      </c>
      <c r="BI23" s="186">
        <f t="shared" si="77"/>
        <v>396.1545290979443</v>
      </c>
      <c r="BJ23" s="186">
        <f t="shared" si="77"/>
        <v>398.4654305176823</v>
      </c>
      <c r="BK23" s="186">
        <f t="shared" si="77"/>
        <v>400.78981219570215</v>
      </c>
      <c r="BL23" s="186">
        <f t="shared" si="77"/>
        <v>403.12775276684374</v>
      </c>
      <c r="BM23" s="186"/>
      <c r="BN23" s="186"/>
      <c r="BO23" s="187">
        <f>SUM(BC23:BN23)</f>
        <v>3927.68087019454</v>
      </c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7">
        <f>SUM(BP23:CA23)</f>
        <v>0</v>
      </c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7">
        <f>SUM(CC23:CN23)</f>
        <v>0</v>
      </c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7">
        <f>SUM(CP23:DA23)</f>
        <v>0</v>
      </c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7">
        <f>SUM(DC23:DN23)</f>
        <v>0</v>
      </c>
    </row>
    <row r="24" spans="1:119" ht="12.75">
      <c r="A24" s="180" t="s">
        <v>12</v>
      </c>
      <c r="B24" s="185">
        <f>O24+AB24+AO24+BB24+BO24+CB24+CO24+DB24+DO24</f>
        <v>2239.16139540105</v>
      </c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91"/>
      <c r="N24" s="191"/>
      <c r="O24" s="187">
        <f>SUM(C24:N24)</f>
        <v>0</v>
      </c>
      <c r="P24" s="191"/>
      <c r="Q24" s="186">
        <f>Q22</f>
        <v>93.3765496662153</v>
      </c>
      <c r="R24" s="186">
        <f>R22</f>
        <v>91.55595010654109</v>
      </c>
      <c r="S24" s="186">
        <f>S22</f>
        <v>89.72473038276878</v>
      </c>
      <c r="T24" s="186">
        <f>T22</f>
        <v>87.88282854394113</v>
      </c>
      <c r="U24" s="186">
        <f>U22</f>
        <v>86.03018227772031</v>
      </c>
      <c r="V24" s="186">
        <f aca="true" t="shared" si="78" ref="V24:AA24">V22</f>
        <v>84.1667289082799</v>
      </c>
      <c r="W24" s="186">
        <f t="shared" si="78"/>
        <v>82.2924053941844</v>
      </c>
      <c r="X24" s="186">
        <f t="shared" si="78"/>
        <v>80.40714832625669</v>
      </c>
      <c r="Y24" s="186">
        <f t="shared" si="78"/>
        <v>78.51089392543273</v>
      </c>
      <c r="Z24" s="186">
        <f t="shared" si="78"/>
        <v>76.60357804060395</v>
      </c>
      <c r="AA24" s="186">
        <f t="shared" si="78"/>
        <v>74.68513614644701</v>
      </c>
      <c r="AB24" s="187">
        <f>SUM(P24:AA24)</f>
        <v>925.2361317183911</v>
      </c>
      <c r="AC24" s="186">
        <f aca="true" t="shared" si="79" ref="AC24:AK24">AC22</f>
        <v>72.75550334124082</v>
      </c>
      <c r="AD24" s="186">
        <f t="shared" si="79"/>
        <v>70.81461434467094</v>
      </c>
      <c r="AE24" s="186">
        <f t="shared" si="79"/>
        <v>68.86240349562105</v>
      </c>
      <c r="AF24" s="186">
        <f t="shared" si="79"/>
        <v>66.89880474995172</v>
      </c>
      <c r="AG24" s="186">
        <f t="shared" si="79"/>
        <v>64.92375167826597</v>
      </c>
      <c r="AH24" s="186">
        <f t="shared" si="79"/>
        <v>62.93717746366207</v>
      </c>
      <c r="AI24" s="186">
        <f t="shared" si="79"/>
        <v>60.939014899472966</v>
      </c>
      <c r="AJ24" s="186">
        <f t="shared" si="79"/>
        <v>58.929196386992764</v>
      </c>
      <c r="AK24" s="186">
        <f t="shared" si="79"/>
        <v>56.907653933189756</v>
      </c>
      <c r="AL24" s="186">
        <f>AL22</f>
        <v>54.87431914840624</v>
      </c>
      <c r="AM24" s="186">
        <f>AM22</f>
        <v>52.829123244044816</v>
      </c>
      <c r="AN24" s="186">
        <f>AN22</f>
        <v>50.77199703024127</v>
      </c>
      <c r="AO24" s="187">
        <f>SUM(AC24:AN24)</f>
        <v>742.4435597157604</v>
      </c>
      <c r="AP24" s="186">
        <f aca="true" t="shared" si="80" ref="AP24:BA24">AP22</f>
        <v>48.70287091352389</v>
      </c>
      <c r="AQ24" s="186">
        <f t="shared" si="80"/>
        <v>46.621674894458984</v>
      </c>
      <c r="AR24" s="186">
        <f t="shared" si="80"/>
        <v>44.528338565282866</v>
      </c>
      <c r="AS24" s="186">
        <f t="shared" si="80"/>
        <v>42.42279110751988</v>
      </c>
      <c r="AT24" s="186">
        <f t="shared" si="80"/>
        <v>40.30496128958662</v>
      </c>
      <c r="AU24" s="186">
        <f t="shared" si="80"/>
        <v>38.174777464382075</v>
      </c>
      <c r="AV24" s="186">
        <f t="shared" si="80"/>
        <v>36.03216756686384</v>
      </c>
      <c r="AW24" s="186">
        <f t="shared" si="80"/>
        <v>33.87705911161008</v>
      </c>
      <c r="AX24" s="186">
        <f t="shared" si="80"/>
        <v>31.709379190367343</v>
      </c>
      <c r="AY24" s="186">
        <f t="shared" si="80"/>
        <v>29.529054469584022</v>
      </c>
      <c r="AZ24" s="186">
        <f t="shared" si="80"/>
        <v>27.33601118792946</v>
      </c>
      <c r="BA24" s="186">
        <f t="shared" si="80"/>
        <v>25.13017515379859</v>
      </c>
      <c r="BB24" s="187">
        <f>SUM(AP24:BA24)</f>
        <v>444.36926091490767</v>
      </c>
      <c r="BC24" s="186">
        <f aca="true" t="shared" si="81" ref="BC24:BN24">BC22</f>
        <v>22.91147174280195</v>
      </c>
      <c r="BD24" s="186">
        <f t="shared" si="81"/>
        <v>20.679825895241162</v>
      </c>
      <c r="BE24" s="186">
        <f t="shared" si="81"/>
        <v>18.435162113569607</v>
      </c>
      <c r="BF24" s="186">
        <f t="shared" si="81"/>
        <v>16.177404459838296</v>
      </c>
      <c r="BG24" s="186">
        <f t="shared" si="81"/>
        <v>13.906476553126891</v>
      </c>
      <c r="BH24" s="186">
        <f t="shared" si="81"/>
        <v>11.622301566959669</v>
      </c>
      <c r="BI24" s="186">
        <f t="shared" si="81"/>
        <v>9.324802226706469</v>
      </c>
      <c r="BJ24" s="186">
        <f t="shared" si="81"/>
        <v>7.0139008069684605</v>
      </c>
      <c r="BK24" s="186">
        <f t="shared" si="81"/>
        <v>4.689519128948646</v>
      </c>
      <c r="BL24" s="186">
        <f t="shared" si="81"/>
        <v>2.35157855780705</v>
      </c>
      <c r="BM24" s="186">
        <f t="shared" si="81"/>
        <v>4.612369745397398E-13</v>
      </c>
      <c r="BN24" s="186">
        <f t="shared" si="81"/>
        <v>4.612369745397398E-13</v>
      </c>
      <c r="BO24" s="187">
        <f>SUM(BC24:BN24)</f>
        <v>127.11244305196911</v>
      </c>
      <c r="BP24" s="186">
        <f aca="true" t="shared" si="82" ref="BP24:CA24">BP22</f>
        <v>4.612369745397398E-13</v>
      </c>
      <c r="BQ24" s="186">
        <f t="shared" si="82"/>
        <v>4.612369745397398E-13</v>
      </c>
      <c r="BR24" s="186">
        <f t="shared" si="82"/>
        <v>4.612369745397398E-13</v>
      </c>
      <c r="BS24" s="186">
        <f t="shared" si="82"/>
        <v>4.612369745397398E-13</v>
      </c>
      <c r="BT24" s="186">
        <f t="shared" si="82"/>
        <v>4.612369745397398E-13</v>
      </c>
      <c r="BU24" s="186">
        <f t="shared" si="82"/>
        <v>4.612369745397398E-13</v>
      </c>
      <c r="BV24" s="186">
        <f t="shared" si="82"/>
        <v>4.612369745397398E-13</v>
      </c>
      <c r="BW24" s="186">
        <f t="shared" si="82"/>
        <v>4.612369745397398E-13</v>
      </c>
      <c r="BX24" s="186">
        <f t="shared" si="82"/>
        <v>4.612369745397398E-13</v>
      </c>
      <c r="BY24" s="186">
        <f t="shared" si="82"/>
        <v>4.612369745397398E-13</v>
      </c>
      <c r="BZ24" s="186">
        <f t="shared" si="82"/>
        <v>4.612369745397398E-13</v>
      </c>
      <c r="CA24" s="186">
        <f t="shared" si="82"/>
        <v>4.612369745397398E-13</v>
      </c>
      <c r="CB24" s="187">
        <f>SUM(BP24:CA24)</f>
        <v>5.534843694476876E-12</v>
      </c>
      <c r="CC24" s="186">
        <f aca="true" t="shared" si="83" ref="CC24:CN24">CC22</f>
        <v>4.612369745397398E-13</v>
      </c>
      <c r="CD24" s="186">
        <f t="shared" si="83"/>
        <v>4.612369745397398E-13</v>
      </c>
      <c r="CE24" s="186">
        <f t="shared" si="83"/>
        <v>4.612369745397398E-13</v>
      </c>
      <c r="CF24" s="186">
        <f t="shared" si="83"/>
        <v>4.612369745397398E-13</v>
      </c>
      <c r="CG24" s="186">
        <f t="shared" si="83"/>
        <v>4.612369745397398E-13</v>
      </c>
      <c r="CH24" s="186">
        <f t="shared" si="83"/>
        <v>4.612369745397398E-13</v>
      </c>
      <c r="CI24" s="186">
        <f t="shared" si="83"/>
        <v>4.612369745397398E-13</v>
      </c>
      <c r="CJ24" s="186">
        <f t="shared" si="83"/>
        <v>4.612369745397398E-13</v>
      </c>
      <c r="CK24" s="186">
        <f t="shared" si="83"/>
        <v>4.612369745397398E-13</v>
      </c>
      <c r="CL24" s="186">
        <f t="shared" si="83"/>
        <v>4.612369745397398E-13</v>
      </c>
      <c r="CM24" s="186">
        <f t="shared" si="83"/>
        <v>4.612369745397398E-13</v>
      </c>
      <c r="CN24" s="186">
        <f t="shared" si="83"/>
        <v>4.612369745397398E-13</v>
      </c>
      <c r="CO24" s="187">
        <f>SUM(CC24:CN24)</f>
        <v>5.534843694476876E-12</v>
      </c>
      <c r="CP24" s="186">
        <f aca="true" t="shared" si="84" ref="CP24:DA24">CP22</f>
        <v>4.612369745397398E-13</v>
      </c>
      <c r="CQ24" s="186">
        <f t="shared" si="84"/>
        <v>4.612369745397398E-13</v>
      </c>
      <c r="CR24" s="186">
        <f t="shared" si="84"/>
        <v>4.612369745397398E-13</v>
      </c>
      <c r="CS24" s="186">
        <f t="shared" si="84"/>
        <v>4.612369745397398E-13</v>
      </c>
      <c r="CT24" s="186">
        <f t="shared" si="84"/>
        <v>4.612369745397398E-13</v>
      </c>
      <c r="CU24" s="186">
        <f t="shared" si="84"/>
        <v>4.612369745397398E-13</v>
      </c>
      <c r="CV24" s="186">
        <f t="shared" si="84"/>
        <v>4.612369745397398E-13</v>
      </c>
      <c r="CW24" s="186">
        <f t="shared" si="84"/>
        <v>4.612369745397398E-13</v>
      </c>
      <c r="CX24" s="186">
        <f t="shared" si="84"/>
        <v>4.612369745397398E-13</v>
      </c>
      <c r="CY24" s="186">
        <f t="shared" si="84"/>
        <v>4.612369745397398E-13</v>
      </c>
      <c r="CZ24" s="186">
        <f t="shared" si="84"/>
        <v>4.612369745397398E-13</v>
      </c>
      <c r="DA24" s="186">
        <f t="shared" si="84"/>
        <v>4.612369745397398E-13</v>
      </c>
      <c r="DB24" s="187">
        <f>SUM(CP24:DA24)</f>
        <v>5.534843694476876E-12</v>
      </c>
      <c r="DC24" s="186">
        <f aca="true" t="shared" si="85" ref="DC24:DN24">DC22</f>
        <v>4.612369745397398E-13</v>
      </c>
      <c r="DD24" s="186">
        <f t="shared" si="85"/>
        <v>4.612369745397398E-13</v>
      </c>
      <c r="DE24" s="186">
        <f t="shared" si="85"/>
        <v>4.612369745397398E-13</v>
      </c>
      <c r="DF24" s="186">
        <f t="shared" si="85"/>
        <v>4.612369745397398E-13</v>
      </c>
      <c r="DG24" s="186">
        <f t="shared" si="85"/>
        <v>4.612369745397398E-13</v>
      </c>
      <c r="DH24" s="186">
        <f t="shared" si="85"/>
        <v>4.612369745397398E-13</v>
      </c>
      <c r="DI24" s="186">
        <f t="shared" si="85"/>
        <v>4.612369745397398E-13</v>
      </c>
      <c r="DJ24" s="186">
        <f t="shared" si="85"/>
        <v>4.612369745397398E-13</v>
      </c>
      <c r="DK24" s="186">
        <f t="shared" si="85"/>
        <v>4.612369745397398E-13</v>
      </c>
      <c r="DL24" s="186">
        <f t="shared" si="85"/>
        <v>4.612369745397398E-13</v>
      </c>
      <c r="DM24" s="186">
        <f t="shared" si="85"/>
        <v>4.612369745397398E-13</v>
      </c>
      <c r="DN24" s="186">
        <f t="shared" si="85"/>
        <v>4.612369745397398E-13</v>
      </c>
      <c r="DO24" s="187">
        <f>SUM(DC24:DN24)</f>
        <v>5.534843694476876E-12</v>
      </c>
    </row>
    <row r="25" spans="1:119" ht="12.75">
      <c r="A25" s="180" t="s">
        <v>13</v>
      </c>
      <c r="B25" s="185">
        <f>DO25</f>
        <v>7.906919563538395E-11</v>
      </c>
      <c r="C25" s="186">
        <f>C20</f>
        <v>0</v>
      </c>
      <c r="D25" s="186">
        <f aca="true" t="shared" si="86" ref="D25:N25">C25+D20-D23+D21</f>
        <v>0</v>
      </c>
      <c r="E25" s="186">
        <f t="shared" si="86"/>
        <v>0</v>
      </c>
      <c r="F25" s="186">
        <f t="shared" si="86"/>
        <v>0</v>
      </c>
      <c r="G25" s="186">
        <f t="shared" si="86"/>
        <v>0</v>
      </c>
      <c r="H25" s="186">
        <f t="shared" si="86"/>
        <v>0</v>
      </c>
      <c r="I25" s="186">
        <f t="shared" si="86"/>
        <v>0</v>
      </c>
      <c r="J25" s="186">
        <f t="shared" si="86"/>
        <v>0</v>
      </c>
      <c r="K25" s="186">
        <f t="shared" si="86"/>
        <v>0</v>
      </c>
      <c r="L25" s="186">
        <f t="shared" si="86"/>
        <v>0</v>
      </c>
      <c r="M25" s="186">
        <f t="shared" si="86"/>
        <v>15822.809075000001</v>
      </c>
      <c r="N25" s="186">
        <f t="shared" si="86"/>
        <v>15822.809075000001</v>
      </c>
      <c r="O25" s="187">
        <f>N25</f>
        <v>15822.809075000001</v>
      </c>
      <c r="P25" s="186">
        <f aca="true" t="shared" si="87" ref="P25:AA25">O25+P20-P23+P21</f>
        <v>16007.408514208335</v>
      </c>
      <c r="Q25" s="186">
        <f t="shared" si="87"/>
        <v>15695.3057325499</v>
      </c>
      <c r="R25" s="186">
        <f t="shared" si="87"/>
        <v>15381.38235133179</v>
      </c>
      <c r="S25" s="186">
        <f t="shared" si="87"/>
        <v>15065.627750389907</v>
      </c>
      <c r="T25" s="186">
        <f t="shared" si="87"/>
        <v>14748.031247609197</v>
      </c>
      <c r="U25" s="186">
        <f t="shared" si="87"/>
        <v>14428.582098562267</v>
      </c>
      <c r="V25" s="186">
        <f t="shared" si="87"/>
        <v>14107.269496145896</v>
      </c>
      <c r="W25" s="186">
        <f t="shared" si="87"/>
        <v>13784.08257021543</v>
      </c>
      <c r="X25" s="186">
        <f t="shared" si="87"/>
        <v>13459.010387217037</v>
      </c>
      <c r="Y25" s="186">
        <f t="shared" si="87"/>
        <v>13132.041949817818</v>
      </c>
      <c r="Z25" s="186">
        <f t="shared" si="87"/>
        <v>12803.166196533772</v>
      </c>
      <c r="AA25" s="186">
        <f t="shared" si="87"/>
        <v>12472.372001355569</v>
      </c>
      <c r="AB25" s="187">
        <f>AA25</f>
        <v>12472.372001355569</v>
      </c>
      <c r="AC25" s="186">
        <f aca="true" t="shared" si="88" ref="AC25:AN25">AB25+AC20-AC23+AC21</f>
        <v>12139.64817337216</v>
      </c>
      <c r="AD25" s="186">
        <f t="shared" si="88"/>
        <v>11804.98345639218</v>
      </c>
      <c r="AE25" s="186">
        <f t="shared" si="88"/>
        <v>11468.36652856315</v>
      </c>
      <c r="AF25" s="186">
        <f t="shared" si="88"/>
        <v>11129.786001988452</v>
      </c>
      <c r="AG25" s="186">
        <f t="shared" si="88"/>
        <v>10789.230422342067</v>
      </c>
      <c r="AH25" s="186">
        <f t="shared" si="88"/>
        <v>10446.688268481079</v>
      </c>
      <c r="AI25" s="186">
        <f t="shared" si="88"/>
        <v>10102.1479520559</v>
      </c>
      <c r="AJ25" s="186">
        <f t="shared" si="88"/>
        <v>9755.597817118243</v>
      </c>
      <c r="AK25" s="186">
        <f t="shared" si="88"/>
        <v>9407.026139726782</v>
      </c>
      <c r="AL25" s="186">
        <f t="shared" si="88"/>
        <v>9056.421127550539</v>
      </c>
      <c r="AM25" s="186">
        <f t="shared" si="88"/>
        <v>8703.770919469933</v>
      </c>
      <c r="AN25" s="186">
        <f t="shared" si="88"/>
        <v>8349.063585175523</v>
      </c>
      <c r="AO25" s="187">
        <f>AN25</f>
        <v>8349.063585175523</v>
      </c>
      <c r="AP25" s="186">
        <f aca="true" t="shared" si="89" ref="AP25:BA25">AO25+AP20-AP23+AP21</f>
        <v>7992.287124764396</v>
      </c>
      <c r="AQ25" s="186">
        <f t="shared" si="89"/>
        <v>7633.429468334204</v>
      </c>
      <c r="AR25" s="186">
        <f t="shared" si="89"/>
        <v>7272.478475574836</v>
      </c>
      <c r="AS25" s="186">
        <f t="shared" si="89"/>
        <v>6909.4219353577055</v>
      </c>
      <c r="AT25" s="186">
        <f t="shared" si="89"/>
        <v>6544.247565322641</v>
      </c>
      <c r="AU25" s="186">
        <f t="shared" si="89"/>
        <v>6176.943011462372</v>
      </c>
      <c r="AV25" s="186">
        <f t="shared" si="89"/>
        <v>5807.495847704585</v>
      </c>
      <c r="AW25" s="186">
        <f t="shared" si="89"/>
        <v>5435.893575491544</v>
      </c>
      <c r="AX25" s="186">
        <f t="shared" si="89"/>
        <v>5062.12362335726</v>
      </c>
      <c r="AY25" s="186">
        <f t="shared" si="89"/>
        <v>4686.173346502193</v>
      </c>
      <c r="AZ25" s="186">
        <f t="shared" si="89"/>
        <v>4308.030026365472</v>
      </c>
      <c r="BA25" s="186">
        <f t="shared" si="89"/>
        <v>3927.6808701946193</v>
      </c>
      <c r="BB25" s="187">
        <f>BA25</f>
        <v>3927.6808701946193</v>
      </c>
      <c r="BC25" s="186">
        <f aca="true" t="shared" si="90" ref="BC25:BN25">BB25+BC20-BC23+BC21</f>
        <v>3545.1130106127703</v>
      </c>
      <c r="BD25" s="186">
        <f t="shared" si="90"/>
        <v>3160.3135051833606</v>
      </c>
      <c r="BE25" s="186">
        <f t="shared" si="90"/>
        <v>2773.2693359722794</v>
      </c>
      <c r="BF25" s="186">
        <f t="shared" si="90"/>
        <v>2383.9674091074667</v>
      </c>
      <c r="BG25" s="186">
        <f t="shared" si="90"/>
        <v>1992.3945543359428</v>
      </c>
      <c r="BH25" s="186">
        <f t="shared" si="90"/>
        <v>1598.5375245782516</v>
      </c>
      <c r="BI25" s="186">
        <f t="shared" si="90"/>
        <v>1202.3829954803073</v>
      </c>
      <c r="BJ25" s="186">
        <f t="shared" si="90"/>
        <v>803.917564962625</v>
      </c>
      <c r="BK25" s="186">
        <f t="shared" si="90"/>
        <v>403.1277527669228</v>
      </c>
      <c r="BL25" s="186">
        <f t="shared" si="90"/>
        <v>7.906919563538395E-11</v>
      </c>
      <c r="BM25" s="186">
        <f t="shared" si="90"/>
        <v>7.906919563538395E-11</v>
      </c>
      <c r="BN25" s="186">
        <f t="shared" si="90"/>
        <v>7.906919563538395E-11</v>
      </c>
      <c r="BO25" s="187">
        <f>BN25</f>
        <v>7.906919563538395E-11</v>
      </c>
      <c r="BP25" s="186">
        <f aca="true" t="shared" si="91" ref="BP25:CA25">BO25+BP20-BP23+BP21</f>
        <v>7.906919563538395E-11</v>
      </c>
      <c r="BQ25" s="186">
        <f t="shared" si="91"/>
        <v>7.906919563538395E-11</v>
      </c>
      <c r="BR25" s="186">
        <f t="shared" si="91"/>
        <v>7.906919563538395E-11</v>
      </c>
      <c r="BS25" s="186">
        <f t="shared" si="91"/>
        <v>7.906919563538395E-11</v>
      </c>
      <c r="BT25" s="186">
        <f t="shared" si="91"/>
        <v>7.906919563538395E-11</v>
      </c>
      <c r="BU25" s="186">
        <f t="shared" si="91"/>
        <v>7.906919563538395E-11</v>
      </c>
      <c r="BV25" s="186">
        <f t="shared" si="91"/>
        <v>7.906919563538395E-11</v>
      </c>
      <c r="BW25" s="186">
        <f t="shared" si="91"/>
        <v>7.906919563538395E-11</v>
      </c>
      <c r="BX25" s="186">
        <f t="shared" si="91"/>
        <v>7.906919563538395E-11</v>
      </c>
      <c r="BY25" s="186">
        <f t="shared" si="91"/>
        <v>7.906919563538395E-11</v>
      </c>
      <c r="BZ25" s="186">
        <f t="shared" si="91"/>
        <v>7.906919563538395E-11</v>
      </c>
      <c r="CA25" s="186">
        <f t="shared" si="91"/>
        <v>7.906919563538395E-11</v>
      </c>
      <c r="CB25" s="187">
        <f>CA25</f>
        <v>7.906919563538395E-11</v>
      </c>
      <c r="CC25" s="186">
        <f aca="true" t="shared" si="92" ref="CC25:CN25">CB25+CC20-CC23+CC21</f>
        <v>7.906919563538395E-11</v>
      </c>
      <c r="CD25" s="186">
        <f t="shared" si="92"/>
        <v>7.906919563538395E-11</v>
      </c>
      <c r="CE25" s="186">
        <f t="shared" si="92"/>
        <v>7.906919563538395E-11</v>
      </c>
      <c r="CF25" s="186">
        <f t="shared" si="92"/>
        <v>7.906919563538395E-11</v>
      </c>
      <c r="CG25" s="186">
        <f t="shared" si="92"/>
        <v>7.906919563538395E-11</v>
      </c>
      <c r="CH25" s="186">
        <f t="shared" si="92"/>
        <v>7.906919563538395E-11</v>
      </c>
      <c r="CI25" s="186">
        <f t="shared" si="92"/>
        <v>7.906919563538395E-11</v>
      </c>
      <c r="CJ25" s="186">
        <f t="shared" si="92"/>
        <v>7.906919563538395E-11</v>
      </c>
      <c r="CK25" s="186">
        <f t="shared" si="92"/>
        <v>7.906919563538395E-11</v>
      </c>
      <c r="CL25" s="186">
        <f t="shared" si="92"/>
        <v>7.906919563538395E-11</v>
      </c>
      <c r="CM25" s="186">
        <f t="shared" si="92"/>
        <v>7.906919563538395E-11</v>
      </c>
      <c r="CN25" s="186">
        <f t="shared" si="92"/>
        <v>7.906919563538395E-11</v>
      </c>
      <c r="CO25" s="187">
        <f>CN25</f>
        <v>7.906919563538395E-11</v>
      </c>
      <c r="CP25" s="186">
        <f aca="true" t="shared" si="93" ref="CP25:DA25">CO25+CP20-CP23+CP21</f>
        <v>7.906919563538395E-11</v>
      </c>
      <c r="CQ25" s="186">
        <f t="shared" si="93"/>
        <v>7.906919563538395E-11</v>
      </c>
      <c r="CR25" s="186">
        <f t="shared" si="93"/>
        <v>7.906919563538395E-11</v>
      </c>
      <c r="CS25" s="186">
        <f t="shared" si="93"/>
        <v>7.906919563538395E-11</v>
      </c>
      <c r="CT25" s="186">
        <f t="shared" si="93"/>
        <v>7.906919563538395E-11</v>
      </c>
      <c r="CU25" s="186">
        <f t="shared" si="93"/>
        <v>7.906919563538395E-11</v>
      </c>
      <c r="CV25" s="186">
        <f t="shared" si="93"/>
        <v>7.906919563538395E-11</v>
      </c>
      <c r="CW25" s="186">
        <f t="shared" si="93"/>
        <v>7.906919563538395E-11</v>
      </c>
      <c r="CX25" s="186">
        <f t="shared" si="93"/>
        <v>7.906919563538395E-11</v>
      </c>
      <c r="CY25" s="186">
        <f t="shared" si="93"/>
        <v>7.906919563538395E-11</v>
      </c>
      <c r="CZ25" s="186">
        <f t="shared" si="93"/>
        <v>7.906919563538395E-11</v>
      </c>
      <c r="DA25" s="186">
        <f t="shared" si="93"/>
        <v>7.906919563538395E-11</v>
      </c>
      <c r="DB25" s="187">
        <f>DA25</f>
        <v>7.906919563538395E-11</v>
      </c>
      <c r="DC25" s="186">
        <f aca="true" t="shared" si="94" ref="DC25:DN25">DB25+DC20-DC23+DC21</f>
        <v>7.906919563538395E-11</v>
      </c>
      <c r="DD25" s="186">
        <f t="shared" si="94"/>
        <v>7.906919563538395E-11</v>
      </c>
      <c r="DE25" s="186">
        <f t="shared" si="94"/>
        <v>7.906919563538395E-11</v>
      </c>
      <c r="DF25" s="186">
        <f t="shared" si="94"/>
        <v>7.906919563538395E-11</v>
      </c>
      <c r="DG25" s="186">
        <f t="shared" si="94"/>
        <v>7.906919563538395E-11</v>
      </c>
      <c r="DH25" s="186">
        <f t="shared" si="94"/>
        <v>7.906919563538395E-11</v>
      </c>
      <c r="DI25" s="186">
        <f t="shared" si="94"/>
        <v>7.906919563538395E-11</v>
      </c>
      <c r="DJ25" s="186">
        <f t="shared" si="94"/>
        <v>7.906919563538395E-11</v>
      </c>
      <c r="DK25" s="186">
        <f t="shared" si="94"/>
        <v>7.906919563538395E-11</v>
      </c>
      <c r="DL25" s="186">
        <f t="shared" si="94"/>
        <v>7.906919563538395E-11</v>
      </c>
      <c r="DM25" s="186">
        <f t="shared" si="94"/>
        <v>7.906919563538395E-11</v>
      </c>
      <c r="DN25" s="186">
        <f t="shared" si="94"/>
        <v>7.906919563538395E-11</v>
      </c>
      <c r="DO25" s="187">
        <f>DN25</f>
        <v>7.906919563538395E-11</v>
      </c>
    </row>
    <row r="26" spans="1:119" ht="12.75">
      <c r="A26" s="172" t="s">
        <v>70</v>
      </c>
      <c r="B26" s="281">
        <f>B13</f>
        <v>45</v>
      </c>
      <c r="CP26" s="175"/>
      <c r="DB26" s="172"/>
      <c r="DO26" s="172"/>
    </row>
    <row r="27" spans="1:119" ht="12.75">
      <c r="A27" s="282" t="s">
        <v>208</v>
      </c>
      <c r="B27" s="283">
        <f>$P$25*$B18/12/((1-(1+$B18/12)^-$B26))</f>
        <v>405.4793313246508</v>
      </c>
      <c r="DB27" s="172"/>
      <c r="DO27" s="172"/>
    </row>
    <row r="29" ht="12.75">
      <c r="A29" s="193">
        <f>B22-B21-B24</f>
        <v>0</v>
      </c>
    </row>
    <row r="30" ht="12.75">
      <c r="A30" s="193">
        <f>B20+B21-B23-B25</f>
        <v>-2.6716406864579767E-12</v>
      </c>
    </row>
    <row r="32" spans="1:119" ht="12.75">
      <c r="A32" s="280" t="s">
        <v>209</v>
      </c>
      <c r="B32" s="278"/>
      <c r="DB32" s="172"/>
      <c r="DO32" s="172"/>
    </row>
    <row r="33" spans="1:119" ht="15.75" customHeight="1">
      <c r="A33" s="179" t="s">
        <v>9</v>
      </c>
      <c r="B33" s="279">
        <f>Исх!$C$37</f>
        <v>0.07</v>
      </c>
      <c r="C33" s="355">
        <v>2013</v>
      </c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>
        <v>2014</v>
      </c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  <c r="AC33" s="355">
        <v>2015</v>
      </c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>
        <v>2016</v>
      </c>
      <c r="AQ33" s="355"/>
      <c r="AR33" s="355"/>
      <c r="AS33" s="355"/>
      <c r="AT33" s="355"/>
      <c r="AU33" s="355"/>
      <c r="AV33" s="355"/>
      <c r="AW33" s="355"/>
      <c r="AX33" s="355"/>
      <c r="AY33" s="355"/>
      <c r="AZ33" s="355"/>
      <c r="BA33" s="355"/>
      <c r="BB33" s="355"/>
      <c r="BC33" s="355">
        <v>2017</v>
      </c>
      <c r="BD33" s="355"/>
      <c r="BE33" s="355"/>
      <c r="BF33" s="355"/>
      <c r="BG33" s="355"/>
      <c r="BH33" s="355"/>
      <c r="BI33" s="355"/>
      <c r="BJ33" s="355"/>
      <c r="BK33" s="355"/>
      <c r="BL33" s="355"/>
      <c r="BM33" s="355"/>
      <c r="BN33" s="355"/>
      <c r="BO33" s="355"/>
      <c r="BP33" s="355">
        <v>2018</v>
      </c>
      <c r="BQ33" s="355"/>
      <c r="BR33" s="355"/>
      <c r="BS33" s="355"/>
      <c r="BT33" s="355"/>
      <c r="BU33" s="355"/>
      <c r="BV33" s="355"/>
      <c r="BW33" s="355"/>
      <c r="BX33" s="355"/>
      <c r="BY33" s="355"/>
      <c r="BZ33" s="355"/>
      <c r="CA33" s="355"/>
      <c r="CB33" s="355"/>
      <c r="CC33" s="355">
        <v>2019</v>
      </c>
      <c r="CD33" s="355"/>
      <c r="CE33" s="355"/>
      <c r="CF33" s="355"/>
      <c r="CG33" s="355"/>
      <c r="CH33" s="355"/>
      <c r="CI33" s="355"/>
      <c r="CJ33" s="355"/>
      <c r="CK33" s="355"/>
      <c r="CL33" s="355"/>
      <c r="CM33" s="355"/>
      <c r="CN33" s="355"/>
      <c r="CO33" s="355"/>
      <c r="CP33" s="355">
        <v>2020</v>
      </c>
      <c r="CQ33" s="355"/>
      <c r="CR33" s="355"/>
      <c r="CS33" s="355"/>
      <c r="CT33" s="355"/>
      <c r="CU33" s="355"/>
      <c r="CV33" s="355"/>
      <c r="CW33" s="355"/>
      <c r="CX33" s="355"/>
      <c r="CY33" s="355"/>
      <c r="CZ33" s="355"/>
      <c r="DA33" s="355"/>
      <c r="DB33" s="355"/>
      <c r="DC33" s="355">
        <v>2021</v>
      </c>
      <c r="DD33" s="355"/>
      <c r="DE33" s="355"/>
      <c r="DF33" s="355"/>
      <c r="DG33" s="355"/>
      <c r="DH33" s="355"/>
      <c r="DI33" s="355"/>
      <c r="DJ33" s="355"/>
      <c r="DK33" s="355"/>
      <c r="DL33" s="355"/>
      <c r="DM33" s="355"/>
      <c r="DN33" s="355"/>
      <c r="DO33" s="355"/>
    </row>
    <row r="34" spans="1:119" s="184" customFormat="1" ht="15" customHeight="1">
      <c r="A34" s="180" t="s">
        <v>7</v>
      </c>
      <c r="B34" s="181" t="s">
        <v>80</v>
      </c>
      <c r="C34" s="182">
        <v>1</v>
      </c>
      <c r="D34" s="182">
        <v>2</v>
      </c>
      <c r="E34" s="182">
        <f aca="true" t="shared" si="95" ref="E34:N34">D34+1</f>
        <v>3</v>
      </c>
      <c r="F34" s="182">
        <f t="shared" si="95"/>
        <v>4</v>
      </c>
      <c r="G34" s="182">
        <f t="shared" si="95"/>
        <v>5</v>
      </c>
      <c r="H34" s="182">
        <f t="shared" si="95"/>
        <v>6</v>
      </c>
      <c r="I34" s="182">
        <f t="shared" si="95"/>
        <v>7</v>
      </c>
      <c r="J34" s="182">
        <f t="shared" si="95"/>
        <v>8</v>
      </c>
      <c r="K34" s="182">
        <f t="shared" si="95"/>
        <v>9</v>
      </c>
      <c r="L34" s="182">
        <f t="shared" si="95"/>
        <v>10</v>
      </c>
      <c r="M34" s="182">
        <f t="shared" si="95"/>
        <v>11</v>
      </c>
      <c r="N34" s="182">
        <f t="shared" si="95"/>
        <v>12</v>
      </c>
      <c r="O34" s="183">
        <f>O18</f>
        <v>0</v>
      </c>
      <c r="P34" s="182">
        <v>1</v>
      </c>
      <c r="Q34" s="182">
        <v>2</v>
      </c>
      <c r="R34" s="182">
        <f aca="true" t="shared" si="96" ref="R34:AA34">Q34+1</f>
        <v>3</v>
      </c>
      <c r="S34" s="182">
        <f t="shared" si="96"/>
        <v>4</v>
      </c>
      <c r="T34" s="182">
        <f t="shared" si="96"/>
        <v>5</v>
      </c>
      <c r="U34" s="182">
        <f t="shared" si="96"/>
        <v>6</v>
      </c>
      <c r="V34" s="182">
        <f t="shared" si="96"/>
        <v>7</v>
      </c>
      <c r="W34" s="182">
        <f t="shared" si="96"/>
        <v>8</v>
      </c>
      <c r="X34" s="182">
        <f t="shared" si="96"/>
        <v>9</v>
      </c>
      <c r="Y34" s="182">
        <f t="shared" si="96"/>
        <v>10</v>
      </c>
      <c r="Z34" s="182">
        <f t="shared" si="96"/>
        <v>11</v>
      </c>
      <c r="AA34" s="182">
        <f t="shared" si="96"/>
        <v>12</v>
      </c>
      <c r="AB34" s="183">
        <f>AB18</f>
        <v>0</v>
      </c>
      <c r="AC34" s="182">
        <v>1</v>
      </c>
      <c r="AD34" s="182">
        <v>2</v>
      </c>
      <c r="AE34" s="182">
        <f aca="true" t="shared" si="97" ref="AE34:AN34">AD34+1</f>
        <v>3</v>
      </c>
      <c r="AF34" s="182">
        <f t="shared" si="97"/>
        <v>4</v>
      </c>
      <c r="AG34" s="182">
        <f t="shared" si="97"/>
        <v>5</v>
      </c>
      <c r="AH34" s="182">
        <f t="shared" si="97"/>
        <v>6</v>
      </c>
      <c r="AI34" s="182">
        <f t="shared" si="97"/>
        <v>7</v>
      </c>
      <c r="AJ34" s="182">
        <f t="shared" si="97"/>
        <v>8</v>
      </c>
      <c r="AK34" s="182">
        <f t="shared" si="97"/>
        <v>9</v>
      </c>
      <c r="AL34" s="182">
        <f t="shared" si="97"/>
        <v>10</v>
      </c>
      <c r="AM34" s="182">
        <f t="shared" si="97"/>
        <v>11</v>
      </c>
      <c r="AN34" s="182">
        <f t="shared" si="97"/>
        <v>12</v>
      </c>
      <c r="AO34" s="183">
        <f>AO18</f>
        <v>0</v>
      </c>
      <c r="AP34" s="182">
        <v>1</v>
      </c>
      <c r="AQ34" s="182">
        <v>2</v>
      </c>
      <c r="AR34" s="182">
        <f aca="true" t="shared" si="98" ref="AR34:BA34">AQ34+1</f>
        <v>3</v>
      </c>
      <c r="AS34" s="182">
        <f t="shared" si="98"/>
        <v>4</v>
      </c>
      <c r="AT34" s="182">
        <f t="shared" si="98"/>
        <v>5</v>
      </c>
      <c r="AU34" s="182">
        <f t="shared" si="98"/>
        <v>6</v>
      </c>
      <c r="AV34" s="182">
        <f t="shared" si="98"/>
        <v>7</v>
      </c>
      <c r="AW34" s="182">
        <f t="shared" si="98"/>
        <v>8</v>
      </c>
      <c r="AX34" s="182">
        <f t="shared" si="98"/>
        <v>9</v>
      </c>
      <c r="AY34" s="182">
        <f t="shared" si="98"/>
        <v>10</v>
      </c>
      <c r="AZ34" s="182">
        <f t="shared" si="98"/>
        <v>11</v>
      </c>
      <c r="BA34" s="182">
        <f t="shared" si="98"/>
        <v>12</v>
      </c>
      <c r="BB34" s="183">
        <f>BB18</f>
        <v>0</v>
      </c>
      <c r="BC34" s="182">
        <v>1</v>
      </c>
      <c r="BD34" s="182">
        <v>2</v>
      </c>
      <c r="BE34" s="182">
        <f aca="true" t="shared" si="99" ref="BE34:BN34">BD34+1</f>
        <v>3</v>
      </c>
      <c r="BF34" s="182">
        <f t="shared" si="99"/>
        <v>4</v>
      </c>
      <c r="BG34" s="182">
        <f t="shared" si="99"/>
        <v>5</v>
      </c>
      <c r="BH34" s="182">
        <f t="shared" si="99"/>
        <v>6</v>
      </c>
      <c r="BI34" s="182">
        <f t="shared" si="99"/>
        <v>7</v>
      </c>
      <c r="BJ34" s="182">
        <f t="shared" si="99"/>
        <v>8</v>
      </c>
      <c r="BK34" s="182">
        <f t="shared" si="99"/>
        <v>9</v>
      </c>
      <c r="BL34" s="182">
        <f t="shared" si="99"/>
        <v>10</v>
      </c>
      <c r="BM34" s="182">
        <f t="shared" si="99"/>
        <v>11</v>
      </c>
      <c r="BN34" s="182">
        <f t="shared" si="99"/>
        <v>12</v>
      </c>
      <c r="BO34" s="183">
        <f>BO18</f>
        <v>0</v>
      </c>
      <c r="BP34" s="182">
        <v>1</v>
      </c>
      <c r="BQ34" s="182">
        <v>2</v>
      </c>
      <c r="BR34" s="182">
        <f aca="true" t="shared" si="100" ref="BR34:CA34">BQ34+1</f>
        <v>3</v>
      </c>
      <c r="BS34" s="182">
        <f t="shared" si="100"/>
        <v>4</v>
      </c>
      <c r="BT34" s="182">
        <f t="shared" si="100"/>
        <v>5</v>
      </c>
      <c r="BU34" s="182">
        <f t="shared" si="100"/>
        <v>6</v>
      </c>
      <c r="BV34" s="182">
        <f t="shared" si="100"/>
        <v>7</v>
      </c>
      <c r="BW34" s="182">
        <f t="shared" si="100"/>
        <v>8</v>
      </c>
      <c r="BX34" s="182">
        <f t="shared" si="100"/>
        <v>9</v>
      </c>
      <c r="BY34" s="182">
        <f t="shared" si="100"/>
        <v>10</v>
      </c>
      <c r="BZ34" s="182">
        <f t="shared" si="100"/>
        <v>11</v>
      </c>
      <c r="CA34" s="182">
        <f t="shared" si="100"/>
        <v>12</v>
      </c>
      <c r="CB34" s="183">
        <f>CB18</f>
        <v>0</v>
      </c>
      <c r="CC34" s="182">
        <v>1</v>
      </c>
      <c r="CD34" s="182">
        <v>2</v>
      </c>
      <c r="CE34" s="182">
        <f aca="true" t="shared" si="101" ref="CE34:CN34">CD34+1</f>
        <v>3</v>
      </c>
      <c r="CF34" s="182">
        <f t="shared" si="101"/>
        <v>4</v>
      </c>
      <c r="CG34" s="182">
        <f t="shared" si="101"/>
        <v>5</v>
      </c>
      <c r="CH34" s="182">
        <f t="shared" si="101"/>
        <v>6</v>
      </c>
      <c r="CI34" s="182">
        <f t="shared" si="101"/>
        <v>7</v>
      </c>
      <c r="CJ34" s="182">
        <f t="shared" si="101"/>
        <v>8</v>
      </c>
      <c r="CK34" s="182">
        <f t="shared" si="101"/>
        <v>9</v>
      </c>
      <c r="CL34" s="182">
        <f t="shared" si="101"/>
        <v>10</v>
      </c>
      <c r="CM34" s="182">
        <f t="shared" si="101"/>
        <v>11</v>
      </c>
      <c r="CN34" s="182">
        <f t="shared" si="101"/>
        <v>12</v>
      </c>
      <c r="CO34" s="183">
        <f>CO18</f>
        <v>0</v>
      </c>
      <c r="CP34" s="182">
        <v>1</v>
      </c>
      <c r="CQ34" s="182">
        <f aca="true" t="shared" si="102" ref="CQ34:DA34">CP34+1</f>
        <v>2</v>
      </c>
      <c r="CR34" s="182">
        <f t="shared" si="102"/>
        <v>3</v>
      </c>
      <c r="CS34" s="182">
        <f t="shared" si="102"/>
        <v>4</v>
      </c>
      <c r="CT34" s="182">
        <f t="shared" si="102"/>
        <v>5</v>
      </c>
      <c r="CU34" s="182">
        <f t="shared" si="102"/>
        <v>6</v>
      </c>
      <c r="CV34" s="182">
        <f t="shared" si="102"/>
        <v>7</v>
      </c>
      <c r="CW34" s="182">
        <f t="shared" si="102"/>
        <v>8</v>
      </c>
      <c r="CX34" s="182">
        <f t="shared" si="102"/>
        <v>9</v>
      </c>
      <c r="CY34" s="182">
        <f t="shared" si="102"/>
        <v>10</v>
      </c>
      <c r="CZ34" s="182">
        <f t="shared" si="102"/>
        <v>11</v>
      </c>
      <c r="DA34" s="182">
        <f t="shared" si="102"/>
        <v>12</v>
      </c>
      <c r="DB34" s="183">
        <f>DB18</f>
        <v>0</v>
      </c>
      <c r="DC34" s="182">
        <v>1</v>
      </c>
      <c r="DD34" s="182">
        <f aca="true" t="shared" si="103" ref="DD34:DN34">DC34+1</f>
        <v>2</v>
      </c>
      <c r="DE34" s="182">
        <f t="shared" si="103"/>
        <v>3</v>
      </c>
      <c r="DF34" s="182">
        <f t="shared" si="103"/>
        <v>4</v>
      </c>
      <c r="DG34" s="182">
        <f t="shared" si="103"/>
        <v>5</v>
      </c>
      <c r="DH34" s="182">
        <f t="shared" si="103"/>
        <v>6</v>
      </c>
      <c r="DI34" s="182">
        <f t="shared" si="103"/>
        <v>7</v>
      </c>
      <c r="DJ34" s="182">
        <f t="shared" si="103"/>
        <v>8</v>
      </c>
      <c r="DK34" s="182">
        <f t="shared" si="103"/>
        <v>9</v>
      </c>
      <c r="DL34" s="182">
        <f t="shared" si="103"/>
        <v>10</v>
      </c>
      <c r="DM34" s="182">
        <f t="shared" si="103"/>
        <v>11</v>
      </c>
      <c r="DN34" s="182">
        <f t="shared" si="103"/>
        <v>12</v>
      </c>
      <c r="DO34" s="183" t="s">
        <v>0</v>
      </c>
    </row>
    <row r="35" spans="1:119" ht="12.75">
      <c r="A35" s="180" t="s">
        <v>98</v>
      </c>
      <c r="B35" s="185">
        <f>O35+AB35+AO35+BB35+BO35+CB35+CO35+DB35+DO35</f>
        <v>0</v>
      </c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7">
        <f>SUM(C35:N35)</f>
        <v>0</v>
      </c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>
        <f>SUM(P35:AA35)</f>
        <v>0</v>
      </c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>
        <f>SUM(AC35:AN35)</f>
        <v>0</v>
      </c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6"/>
      <c r="BP35" s="186"/>
      <c r="BQ35" s="186"/>
      <c r="BR35" s="186"/>
      <c r="BS35" s="186"/>
      <c r="BT35" s="186"/>
      <c r="BU35" s="186"/>
      <c r="BV35" s="186"/>
      <c r="BW35" s="186"/>
      <c r="BX35" s="186"/>
      <c r="BY35" s="186"/>
      <c r="BZ35" s="186"/>
      <c r="CA35" s="186"/>
      <c r="CB35" s="186"/>
      <c r="CC35" s="186"/>
      <c r="CD35" s="186"/>
      <c r="CE35" s="186"/>
      <c r="CF35" s="186"/>
      <c r="CG35" s="186"/>
      <c r="CH35" s="186"/>
      <c r="CI35" s="186"/>
      <c r="CJ35" s="186"/>
      <c r="CK35" s="186"/>
      <c r="CL35" s="186"/>
      <c r="CM35" s="186"/>
      <c r="CN35" s="186"/>
      <c r="CO35" s="186"/>
      <c r="CP35" s="186"/>
      <c r="CQ35" s="186"/>
      <c r="CR35" s="186"/>
      <c r="CS35" s="186"/>
      <c r="CT35" s="186"/>
      <c r="CU35" s="186"/>
      <c r="CV35" s="186"/>
      <c r="CW35" s="186"/>
      <c r="CX35" s="186"/>
      <c r="CY35" s="186"/>
      <c r="CZ35" s="186"/>
      <c r="DA35" s="186"/>
      <c r="DB35" s="186"/>
      <c r="DC35" s="186"/>
      <c r="DD35" s="186"/>
      <c r="DE35" s="186"/>
      <c r="DF35" s="186"/>
      <c r="DG35" s="186"/>
      <c r="DH35" s="186"/>
      <c r="DI35" s="186"/>
      <c r="DJ35" s="186"/>
      <c r="DK35" s="186"/>
      <c r="DL35" s="186"/>
      <c r="DM35" s="186"/>
      <c r="DN35" s="186"/>
      <c r="DO35" s="186"/>
    </row>
    <row r="36" spans="1:119" s="189" customFormat="1" ht="20.25" customHeight="1">
      <c r="A36" s="180" t="s">
        <v>27</v>
      </c>
      <c r="B36" s="185">
        <f>O36+AB36+AO36+BB36+BO36+CB36+CO36+DB36+DO36</f>
        <v>0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7">
        <f>SUM(C36:N36)</f>
        <v>0</v>
      </c>
      <c r="P36" s="186"/>
      <c r="Q36" s="186"/>
      <c r="R36" s="186">
        <f>SUM(O37:R37)</f>
        <v>0</v>
      </c>
      <c r="S36" s="186"/>
      <c r="T36" s="186"/>
      <c r="U36" s="186"/>
      <c r="V36" s="186"/>
      <c r="W36" s="186"/>
      <c r="X36" s="186"/>
      <c r="Y36" s="186"/>
      <c r="Z36" s="186"/>
      <c r="AA36" s="186"/>
      <c r="AB36" s="187">
        <f>SUM(P36:AA36)</f>
        <v>0</v>
      </c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7">
        <f>SUM(AC36:AN36)</f>
        <v>0</v>
      </c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7">
        <f>SUM(AP36:BA36)</f>
        <v>0</v>
      </c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7">
        <f>SUM(BC36:BN36)</f>
        <v>0</v>
      </c>
      <c r="BP36" s="186"/>
      <c r="BQ36" s="186"/>
      <c r="BR36" s="186"/>
      <c r="BS36" s="186"/>
      <c r="BT36" s="186"/>
      <c r="BU36" s="186"/>
      <c r="BV36" s="186"/>
      <c r="BW36" s="186"/>
      <c r="BX36" s="186"/>
      <c r="BY36" s="186"/>
      <c r="BZ36" s="186"/>
      <c r="CA36" s="186"/>
      <c r="CB36" s="187">
        <f>SUM(BP36:CA36)</f>
        <v>0</v>
      </c>
      <c r="CC36" s="186"/>
      <c r="CD36" s="186"/>
      <c r="CE36" s="186"/>
      <c r="CF36" s="186"/>
      <c r="CG36" s="186"/>
      <c r="CH36" s="186"/>
      <c r="CI36" s="186"/>
      <c r="CJ36" s="186"/>
      <c r="CK36" s="186"/>
      <c r="CL36" s="186"/>
      <c r="CM36" s="186"/>
      <c r="CN36" s="186"/>
      <c r="CO36" s="187">
        <f>SUM(CC36:CN36)</f>
        <v>0</v>
      </c>
      <c r="CP36" s="186"/>
      <c r="CQ36" s="186"/>
      <c r="CR36" s="186"/>
      <c r="CS36" s="186"/>
      <c r="CT36" s="186"/>
      <c r="CU36" s="186"/>
      <c r="CV36" s="186"/>
      <c r="CW36" s="186"/>
      <c r="CX36" s="186"/>
      <c r="CY36" s="186"/>
      <c r="CZ36" s="186"/>
      <c r="DA36" s="186"/>
      <c r="DB36" s="187">
        <f>SUM(CP36:DA36)</f>
        <v>0</v>
      </c>
      <c r="DC36" s="186"/>
      <c r="DD36" s="186"/>
      <c r="DE36" s="186"/>
      <c r="DF36" s="186"/>
      <c r="DG36" s="186"/>
      <c r="DH36" s="186"/>
      <c r="DI36" s="186"/>
      <c r="DJ36" s="186"/>
      <c r="DK36" s="186"/>
      <c r="DL36" s="186"/>
      <c r="DM36" s="186"/>
      <c r="DN36" s="186"/>
      <c r="DO36" s="187">
        <f>SUM(DC36:DN36)</f>
        <v>0</v>
      </c>
    </row>
    <row r="37" spans="1:119" s="189" customFormat="1" ht="12.75">
      <c r="A37" s="190" t="s">
        <v>10</v>
      </c>
      <c r="B37" s="185">
        <f>O37+AB37+AO37+BB37+BO37+CB37+CO37+DB37+DO37</f>
        <v>0</v>
      </c>
      <c r="C37" s="186"/>
      <c r="D37" s="186">
        <f aca="true" t="shared" si="104" ref="D37:N37">C40*$B33/12</f>
        <v>0</v>
      </c>
      <c r="E37" s="186">
        <f t="shared" si="104"/>
        <v>0</v>
      </c>
      <c r="F37" s="186">
        <f t="shared" si="104"/>
        <v>0</v>
      </c>
      <c r="G37" s="186">
        <f t="shared" si="104"/>
        <v>0</v>
      </c>
      <c r="H37" s="186">
        <f t="shared" si="104"/>
        <v>0</v>
      </c>
      <c r="I37" s="186">
        <f t="shared" si="104"/>
        <v>0</v>
      </c>
      <c r="J37" s="186">
        <f t="shared" si="104"/>
        <v>0</v>
      </c>
      <c r="K37" s="186">
        <f t="shared" si="104"/>
        <v>0</v>
      </c>
      <c r="L37" s="186">
        <f t="shared" si="104"/>
        <v>0</v>
      </c>
      <c r="M37" s="186">
        <f t="shared" si="104"/>
        <v>0</v>
      </c>
      <c r="N37" s="186">
        <f t="shared" si="104"/>
        <v>0</v>
      </c>
      <c r="O37" s="187">
        <f>SUM(C37:N37)</f>
        <v>0</v>
      </c>
      <c r="P37" s="186">
        <f aca="true" t="shared" si="105" ref="P37:AA37">O40*$B33/12</f>
        <v>0</v>
      </c>
      <c r="Q37" s="186">
        <f t="shared" si="105"/>
        <v>0</v>
      </c>
      <c r="R37" s="186">
        <f t="shared" si="105"/>
        <v>0</v>
      </c>
      <c r="S37" s="186">
        <f t="shared" si="105"/>
        <v>0</v>
      </c>
      <c r="T37" s="186">
        <f t="shared" si="105"/>
        <v>0</v>
      </c>
      <c r="U37" s="186">
        <f t="shared" si="105"/>
        <v>0</v>
      </c>
      <c r="V37" s="186">
        <f t="shared" si="105"/>
        <v>0</v>
      </c>
      <c r="W37" s="186">
        <f t="shared" si="105"/>
        <v>0</v>
      </c>
      <c r="X37" s="186">
        <f t="shared" si="105"/>
        <v>0</v>
      </c>
      <c r="Y37" s="186">
        <f t="shared" si="105"/>
        <v>0</v>
      </c>
      <c r="Z37" s="186">
        <f t="shared" si="105"/>
        <v>0</v>
      </c>
      <c r="AA37" s="186">
        <f t="shared" si="105"/>
        <v>0</v>
      </c>
      <c r="AB37" s="187">
        <f>SUM(P37:AA37)</f>
        <v>0</v>
      </c>
      <c r="AC37" s="186">
        <f aca="true" t="shared" si="106" ref="AC37:AN37">AB40*$B33/12</f>
        <v>0</v>
      </c>
      <c r="AD37" s="186">
        <f t="shared" si="106"/>
        <v>0</v>
      </c>
      <c r="AE37" s="186">
        <f t="shared" si="106"/>
        <v>0</v>
      </c>
      <c r="AF37" s="186">
        <f t="shared" si="106"/>
        <v>0</v>
      </c>
      <c r="AG37" s="186">
        <f t="shared" si="106"/>
        <v>0</v>
      </c>
      <c r="AH37" s="186">
        <f t="shared" si="106"/>
        <v>0</v>
      </c>
      <c r="AI37" s="186">
        <f t="shared" si="106"/>
        <v>0</v>
      </c>
      <c r="AJ37" s="186">
        <f t="shared" si="106"/>
        <v>0</v>
      </c>
      <c r="AK37" s="186">
        <f t="shared" si="106"/>
        <v>0</v>
      </c>
      <c r="AL37" s="186">
        <f t="shared" si="106"/>
        <v>0</v>
      </c>
      <c r="AM37" s="186">
        <f t="shared" si="106"/>
        <v>0</v>
      </c>
      <c r="AN37" s="186">
        <f t="shared" si="106"/>
        <v>0</v>
      </c>
      <c r="AO37" s="187">
        <f>SUM(AC37:AN37)</f>
        <v>0</v>
      </c>
      <c r="AP37" s="186">
        <f aca="true" t="shared" si="107" ref="AP37:BA37">AO40*$B33/12</f>
        <v>0</v>
      </c>
      <c r="AQ37" s="186">
        <f t="shared" si="107"/>
        <v>0</v>
      </c>
      <c r="AR37" s="186">
        <f t="shared" si="107"/>
        <v>0</v>
      </c>
      <c r="AS37" s="186">
        <f t="shared" si="107"/>
        <v>0</v>
      </c>
      <c r="AT37" s="186">
        <f t="shared" si="107"/>
        <v>0</v>
      </c>
      <c r="AU37" s="186">
        <f t="shared" si="107"/>
        <v>0</v>
      </c>
      <c r="AV37" s="186">
        <f t="shared" si="107"/>
        <v>0</v>
      </c>
      <c r="AW37" s="186">
        <f t="shared" si="107"/>
        <v>0</v>
      </c>
      <c r="AX37" s="186">
        <f t="shared" si="107"/>
        <v>0</v>
      </c>
      <c r="AY37" s="186">
        <f t="shared" si="107"/>
        <v>0</v>
      </c>
      <c r="AZ37" s="186">
        <f t="shared" si="107"/>
        <v>0</v>
      </c>
      <c r="BA37" s="186">
        <f t="shared" si="107"/>
        <v>0</v>
      </c>
      <c r="BB37" s="187">
        <f>SUM(AP37:BA37)</f>
        <v>0</v>
      </c>
      <c r="BC37" s="186">
        <f aca="true" t="shared" si="108" ref="BC37:BN37">BB40*$B33/12</f>
        <v>0</v>
      </c>
      <c r="BD37" s="186">
        <f t="shared" si="108"/>
        <v>0</v>
      </c>
      <c r="BE37" s="186">
        <f t="shared" si="108"/>
        <v>0</v>
      </c>
      <c r="BF37" s="186">
        <f t="shared" si="108"/>
        <v>0</v>
      </c>
      <c r="BG37" s="186">
        <f t="shared" si="108"/>
        <v>0</v>
      </c>
      <c r="BH37" s="186">
        <f t="shared" si="108"/>
        <v>0</v>
      </c>
      <c r="BI37" s="186">
        <f t="shared" si="108"/>
        <v>0</v>
      </c>
      <c r="BJ37" s="186">
        <f t="shared" si="108"/>
        <v>0</v>
      </c>
      <c r="BK37" s="186">
        <f t="shared" si="108"/>
        <v>0</v>
      </c>
      <c r="BL37" s="186">
        <f t="shared" si="108"/>
        <v>0</v>
      </c>
      <c r="BM37" s="186">
        <f t="shared" si="108"/>
        <v>0</v>
      </c>
      <c r="BN37" s="186">
        <f t="shared" si="108"/>
        <v>0</v>
      </c>
      <c r="BO37" s="187">
        <f>SUM(BC37:BN37)</f>
        <v>0</v>
      </c>
      <c r="BP37" s="186">
        <f aca="true" t="shared" si="109" ref="BP37:CA37">BO40*$B33/12</f>
        <v>0</v>
      </c>
      <c r="BQ37" s="186">
        <f t="shared" si="109"/>
        <v>0</v>
      </c>
      <c r="BR37" s="186">
        <f t="shared" si="109"/>
        <v>0</v>
      </c>
      <c r="BS37" s="186">
        <f t="shared" si="109"/>
        <v>0</v>
      </c>
      <c r="BT37" s="186">
        <f t="shared" si="109"/>
        <v>0</v>
      </c>
      <c r="BU37" s="186">
        <f t="shared" si="109"/>
        <v>0</v>
      </c>
      <c r="BV37" s="186">
        <f t="shared" si="109"/>
        <v>0</v>
      </c>
      <c r="BW37" s="186">
        <f t="shared" si="109"/>
        <v>0</v>
      </c>
      <c r="BX37" s="186">
        <f t="shared" si="109"/>
        <v>0</v>
      </c>
      <c r="BY37" s="186">
        <f t="shared" si="109"/>
        <v>0</v>
      </c>
      <c r="BZ37" s="186">
        <f t="shared" si="109"/>
        <v>0</v>
      </c>
      <c r="CA37" s="186">
        <f t="shared" si="109"/>
        <v>0</v>
      </c>
      <c r="CB37" s="187">
        <f>SUM(BP37:CA37)</f>
        <v>0</v>
      </c>
      <c r="CC37" s="186">
        <f aca="true" t="shared" si="110" ref="CC37:CN37">CB40*$B33/12</f>
        <v>0</v>
      </c>
      <c r="CD37" s="186">
        <f t="shared" si="110"/>
        <v>0</v>
      </c>
      <c r="CE37" s="186">
        <f t="shared" si="110"/>
        <v>0</v>
      </c>
      <c r="CF37" s="186">
        <f t="shared" si="110"/>
        <v>0</v>
      </c>
      <c r="CG37" s="186">
        <f t="shared" si="110"/>
        <v>0</v>
      </c>
      <c r="CH37" s="186">
        <f t="shared" si="110"/>
        <v>0</v>
      </c>
      <c r="CI37" s="186">
        <f t="shared" si="110"/>
        <v>0</v>
      </c>
      <c r="CJ37" s="186">
        <f t="shared" si="110"/>
        <v>0</v>
      </c>
      <c r="CK37" s="186">
        <f t="shared" si="110"/>
        <v>0</v>
      </c>
      <c r="CL37" s="186">
        <f t="shared" si="110"/>
        <v>0</v>
      </c>
      <c r="CM37" s="186">
        <f t="shared" si="110"/>
        <v>0</v>
      </c>
      <c r="CN37" s="186">
        <f t="shared" si="110"/>
        <v>0</v>
      </c>
      <c r="CO37" s="187">
        <f>SUM(CC37:CN37)</f>
        <v>0</v>
      </c>
      <c r="CP37" s="186">
        <f aca="true" t="shared" si="111" ref="CP37:DA37">CO40*$B33/12</f>
        <v>0</v>
      </c>
      <c r="CQ37" s="186">
        <f t="shared" si="111"/>
        <v>0</v>
      </c>
      <c r="CR37" s="186">
        <f t="shared" si="111"/>
        <v>0</v>
      </c>
      <c r="CS37" s="186">
        <f t="shared" si="111"/>
        <v>0</v>
      </c>
      <c r="CT37" s="186">
        <f t="shared" si="111"/>
        <v>0</v>
      </c>
      <c r="CU37" s="186">
        <f t="shared" si="111"/>
        <v>0</v>
      </c>
      <c r="CV37" s="186">
        <f t="shared" si="111"/>
        <v>0</v>
      </c>
      <c r="CW37" s="186">
        <f t="shared" si="111"/>
        <v>0</v>
      </c>
      <c r="CX37" s="186">
        <f t="shared" si="111"/>
        <v>0</v>
      </c>
      <c r="CY37" s="186">
        <f t="shared" si="111"/>
        <v>0</v>
      </c>
      <c r="CZ37" s="186">
        <f t="shared" si="111"/>
        <v>0</v>
      </c>
      <c r="DA37" s="186">
        <f t="shared" si="111"/>
        <v>0</v>
      </c>
      <c r="DB37" s="187">
        <f>SUM(CP37:DA37)</f>
        <v>0</v>
      </c>
      <c r="DC37" s="186">
        <f aca="true" t="shared" si="112" ref="DC37:DN37">DB40*$B33/12</f>
        <v>0</v>
      </c>
      <c r="DD37" s="186">
        <f t="shared" si="112"/>
        <v>0</v>
      </c>
      <c r="DE37" s="186">
        <f t="shared" si="112"/>
        <v>0</v>
      </c>
      <c r="DF37" s="186">
        <f t="shared" si="112"/>
        <v>0</v>
      </c>
      <c r="DG37" s="186">
        <f t="shared" si="112"/>
        <v>0</v>
      </c>
      <c r="DH37" s="186">
        <f t="shared" si="112"/>
        <v>0</v>
      </c>
      <c r="DI37" s="186">
        <f t="shared" si="112"/>
        <v>0</v>
      </c>
      <c r="DJ37" s="186">
        <f t="shared" si="112"/>
        <v>0</v>
      </c>
      <c r="DK37" s="186">
        <f t="shared" si="112"/>
        <v>0</v>
      </c>
      <c r="DL37" s="186">
        <f t="shared" si="112"/>
        <v>0</v>
      </c>
      <c r="DM37" s="186">
        <f t="shared" si="112"/>
        <v>0</v>
      </c>
      <c r="DN37" s="186">
        <f t="shared" si="112"/>
        <v>0</v>
      </c>
      <c r="DO37" s="187">
        <f>SUM(DC37:DN37)</f>
        <v>0</v>
      </c>
    </row>
    <row r="38" spans="1:119" ht="12.75">
      <c r="A38" s="180" t="s">
        <v>11</v>
      </c>
      <c r="B38" s="185">
        <f>O38+AB38+AO38+BB38+BO38+CB38+CO38+DB38+DO38</f>
        <v>0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91"/>
      <c r="M38" s="191"/>
      <c r="N38" s="191"/>
      <c r="O38" s="187">
        <f>SUM(C38:N38)</f>
        <v>0</v>
      </c>
      <c r="P38" s="191"/>
      <c r="Q38" s="191"/>
      <c r="R38" s="191"/>
      <c r="S38" s="191"/>
      <c r="T38" s="191"/>
      <c r="U38" s="191"/>
      <c r="V38" s="191"/>
      <c r="W38" s="191"/>
      <c r="X38" s="191"/>
      <c r="Y38" s="186">
        <f>$B42-Y37</f>
        <v>0</v>
      </c>
      <c r="Z38" s="186">
        <f>$B42-Z37</f>
        <v>0</v>
      </c>
      <c r="AA38" s="186">
        <f>$B42-AA37</f>
        <v>0</v>
      </c>
      <c r="AB38" s="187">
        <f>SUM(P38:AA38)</f>
        <v>0</v>
      </c>
      <c r="AC38" s="186">
        <f>$B42-AC37</f>
        <v>0</v>
      </c>
      <c r="AD38" s="186">
        <f>$B42-AD37</f>
        <v>0</v>
      </c>
      <c r="AE38" s="186">
        <f>$B42-AE37</f>
        <v>0</v>
      </c>
      <c r="AF38" s="186">
        <f>$B42-AF37</f>
        <v>0</v>
      </c>
      <c r="AG38" s="186">
        <f aca="true" t="shared" si="113" ref="AG38:AN38">$B42-AG37</f>
        <v>0</v>
      </c>
      <c r="AH38" s="186">
        <f t="shared" si="113"/>
        <v>0</v>
      </c>
      <c r="AI38" s="186">
        <f t="shared" si="113"/>
        <v>0</v>
      </c>
      <c r="AJ38" s="186">
        <f t="shared" si="113"/>
        <v>0</v>
      </c>
      <c r="AK38" s="186">
        <f t="shared" si="113"/>
        <v>0</v>
      </c>
      <c r="AL38" s="186">
        <f t="shared" si="113"/>
        <v>0</v>
      </c>
      <c r="AM38" s="186">
        <f t="shared" si="113"/>
        <v>0</v>
      </c>
      <c r="AN38" s="186">
        <f t="shared" si="113"/>
        <v>0</v>
      </c>
      <c r="AO38" s="187">
        <f>SUM(AC38:AN38)</f>
        <v>0</v>
      </c>
      <c r="AP38" s="186">
        <f aca="true" t="shared" si="114" ref="AP38:BA38">$B42-AP37</f>
        <v>0</v>
      </c>
      <c r="AQ38" s="186">
        <f t="shared" si="114"/>
        <v>0</v>
      </c>
      <c r="AR38" s="186">
        <f t="shared" si="114"/>
        <v>0</v>
      </c>
      <c r="AS38" s="186">
        <f t="shared" si="114"/>
        <v>0</v>
      </c>
      <c r="AT38" s="186">
        <f t="shared" si="114"/>
        <v>0</v>
      </c>
      <c r="AU38" s="186">
        <f t="shared" si="114"/>
        <v>0</v>
      </c>
      <c r="AV38" s="186">
        <f t="shared" si="114"/>
        <v>0</v>
      </c>
      <c r="AW38" s="186">
        <f t="shared" si="114"/>
        <v>0</v>
      </c>
      <c r="AX38" s="186">
        <f t="shared" si="114"/>
        <v>0</v>
      </c>
      <c r="AY38" s="186">
        <f t="shared" si="114"/>
        <v>0</v>
      </c>
      <c r="AZ38" s="186">
        <f t="shared" si="114"/>
        <v>0</v>
      </c>
      <c r="BA38" s="186">
        <f t="shared" si="114"/>
        <v>0</v>
      </c>
      <c r="BB38" s="187">
        <f>SUM(AP38:BA38)</f>
        <v>0</v>
      </c>
      <c r="BC38" s="186">
        <f aca="true" t="shared" si="115" ref="BC38:BN38">$B42-BC37</f>
        <v>0</v>
      </c>
      <c r="BD38" s="186">
        <f t="shared" si="115"/>
        <v>0</v>
      </c>
      <c r="BE38" s="186">
        <f t="shared" si="115"/>
        <v>0</v>
      </c>
      <c r="BF38" s="186">
        <f t="shared" si="115"/>
        <v>0</v>
      </c>
      <c r="BG38" s="186">
        <f t="shared" si="115"/>
        <v>0</v>
      </c>
      <c r="BH38" s="186">
        <f t="shared" si="115"/>
        <v>0</v>
      </c>
      <c r="BI38" s="186">
        <f t="shared" si="115"/>
        <v>0</v>
      </c>
      <c r="BJ38" s="186">
        <f t="shared" si="115"/>
        <v>0</v>
      </c>
      <c r="BK38" s="186">
        <f t="shared" si="115"/>
        <v>0</v>
      </c>
      <c r="BL38" s="186">
        <f t="shared" si="115"/>
        <v>0</v>
      </c>
      <c r="BM38" s="186">
        <f t="shared" si="115"/>
        <v>0</v>
      </c>
      <c r="BN38" s="186">
        <f t="shared" si="115"/>
        <v>0</v>
      </c>
      <c r="BO38" s="187">
        <f>SUM(BC38:BN38)</f>
        <v>0</v>
      </c>
      <c r="BP38" s="186">
        <f aca="true" t="shared" si="116" ref="BP38:CA38">$B42-BP37</f>
        <v>0</v>
      </c>
      <c r="BQ38" s="186">
        <f t="shared" si="116"/>
        <v>0</v>
      </c>
      <c r="BR38" s="186">
        <f t="shared" si="116"/>
        <v>0</v>
      </c>
      <c r="BS38" s="186">
        <f t="shared" si="116"/>
        <v>0</v>
      </c>
      <c r="BT38" s="186">
        <f t="shared" si="116"/>
        <v>0</v>
      </c>
      <c r="BU38" s="186">
        <f t="shared" si="116"/>
        <v>0</v>
      </c>
      <c r="BV38" s="186">
        <f t="shared" si="116"/>
        <v>0</v>
      </c>
      <c r="BW38" s="186">
        <f t="shared" si="116"/>
        <v>0</v>
      </c>
      <c r="BX38" s="186">
        <f t="shared" si="116"/>
        <v>0</v>
      </c>
      <c r="BY38" s="186">
        <f t="shared" si="116"/>
        <v>0</v>
      </c>
      <c r="BZ38" s="186">
        <f t="shared" si="116"/>
        <v>0</v>
      </c>
      <c r="CA38" s="186">
        <f t="shared" si="116"/>
        <v>0</v>
      </c>
      <c r="CB38" s="187">
        <f>SUM(BP38:CA38)</f>
        <v>0</v>
      </c>
      <c r="CC38" s="186">
        <f aca="true" t="shared" si="117" ref="CC38:CN38">$B42-CC37</f>
        <v>0</v>
      </c>
      <c r="CD38" s="186">
        <f t="shared" si="117"/>
        <v>0</v>
      </c>
      <c r="CE38" s="186">
        <f t="shared" si="117"/>
        <v>0</v>
      </c>
      <c r="CF38" s="186">
        <f t="shared" si="117"/>
        <v>0</v>
      </c>
      <c r="CG38" s="186">
        <f t="shared" si="117"/>
        <v>0</v>
      </c>
      <c r="CH38" s="186">
        <f t="shared" si="117"/>
        <v>0</v>
      </c>
      <c r="CI38" s="186">
        <f t="shared" si="117"/>
        <v>0</v>
      </c>
      <c r="CJ38" s="186">
        <f t="shared" si="117"/>
        <v>0</v>
      </c>
      <c r="CK38" s="186">
        <f t="shared" si="117"/>
        <v>0</v>
      </c>
      <c r="CL38" s="186">
        <f t="shared" si="117"/>
        <v>0</v>
      </c>
      <c r="CM38" s="186">
        <f t="shared" si="117"/>
        <v>0</v>
      </c>
      <c r="CN38" s="186">
        <f t="shared" si="117"/>
        <v>0</v>
      </c>
      <c r="CO38" s="187">
        <f>SUM(CC38:CN38)</f>
        <v>0</v>
      </c>
      <c r="CP38" s="186">
        <f aca="true" t="shared" si="118" ref="CP38:CX38">$B42-CP37</f>
        <v>0</v>
      </c>
      <c r="CQ38" s="186">
        <f t="shared" si="118"/>
        <v>0</v>
      </c>
      <c r="CR38" s="186">
        <f t="shared" si="118"/>
        <v>0</v>
      </c>
      <c r="CS38" s="186">
        <f t="shared" si="118"/>
        <v>0</v>
      </c>
      <c r="CT38" s="186">
        <f t="shared" si="118"/>
        <v>0</v>
      </c>
      <c r="CU38" s="186">
        <f t="shared" si="118"/>
        <v>0</v>
      </c>
      <c r="CV38" s="186">
        <f t="shared" si="118"/>
        <v>0</v>
      </c>
      <c r="CW38" s="186">
        <f t="shared" si="118"/>
        <v>0</v>
      </c>
      <c r="CX38" s="186">
        <f t="shared" si="118"/>
        <v>0</v>
      </c>
      <c r="CY38" s="186"/>
      <c r="CZ38" s="186"/>
      <c r="DA38" s="186"/>
      <c r="DB38" s="187">
        <f>SUM(CP38:DA38)</f>
        <v>0</v>
      </c>
      <c r="DC38" s="186"/>
      <c r="DD38" s="186"/>
      <c r="DE38" s="186"/>
      <c r="DF38" s="186"/>
      <c r="DG38" s="186"/>
      <c r="DH38" s="186"/>
      <c r="DI38" s="186"/>
      <c r="DJ38" s="186"/>
      <c r="DK38" s="186"/>
      <c r="DL38" s="186"/>
      <c r="DM38" s="186"/>
      <c r="DN38" s="186"/>
      <c r="DO38" s="187">
        <f>SUM(DC38:DN38)</f>
        <v>0</v>
      </c>
    </row>
    <row r="39" spans="1:119" ht="12.75">
      <c r="A39" s="180" t="s">
        <v>12</v>
      </c>
      <c r="B39" s="185">
        <f>O39+AB39+AO39+BB39+BO39+CB39+CO39+DB39+DO39</f>
        <v>0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91"/>
      <c r="M39" s="191"/>
      <c r="N39" s="191"/>
      <c r="O39" s="187">
        <f>SUM(C39:N39)</f>
        <v>0</v>
      </c>
      <c r="P39" s="191"/>
      <c r="Q39" s="191"/>
      <c r="R39" s="191"/>
      <c r="S39" s="186">
        <f aca="true" t="shared" si="119" ref="S39:AA39">S37</f>
        <v>0</v>
      </c>
      <c r="T39" s="186">
        <f t="shared" si="119"/>
        <v>0</v>
      </c>
      <c r="U39" s="186">
        <f t="shared" si="119"/>
        <v>0</v>
      </c>
      <c r="V39" s="186">
        <f t="shared" si="119"/>
        <v>0</v>
      </c>
      <c r="W39" s="186">
        <f t="shared" si="119"/>
        <v>0</v>
      </c>
      <c r="X39" s="186">
        <f t="shared" si="119"/>
        <v>0</v>
      </c>
      <c r="Y39" s="186">
        <f t="shared" si="119"/>
        <v>0</v>
      </c>
      <c r="Z39" s="186">
        <f t="shared" si="119"/>
        <v>0</v>
      </c>
      <c r="AA39" s="186">
        <f t="shared" si="119"/>
        <v>0</v>
      </c>
      <c r="AB39" s="187">
        <f>SUM(P39:AA39)</f>
        <v>0</v>
      </c>
      <c r="AC39" s="186">
        <f aca="true" t="shared" si="120" ref="AC39:AK39">AC37</f>
        <v>0</v>
      </c>
      <c r="AD39" s="186">
        <f t="shared" si="120"/>
        <v>0</v>
      </c>
      <c r="AE39" s="186">
        <f t="shared" si="120"/>
        <v>0</v>
      </c>
      <c r="AF39" s="186">
        <f t="shared" si="120"/>
        <v>0</v>
      </c>
      <c r="AG39" s="186">
        <f t="shared" si="120"/>
        <v>0</v>
      </c>
      <c r="AH39" s="186">
        <f t="shared" si="120"/>
        <v>0</v>
      </c>
      <c r="AI39" s="186">
        <f t="shared" si="120"/>
        <v>0</v>
      </c>
      <c r="AJ39" s="186">
        <f t="shared" si="120"/>
        <v>0</v>
      </c>
      <c r="AK39" s="186">
        <f t="shared" si="120"/>
        <v>0</v>
      </c>
      <c r="AL39" s="186">
        <f>AL37</f>
        <v>0</v>
      </c>
      <c r="AM39" s="186">
        <f>AM37</f>
        <v>0</v>
      </c>
      <c r="AN39" s="186">
        <f>AN37</f>
        <v>0</v>
      </c>
      <c r="AO39" s="187">
        <f>SUM(AC39:AN39)</f>
        <v>0</v>
      </c>
      <c r="AP39" s="186">
        <f aca="true" t="shared" si="121" ref="AP39:BA39">AP37</f>
        <v>0</v>
      </c>
      <c r="AQ39" s="186">
        <f t="shared" si="121"/>
        <v>0</v>
      </c>
      <c r="AR39" s="186">
        <f t="shared" si="121"/>
        <v>0</v>
      </c>
      <c r="AS39" s="186">
        <f t="shared" si="121"/>
        <v>0</v>
      </c>
      <c r="AT39" s="186">
        <f t="shared" si="121"/>
        <v>0</v>
      </c>
      <c r="AU39" s="186">
        <f t="shared" si="121"/>
        <v>0</v>
      </c>
      <c r="AV39" s="186">
        <f t="shared" si="121"/>
        <v>0</v>
      </c>
      <c r="AW39" s="186">
        <f t="shared" si="121"/>
        <v>0</v>
      </c>
      <c r="AX39" s="186">
        <f t="shared" si="121"/>
        <v>0</v>
      </c>
      <c r="AY39" s="186">
        <f t="shared" si="121"/>
        <v>0</v>
      </c>
      <c r="AZ39" s="186">
        <f t="shared" si="121"/>
        <v>0</v>
      </c>
      <c r="BA39" s="186">
        <f t="shared" si="121"/>
        <v>0</v>
      </c>
      <c r="BB39" s="187">
        <f>SUM(AP39:BA39)</f>
        <v>0</v>
      </c>
      <c r="BC39" s="186">
        <f aca="true" t="shared" si="122" ref="BC39:BN39">BC37</f>
        <v>0</v>
      </c>
      <c r="BD39" s="186">
        <f t="shared" si="122"/>
        <v>0</v>
      </c>
      <c r="BE39" s="186">
        <f t="shared" si="122"/>
        <v>0</v>
      </c>
      <c r="BF39" s="186">
        <f t="shared" si="122"/>
        <v>0</v>
      </c>
      <c r="BG39" s="186">
        <f t="shared" si="122"/>
        <v>0</v>
      </c>
      <c r="BH39" s="186">
        <f t="shared" si="122"/>
        <v>0</v>
      </c>
      <c r="BI39" s="186">
        <f t="shared" si="122"/>
        <v>0</v>
      </c>
      <c r="BJ39" s="186">
        <f t="shared" si="122"/>
        <v>0</v>
      </c>
      <c r="BK39" s="186">
        <f t="shared" si="122"/>
        <v>0</v>
      </c>
      <c r="BL39" s="186">
        <f t="shared" si="122"/>
        <v>0</v>
      </c>
      <c r="BM39" s="186">
        <f t="shared" si="122"/>
        <v>0</v>
      </c>
      <c r="BN39" s="186">
        <f t="shared" si="122"/>
        <v>0</v>
      </c>
      <c r="BO39" s="187">
        <f>SUM(BC39:BN39)</f>
        <v>0</v>
      </c>
      <c r="BP39" s="186">
        <f aca="true" t="shared" si="123" ref="BP39:CA39">BP37</f>
        <v>0</v>
      </c>
      <c r="BQ39" s="186">
        <f t="shared" si="123"/>
        <v>0</v>
      </c>
      <c r="BR39" s="186">
        <f t="shared" si="123"/>
        <v>0</v>
      </c>
      <c r="BS39" s="186">
        <f t="shared" si="123"/>
        <v>0</v>
      </c>
      <c r="BT39" s="186">
        <f t="shared" si="123"/>
        <v>0</v>
      </c>
      <c r="BU39" s="186">
        <f t="shared" si="123"/>
        <v>0</v>
      </c>
      <c r="BV39" s="186">
        <f t="shared" si="123"/>
        <v>0</v>
      </c>
      <c r="BW39" s="186">
        <f t="shared" si="123"/>
        <v>0</v>
      </c>
      <c r="BX39" s="186">
        <f t="shared" si="123"/>
        <v>0</v>
      </c>
      <c r="BY39" s="186">
        <f t="shared" si="123"/>
        <v>0</v>
      </c>
      <c r="BZ39" s="186">
        <f t="shared" si="123"/>
        <v>0</v>
      </c>
      <c r="CA39" s="186">
        <f t="shared" si="123"/>
        <v>0</v>
      </c>
      <c r="CB39" s="187">
        <f>SUM(BP39:CA39)</f>
        <v>0</v>
      </c>
      <c r="CC39" s="186">
        <f aca="true" t="shared" si="124" ref="CC39:CN39">CC37</f>
        <v>0</v>
      </c>
      <c r="CD39" s="186">
        <f t="shared" si="124"/>
        <v>0</v>
      </c>
      <c r="CE39" s="186">
        <f t="shared" si="124"/>
        <v>0</v>
      </c>
      <c r="CF39" s="186">
        <f t="shared" si="124"/>
        <v>0</v>
      </c>
      <c r="CG39" s="186">
        <f t="shared" si="124"/>
        <v>0</v>
      </c>
      <c r="CH39" s="186">
        <f t="shared" si="124"/>
        <v>0</v>
      </c>
      <c r="CI39" s="186">
        <f t="shared" si="124"/>
        <v>0</v>
      </c>
      <c r="CJ39" s="186">
        <f t="shared" si="124"/>
        <v>0</v>
      </c>
      <c r="CK39" s="186">
        <f t="shared" si="124"/>
        <v>0</v>
      </c>
      <c r="CL39" s="186">
        <f t="shared" si="124"/>
        <v>0</v>
      </c>
      <c r="CM39" s="186">
        <f t="shared" si="124"/>
        <v>0</v>
      </c>
      <c r="CN39" s="186">
        <f t="shared" si="124"/>
        <v>0</v>
      </c>
      <c r="CO39" s="187">
        <f>SUM(CC39:CN39)</f>
        <v>0</v>
      </c>
      <c r="CP39" s="186">
        <f aca="true" t="shared" si="125" ref="CP39:DA39">CP37</f>
        <v>0</v>
      </c>
      <c r="CQ39" s="186">
        <f t="shared" si="125"/>
        <v>0</v>
      </c>
      <c r="CR39" s="186">
        <f t="shared" si="125"/>
        <v>0</v>
      </c>
      <c r="CS39" s="186">
        <f t="shared" si="125"/>
        <v>0</v>
      </c>
      <c r="CT39" s="186">
        <f t="shared" si="125"/>
        <v>0</v>
      </c>
      <c r="CU39" s="186">
        <f t="shared" si="125"/>
        <v>0</v>
      </c>
      <c r="CV39" s="186">
        <f t="shared" si="125"/>
        <v>0</v>
      </c>
      <c r="CW39" s="186">
        <f t="shared" si="125"/>
        <v>0</v>
      </c>
      <c r="CX39" s="186">
        <f t="shared" si="125"/>
        <v>0</v>
      </c>
      <c r="CY39" s="186">
        <f t="shared" si="125"/>
        <v>0</v>
      </c>
      <c r="CZ39" s="186">
        <f t="shared" si="125"/>
        <v>0</v>
      </c>
      <c r="DA39" s="186">
        <f t="shared" si="125"/>
        <v>0</v>
      </c>
      <c r="DB39" s="187">
        <f>SUM(CP39:DA39)</f>
        <v>0</v>
      </c>
      <c r="DC39" s="186">
        <f aca="true" t="shared" si="126" ref="DC39:DN39">DC37</f>
        <v>0</v>
      </c>
      <c r="DD39" s="186">
        <f t="shared" si="126"/>
        <v>0</v>
      </c>
      <c r="DE39" s="186">
        <f t="shared" si="126"/>
        <v>0</v>
      </c>
      <c r="DF39" s="186">
        <f t="shared" si="126"/>
        <v>0</v>
      </c>
      <c r="DG39" s="186">
        <f t="shared" si="126"/>
        <v>0</v>
      </c>
      <c r="DH39" s="186">
        <f t="shared" si="126"/>
        <v>0</v>
      </c>
      <c r="DI39" s="186">
        <f t="shared" si="126"/>
        <v>0</v>
      </c>
      <c r="DJ39" s="186">
        <f t="shared" si="126"/>
        <v>0</v>
      </c>
      <c r="DK39" s="186">
        <f t="shared" si="126"/>
        <v>0</v>
      </c>
      <c r="DL39" s="186">
        <f t="shared" si="126"/>
        <v>0</v>
      </c>
      <c r="DM39" s="186">
        <f t="shared" si="126"/>
        <v>0</v>
      </c>
      <c r="DN39" s="186">
        <f t="shared" si="126"/>
        <v>0</v>
      </c>
      <c r="DO39" s="187">
        <f>SUM(DC39:DN39)</f>
        <v>0</v>
      </c>
    </row>
    <row r="40" spans="1:119" ht="12.75">
      <c r="A40" s="180" t="s">
        <v>13</v>
      </c>
      <c r="B40" s="185">
        <f>DO40</f>
        <v>0</v>
      </c>
      <c r="C40" s="186">
        <f>C35</f>
        <v>0</v>
      </c>
      <c r="D40" s="186">
        <f aca="true" t="shared" si="127" ref="D40:N40">C40+D35-D38+D36</f>
        <v>0</v>
      </c>
      <c r="E40" s="186">
        <f t="shared" si="127"/>
        <v>0</v>
      </c>
      <c r="F40" s="186">
        <f t="shared" si="127"/>
        <v>0</v>
      </c>
      <c r="G40" s="186">
        <f t="shared" si="127"/>
        <v>0</v>
      </c>
      <c r="H40" s="186">
        <f t="shared" si="127"/>
        <v>0</v>
      </c>
      <c r="I40" s="186">
        <f t="shared" si="127"/>
        <v>0</v>
      </c>
      <c r="J40" s="186">
        <f t="shared" si="127"/>
        <v>0</v>
      </c>
      <c r="K40" s="186">
        <f t="shared" si="127"/>
        <v>0</v>
      </c>
      <c r="L40" s="186">
        <f t="shared" si="127"/>
        <v>0</v>
      </c>
      <c r="M40" s="186">
        <f t="shared" si="127"/>
        <v>0</v>
      </c>
      <c r="N40" s="186">
        <f t="shared" si="127"/>
        <v>0</v>
      </c>
      <c r="O40" s="187">
        <f>N40</f>
        <v>0</v>
      </c>
      <c r="P40" s="186">
        <f aca="true" t="shared" si="128" ref="P40:AA40">O40+P35-P38+P36</f>
        <v>0</v>
      </c>
      <c r="Q40" s="186">
        <f t="shared" si="128"/>
        <v>0</v>
      </c>
      <c r="R40" s="186">
        <f t="shared" si="128"/>
        <v>0</v>
      </c>
      <c r="S40" s="186">
        <f t="shared" si="128"/>
        <v>0</v>
      </c>
      <c r="T40" s="186">
        <f t="shared" si="128"/>
        <v>0</v>
      </c>
      <c r="U40" s="186">
        <f t="shared" si="128"/>
        <v>0</v>
      </c>
      <c r="V40" s="186">
        <f t="shared" si="128"/>
        <v>0</v>
      </c>
      <c r="W40" s="186">
        <f t="shared" si="128"/>
        <v>0</v>
      </c>
      <c r="X40" s="186">
        <f t="shared" si="128"/>
        <v>0</v>
      </c>
      <c r="Y40" s="186">
        <f t="shared" si="128"/>
        <v>0</v>
      </c>
      <c r="Z40" s="186">
        <f t="shared" si="128"/>
        <v>0</v>
      </c>
      <c r="AA40" s="186">
        <f t="shared" si="128"/>
        <v>0</v>
      </c>
      <c r="AB40" s="187">
        <f>AA40</f>
        <v>0</v>
      </c>
      <c r="AC40" s="186">
        <f aca="true" t="shared" si="129" ref="AC40:AN40">AB40+AC35-AC38+AC36</f>
        <v>0</v>
      </c>
      <c r="AD40" s="186">
        <f t="shared" si="129"/>
        <v>0</v>
      </c>
      <c r="AE40" s="186">
        <f t="shared" si="129"/>
        <v>0</v>
      </c>
      <c r="AF40" s="186">
        <f t="shared" si="129"/>
        <v>0</v>
      </c>
      <c r="AG40" s="186">
        <f t="shared" si="129"/>
        <v>0</v>
      </c>
      <c r="AH40" s="186">
        <f t="shared" si="129"/>
        <v>0</v>
      </c>
      <c r="AI40" s="186">
        <f t="shared" si="129"/>
        <v>0</v>
      </c>
      <c r="AJ40" s="186">
        <f t="shared" si="129"/>
        <v>0</v>
      </c>
      <c r="AK40" s="186">
        <f t="shared" si="129"/>
        <v>0</v>
      </c>
      <c r="AL40" s="186">
        <f t="shared" si="129"/>
        <v>0</v>
      </c>
      <c r="AM40" s="186">
        <f t="shared" si="129"/>
        <v>0</v>
      </c>
      <c r="AN40" s="186">
        <f t="shared" si="129"/>
        <v>0</v>
      </c>
      <c r="AO40" s="187">
        <f>AN40</f>
        <v>0</v>
      </c>
      <c r="AP40" s="186">
        <f aca="true" t="shared" si="130" ref="AP40:BA40">AO40+AP35-AP38+AP36</f>
        <v>0</v>
      </c>
      <c r="AQ40" s="186">
        <f t="shared" si="130"/>
        <v>0</v>
      </c>
      <c r="AR40" s="186">
        <f t="shared" si="130"/>
        <v>0</v>
      </c>
      <c r="AS40" s="186">
        <f t="shared" si="130"/>
        <v>0</v>
      </c>
      <c r="AT40" s="186">
        <f t="shared" si="130"/>
        <v>0</v>
      </c>
      <c r="AU40" s="186">
        <f t="shared" si="130"/>
        <v>0</v>
      </c>
      <c r="AV40" s="186">
        <f t="shared" si="130"/>
        <v>0</v>
      </c>
      <c r="AW40" s="186">
        <f t="shared" si="130"/>
        <v>0</v>
      </c>
      <c r="AX40" s="186">
        <f t="shared" si="130"/>
        <v>0</v>
      </c>
      <c r="AY40" s="186">
        <f t="shared" si="130"/>
        <v>0</v>
      </c>
      <c r="AZ40" s="186">
        <f t="shared" si="130"/>
        <v>0</v>
      </c>
      <c r="BA40" s="186">
        <f t="shared" si="130"/>
        <v>0</v>
      </c>
      <c r="BB40" s="187">
        <f>BA40</f>
        <v>0</v>
      </c>
      <c r="BC40" s="186">
        <f aca="true" t="shared" si="131" ref="BC40:BN40">BB40+BC35-BC38+BC36</f>
        <v>0</v>
      </c>
      <c r="BD40" s="186">
        <f t="shared" si="131"/>
        <v>0</v>
      </c>
      <c r="BE40" s="186">
        <f t="shared" si="131"/>
        <v>0</v>
      </c>
      <c r="BF40" s="186">
        <f t="shared" si="131"/>
        <v>0</v>
      </c>
      <c r="BG40" s="186">
        <f t="shared" si="131"/>
        <v>0</v>
      </c>
      <c r="BH40" s="186">
        <f t="shared" si="131"/>
        <v>0</v>
      </c>
      <c r="BI40" s="186">
        <f t="shared" si="131"/>
        <v>0</v>
      </c>
      <c r="BJ40" s="186">
        <f t="shared" si="131"/>
        <v>0</v>
      </c>
      <c r="BK40" s="186">
        <f t="shared" si="131"/>
        <v>0</v>
      </c>
      <c r="BL40" s="186">
        <f t="shared" si="131"/>
        <v>0</v>
      </c>
      <c r="BM40" s="186">
        <f t="shared" si="131"/>
        <v>0</v>
      </c>
      <c r="BN40" s="186">
        <f t="shared" si="131"/>
        <v>0</v>
      </c>
      <c r="BO40" s="187">
        <f>BN40</f>
        <v>0</v>
      </c>
      <c r="BP40" s="186">
        <f aca="true" t="shared" si="132" ref="BP40:CA40">BO40+BP35-BP38+BP36</f>
        <v>0</v>
      </c>
      <c r="BQ40" s="186">
        <f t="shared" si="132"/>
        <v>0</v>
      </c>
      <c r="BR40" s="186">
        <f t="shared" si="132"/>
        <v>0</v>
      </c>
      <c r="BS40" s="186">
        <f t="shared" si="132"/>
        <v>0</v>
      </c>
      <c r="BT40" s="186">
        <f t="shared" si="132"/>
        <v>0</v>
      </c>
      <c r="BU40" s="186">
        <f t="shared" si="132"/>
        <v>0</v>
      </c>
      <c r="BV40" s="186">
        <f t="shared" si="132"/>
        <v>0</v>
      </c>
      <c r="BW40" s="186">
        <f t="shared" si="132"/>
        <v>0</v>
      </c>
      <c r="BX40" s="186">
        <f t="shared" si="132"/>
        <v>0</v>
      </c>
      <c r="BY40" s="186">
        <f t="shared" si="132"/>
        <v>0</v>
      </c>
      <c r="BZ40" s="186">
        <f t="shared" si="132"/>
        <v>0</v>
      </c>
      <c r="CA40" s="186">
        <f t="shared" si="132"/>
        <v>0</v>
      </c>
      <c r="CB40" s="187">
        <f>CA40</f>
        <v>0</v>
      </c>
      <c r="CC40" s="186">
        <f aca="true" t="shared" si="133" ref="CC40:CN40">CB40+CC35-CC38+CC36</f>
        <v>0</v>
      </c>
      <c r="CD40" s="186">
        <f t="shared" si="133"/>
        <v>0</v>
      </c>
      <c r="CE40" s="186">
        <f t="shared" si="133"/>
        <v>0</v>
      </c>
      <c r="CF40" s="186">
        <f t="shared" si="133"/>
        <v>0</v>
      </c>
      <c r="CG40" s="186">
        <f t="shared" si="133"/>
        <v>0</v>
      </c>
      <c r="CH40" s="186">
        <f t="shared" si="133"/>
        <v>0</v>
      </c>
      <c r="CI40" s="186">
        <f t="shared" si="133"/>
        <v>0</v>
      </c>
      <c r="CJ40" s="186">
        <f t="shared" si="133"/>
        <v>0</v>
      </c>
      <c r="CK40" s="186">
        <f t="shared" si="133"/>
        <v>0</v>
      </c>
      <c r="CL40" s="186">
        <f t="shared" si="133"/>
        <v>0</v>
      </c>
      <c r="CM40" s="186">
        <f t="shared" si="133"/>
        <v>0</v>
      </c>
      <c r="CN40" s="186">
        <f t="shared" si="133"/>
        <v>0</v>
      </c>
      <c r="CO40" s="187">
        <f>CN40</f>
        <v>0</v>
      </c>
      <c r="CP40" s="186">
        <f aca="true" t="shared" si="134" ref="CP40:DA40">CO40+CP35-CP38+CP36</f>
        <v>0</v>
      </c>
      <c r="CQ40" s="186">
        <f t="shared" si="134"/>
        <v>0</v>
      </c>
      <c r="CR40" s="186">
        <f t="shared" si="134"/>
        <v>0</v>
      </c>
      <c r="CS40" s="186">
        <f t="shared" si="134"/>
        <v>0</v>
      </c>
      <c r="CT40" s="186">
        <f t="shared" si="134"/>
        <v>0</v>
      </c>
      <c r="CU40" s="186">
        <f t="shared" si="134"/>
        <v>0</v>
      </c>
      <c r="CV40" s="186">
        <f t="shared" si="134"/>
        <v>0</v>
      </c>
      <c r="CW40" s="186">
        <f t="shared" si="134"/>
        <v>0</v>
      </c>
      <c r="CX40" s="186">
        <f t="shared" si="134"/>
        <v>0</v>
      </c>
      <c r="CY40" s="186">
        <f t="shared" si="134"/>
        <v>0</v>
      </c>
      <c r="CZ40" s="186">
        <f t="shared" si="134"/>
        <v>0</v>
      </c>
      <c r="DA40" s="186">
        <f t="shared" si="134"/>
        <v>0</v>
      </c>
      <c r="DB40" s="187">
        <f>DA40</f>
        <v>0</v>
      </c>
      <c r="DC40" s="186">
        <f aca="true" t="shared" si="135" ref="DC40:DN40">DB40+DC35-DC38+DC36</f>
        <v>0</v>
      </c>
      <c r="DD40" s="186">
        <f t="shared" si="135"/>
        <v>0</v>
      </c>
      <c r="DE40" s="186">
        <f t="shared" si="135"/>
        <v>0</v>
      </c>
      <c r="DF40" s="186">
        <f t="shared" si="135"/>
        <v>0</v>
      </c>
      <c r="DG40" s="186">
        <f t="shared" si="135"/>
        <v>0</v>
      </c>
      <c r="DH40" s="186">
        <f t="shared" si="135"/>
        <v>0</v>
      </c>
      <c r="DI40" s="186">
        <f t="shared" si="135"/>
        <v>0</v>
      </c>
      <c r="DJ40" s="186">
        <f t="shared" si="135"/>
        <v>0</v>
      </c>
      <c r="DK40" s="186">
        <f t="shared" si="135"/>
        <v>0</v>
      </c>
      <c r="DL40" s="186">
        <f t="shared" si="135"/>
        <v>0</v>
      </c>
      <c r="DM40" s="186">
        <f t="shared" si="135"/>
        <v>0</v>
      </c>
      <c r="DN40" s="186">
        <f t="shared" si="135"/>
        <v>0</v>
      </c>
      <c r="DO40" s="187">
        <f>DN40</f>
        <v>0</v>
      </c>
    </row>
    <row r="41" spans="1:119" ht="12.75">
      <c r="A41" s="172" t="s">
        <v>70</v>
      </c>
      <c r="B41" s="281">
        <f>B26</f>
        <v>45</v>
      </c>
      <c r="CP41" s="175"/>
      <c r="DB41" s="172"/>
      <c r="DO41" s="172"/>
    </row>
    <row r="42" spans="1:119" ht="12.75">
      <c r="A42" s="282" t="s">
        <v>208</v>
      </c>
      <c r="B42" s="283">
        <f>$R$40*$B33/12/((1-(1+$B33/12)^-$B41))</f>
        <v>0</v>
      </c>
      <c r="DB42" s="172"/>
      <c r="DO42" s="172"/>
    </row>
    <row r="44" ht="12.75">
      <c r="A44" s="193">
        <f>B37-B36-B39</f>
        <v>0</v>
      </c>
    </row>
    <row r="45" ht="12.75">
      <c r="A45" s="193">
        <f>B35+B36-B38-B40</f>
        <v>0</v>
      </c>
    </row>
    <row r="47" spans="1:119" ht="12.75">
      <c r="A47" s="280" t="s">
        <v>210</v>
      </c>
      <c r="B47" s="278"/>
      <c r="DB47" s="172"/>
      <c r="DO47" s="172"/>
    </row>
    <row r="48" spans="1:119" ht="15.75" customHeight="1">
      <c r="A48" s="179" t="s">
        <v>9</v>
      </c>
      <c r="B48" s="279">
        <f>Исх!$C$37</f>
        <v>0.07</v>
      </c>
      <c r="C48" s="355">
        <v>2013</v>
      </c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5"/>
      <c r="P48" s="355">
        <v>2014</v>
      </c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>
        <v>2015</v>
      </c>
      <c r="AD48" s="355"/>
      <c r="AE48" s="355"/>
      <c r="AF48" s="355"/>
      <c r="AG48" s="355"/>
      <c r="AH48" s="355"/>
      <c r="AI48" s="355"/>
      <c r="AJ48" s="355"/>
      <c r="AK48" s="355"/>
      <c r="AL48" s="355"/>
      <c r="AM48" s="355"/>
      <c r="AN48" s="355"/>
      <c r="AO48" s="355"/>
      <c r="AP48" s="355">
        <v>2016</v>
      </c>
      <c r="AQ48" s="355"/>
      <c r="AR48" s="355"/>
      <c r="AS48" s="355"/>
      <c r="AT48" s="355"/>
      <c r="AU48" s="355"/>
      <c r="AV48" s="355"/>
      <c r="AW48" s="355"/>
      <c r="AX48" s="355"/>
      <c r="AY48" s="355"/>
      <c r="AZ48" s="355"/>
      <c r="BA48" s="355"/>
      <c r="BB48" s="355"/>
      <c r="BC48" s="355">
        <v>2017</v>
      </c>
      <c r="BD48" s="355"/>
      <c r="BE48" s="355"/>
      <c r="BF48" s="355"/>
      <c r="BG48" s="355"/>
      <c r="BH48" s="355"/>
      <c r="BI48" s="355"/>
      <c r="BJ48" s="355"/>
      <c r="BK48" s="355"/>
      <c r="BL48" s="355"/>
      <c r="BM48" s="355"/>
      <c r="BN48" s="355"/>
      <c r="BO48" s="355"/>
      <c r="BP48" s="355">
        <v>2018</v>
      </c>
      <c r="BQ48" s="355"/>
      <c r="BR48" s="355"/>
      <c r="BS48" s="355"/>
      <c r="BT48" s="355"/>
      <c r="BU48" s="355"/>
      <c r="BV48" s="355"/>
      <c r="BW48" s="355"/>
      <c r="BX48" s="355"/>
      <c r="BY48" s="355"/>
      <c r="BZ48" s="355"/>
      <c r="CA48" s="355"/>
      <c r="CB48" s="355"/>
      <c r="CC48" s="355">
        <v>2019</v>
      </c>
      <c r="CD48" s="355"/>
      <c r="CE48" s="355"/>
      <c r="CF48" s="355"/>
      <c r="CG48" s="355"/>
      <c r="CH48" s="355"/>
      <c r="CI48" s="355"/>
      <c r="CJ48" s="355"/>
      <c r="CK48" s="355"/>
      <c r="CL48" s="355"/>
      <c r="CM48" s="355"/>
      <c r="CN48" s="355"/>
      <c r="CO48" s="355"/>
      <c r="CP48" s="355">
        <v>2020</v>
      </c>
      <c r="CQ48" s="355"/>
      <c r="CR48" s="355"/>
      <c r="CS48" s="355"/>
      <c r="CT48" s="355"/>
      <c r="CU48" s="355"/>
      <c r="CV48" s="355"/>
      <c r="CW48" s="355"/>
      <c r="CX48" s="355"/>
      <c r="CY48" s="355"/>
      <c r="CZ48" s="355"/>
      <c r="DA48" s="355"/>
      <c r="DB48" s="355"/>
      <c r="DC48" s="355">
        <v>2021</v>
      </c>
      <c r="DD48" s="355"/>
      <c r="DE48" s="355"/>
      <c r="DF48" s="355"/>
      <c r="DG48" s="355"/>
      <c r="DH48" s="355"/>
      <c r="DI48" s="355"/>
      <c r="DJ48" s="355"/>
      <c r="DK48" s="355"/>
      <c r="DL48" s="355"/>
      <c r="DM48" s="355"/>
      <c r="DN48" s="355"/>
      <c r="DO48" s="355"/>
    </row>
    <row r="49" spans="1:119" s="184" customFormat="1" ht="15" customHeight="1">
      <c r="A49" s="180" t="s">
        <v>7</v>
      </c>
      <c r="B49" s="181" t="s">
        <v>80</v>
      </c>
      <c r="C49" s="182">
        <v>1</v>
      </c>
      <c r="D49" s="182">
        <v>2</v>
      </c>
      <c r="E49" s="182">
        <f aca="true" t="shared" si="136" ref="E49:N49">D49+1</f>
        <v>3</v>
      </c>
      <c r="F49" s="182">
        <f t="shared" si="136"/>
        <v>4</v>
      </c>
      <c r="G49" s="182">
        <f t="shared" si="136"/>
        <v>5</v>
      </c>
      <c r="H49" s="182">
        <f t="shared" si="136"/>
        <v>6</v>
      </c>
      <c r="I49" s="182">
        <f t="shared" si="136"/>
        <v>7</v>
      </c>
      <c r="J49" s="182">
        <f t="shared" si="136"/>
        <v>8</v>
      </c>
      <c r="K49" s="182">
        <f t="shared" si="136"/>
        <v>9</v>
      </c>
      <c r="L49" s="182">
        <f t="shared" si="136"/>
        <v>10</v>
      </c>
      <c r="M49" s="182">
        <f t="shared" si="136"/>
        <v>11</v>
      </c>
      <c r="N49" s="182">
        <f t="shared" si="136"/>
        <v>12</v>
      </c>
      <c r="O49" s="183">
        <f>O33</f>
        <v>0</v>
      </c>
      <c r="P49" s="182">
        <v>1</v>
      </c>
      <c r="Q49" s="182">
        <v>2</v>
      </c>
      <c r="R49" s="182">
        <f aca="true" t="shared" si="137" ref="R49:AA49">Q49+1</f>
        <v>3</v>
      </c>
      <c r="S49" s="182">
        <f t="shared" si="137"/>
        <v>4</v>
      </c>
      <c r="T49" s="182">
        <f t="shared" si="137"/>
        <v>5</v>
      </c>
      <c r="U49" s="182">
        <f t="shared" si="137"/>
        <v>6</v>
      </c>
      <c r="V49" s="182">
        <f t="shared" si="137"/>
        <v>7</v>
      </c>
      <c r="W49" s="182">
        <f t="shared" si="137"/>
        <v>8</v>
      </c>
      <c r="X49" s="182">
        <f t="shared" si="137"/>
        <v>9</v>
      </c>
      <c r="Y49" s="182">
        <f t="shared" si="137"/>
        <v>10</v>
      </c>
      <c r="Z49" s="182">
        <f t="shared" si="137"/>
        <v>11</v>
      </c>
      <c r="AA49" s="182">
        <f t="shared" si="137"/>
        <v>12</v>
      </c>
      <c r="AB49" s="183">
        <f>AB33</f>
        <v>0</v>
      </c>
      <c r="AC49" s="182">
        <v>1</v>
      </c>
      <c r="AD49" s="182">
        <v>2</v>
      </c>
      <c r="AE49" s="182">
        <f aca="true" t="shared" si="138" ref="AE49:AN49">AD49+1</f>
        <v>3</v>
      </c>
      <c r="AF49" s="182">
        <f t="shared" si="138"/>
        <v>4</v>
      </c>
      <c r="AG49" s="182">
        <f t="shared" si="138"/>
        <v>5</v>
      </c>
      <c r="AH49" s="182">
        <f t="shared" si="138"/>
        <v>6</v>
      </c>
      <c r="AI49" s="182">
        <f t="shared" si="138"/>
        <v>7</v>
      </c>
      <c r="AJ49" s="182">
        <f t="shared" si="138"/>
        <v>8</v>
      </c>
      <c r="AK49" s="182">
        <f t="shared" si="138"/>
        <v>9</v>
      </c>
      <c r="AL49" s="182">
        <f t="shared" si="138"/>
        <v>10</v>
      </c>
      <c r="AM49" s="182">
        <f t="shared" si="138"/>
        <v>11</v>
      </c>
      <c r="AN49" s="182">
        <f t="shared" si="138"/>
        <v>12</v>
      </c>
      <c r="AO49" s="183">
        <f>AO33</f>
        <v>0</v>
      </c>
      <c r="AP49" s="182">
        <v>1</v>
      </c>
      <c r="AQ49" s="182">
        <v>2</v>
      </c>
      <c r="AR49" s="182">
        <f aca="true" t="shared" si="139" ref="AR49:BA49">AQ49+1</f>
        <v>3</v>
      </c>
      <c r="AS49" s="182">
        <f t="shared" si="139"/>
        <v>4</v>
      </c>
      <c r="AT49" s="182">
        <f t="shared" si="139"/>
        <v>5</v>
      </c>
      <c r="AU49" s="182">
        <f t="shared" si="139"/>
        <v>6</v>
      </c>
      <c r="AV49" s="182">
        <f t="shared" si="139"/>
        <v>7</v>
      </c>
      <c r="AW49" s="182">
        <f t="shared" si="139"/>
        <v>8</v>
      </c>
      <c r="AX49" s="182">
        <f t="shared" si="139"/>
        <v>9</v>
      </c>
      <c r="AY49" s="182">
        <f t="shared" si="139"/>
        <v>10</v>
      </c>
      <c r="AZ49" s="182">
        <f t="shared" si="139"/>
        <v>11</v>
      </c>
      <c r="BA49" s="182">
        <f t="shared" si="139"/>
        <v>12</v>
      </c>
      <c r="BB49" s="183">
        <f>BB33</f>
        <v>0</v>
      </c>
      <c r="BC49" s="182">
        <v>1</v>
      </c>
      <c r="BD49" s="182">
        <v>2</v>
      </c>
      <c r="BE49" s="182">
        <f aca="true" t="shared" si="140" ref="BE49:BN49">BD49+1</f>
        <v>3</v>
      </c>
      <c r="BF49" s="182">
        <f t="shared" si="140"/>
        <v>4</v>
      </c>
      <c r="BG49" s="182">
        <f t="shared" si="140"/>
        <v>5</v>
      </c>
      <c r="BH49" s="182">
        <f t="shared" si="140"/>
        <v>6</v>
      </c>
      <c r="BI49" s="182">
        <f t="shared" si="140"/>
        <v>7</v>
      </c>
      <c r="BJ49" s="182">
        <f t="shared" si="140"/>
        <v>8</v>
      </c>
      <c r="BK49" s="182">
        <f t="shared" si="140"/>
        <v>9</v>
      </c>
      <c r="BL49" s="182">
        <f t="shared" si="140"/>
        <v>10</v>
      </c>
      <c r="BM49" s="182">
        <f t="shared" si="140"/>
        <v>11</v>
      </c>
      <c r="BN49" s="182">
        <f t="shared" si="140"/>
        <v>12</v>
      </c>
      <c r="BO49" s="183">
        <f>BO33</f>
        <v>0</v>
      </c>
      <c r="BP49" s="182">
        <v>1</v>
      </c>
      <c r="BQ49" s="182">
        <v>2</v>
      </c>
      <c r="BR49" s="182">
        <f aca="true" t="shared" si="141" ref="BR49:CA49">BQ49+1</f>
        <v>3</v>
      </c>
      <c r="BS49" s="182">
        <f t="shared" si="141"/>
        <v>4</v>
      </c>
      <c r="BT49" s="182">
        <f t="shared" si="141"/>
        <v>5</v>
      </c>
      <c r="BU49" s="182">
        <f t="shared" si="141"/>
        <v>6</v>
      </c>
      <c r="BV49" s="182">
        <f t="shared" si="141"/>
        <v>7</v>
      </c>
      <c r="BW49" s="182">
        <f t="shared" si="141"/>
        <v>8</v>
      </c>
      <c r="BX49" s="182">
        <f t="shared" si="141"/>
        <v>9</v>
      </c>
      <c r="BY49" s="182">
        <f t="shared" si="141"/>
        <v>10</v>
      </c>
      <c r="BZ49" s="182">
        <f t="shared" si="141"/>
        <v>11</v>
      </c>
      <c r="CA49" s="182">
        <f t="shared" si="141"/>
        <v>12</v>
      </c>
      <c r="CB49" s="183">
        <f>CB33</f>
        <v>0</v>
      </c>
      <c r="CC49" s="182">
        <v>1</v>
      </c>
      <c r="CD49" s="182">
        <v>2</v>
      </c>
      <c r="CE49" s="182">
        <f aca="true" t="shared" si="142" ref="CE49:CN49">CD49+1</f>
        <v>3</v>
      </c>
      <c r="CF49" s="182">
        <f t="shared" si="142"/>
        <v>4</v>
      </c>
      <c r="CG49" s="182">
        <f t="shared" si="142"/>
        <v>5</v>
      </c>
      <c r="CH49" s="182">
        <f t="shared" si="142"/>
        <v>6</v>
      </c>
      <c r="CI49" s="182">
        <f t="shared" si="142"/>
        <v>7</v>
      </c>
      <c r="CJ49" s="182">
        <f t="shared" si="142"/>
        <v>8</v>
      </c>
      <c r="CK49" s="182">
        <f t="shared" si="142"/>
        <v>9</v>
      </c>
      <c r="CL49" s="182">
        <f t="shared" si="142"/>
        <v>10</v>
      </c>
      <c r="CM49" s="182">
        <f t="shared" si="142"/>
        <v>11</v>
      </c>
      <c r="CN49" s="182">
        <f t="shared" si="142"/>
        <v>12</v>
      </c>
      <c r="CO49" s="183">
        <f>CO33</f>
        <v>0</v>
      </c>
      <c r="CP49" s="182">
        <v>1</v>
      </c>
      <c r="CQ49" s="182">
        <f aca="true" t="shared" si="143" ref="CQ49:DA49">CP49+1</f>
        <v>2</v>
      </c>
      <c r="CR49" s="182">
        <f t="shared" si="143"/>
        <v>3</v>
      </c>
      <c r="CS49" s="182">
        <f t="shared" si="143"/>
        <v>4</v>
      </c>
      <c r="CT49" s="182">
        <f t="shared" si="143"/>
        <v>5</v>
      </c>
      <c r="CU49" s="182">
        <f t="shared" si="143"/>
        <v>6</v>
      </c>
      <c r="CV49" s="182">
        <f t="shared" si="143"/>
        <v>7</v>
      </c>
      <c r="CW49" s="182">
        <f t="shared" si="143"/>
        <v>8</v>
      </c>
      <c r="CX49" s="182">
        <f t="shared" si="143"/>
        <v>9</v>
      </c>
      <c r="CY49" s="182">
        <f t="shared" si="143"/>
        <v>10</v>
      </c>
      <c r="CZ49" s="182">
        <f t="shared" si="143"/>
        <v>11</v>
      </c>
      <c r="DA49" s="182">
        <f t="shared" si="143"/>
        <v>12</v>
      </c>
      <c r="DB49" s="183">
        <f>DB33</f>
        <v>0</v>
      </c>
      <c r="DC49" s="182">
        <v>1</v>
      </c>
      <c r="DD49" s="182">
        <f aca="true" t="shared" si="144" ref="DD49:DN49">DC49+1</f>
        <v>2</v>
      </c>
      <c r="DE49" s="182">
        <f t="shared" si="144"/>
        <v>3</v>
      </c>
      <c r="DF49" s="182">
        <f t="shared" si="144"/>
        <v>4</v>
      </c>
      <c r="DG49" s="182">
        <f t="shared" si="144"/>
        <v>5</v>
      </c>
      <c r="DH49" s="182">
        <f t="shared" si="144"/>
        <v>6</v>
      </c>
      <c r="DI49" s="182">
        <f t="shared" si="144"/>
        <v>7</v>
      </c>
      <c r="DJ49" s="182">
        <f t="shared" si="144"/>
        <v>8</v>
      </c>
      <c r="DK49" s="182">
        <f t="shared" si="144"/>
        <v>9</v>
      </c>
      <c r="DL49" s="182">
        <f t="shared" si="144"/>
        <v>10</v>
      </c>
      <c r="DM49" s="182">
        <f t="shared" si="144"/>
        <v>11</v>
      </c>
      <c r="DN49" s="182">
        <f t="shared" si="144"/>
        <v>12</v>
      </c>
      <c r="DO49" s="183" t="s">
        <v>0</v>
      </c>
    </row>
    <row r="50" spans="1:119" ht="12.75">
      <c r="A50" s="180" t="s">
        <v>98</v>
      </c>
      <c r="B50" s="185">
        <f>O50+AB50+AO50+BB50+BO50+CB50+CO50+DB50+DO50</f>
        <v>0</v>
      </c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7">
        <f>SUM(C50:N50)</f>
        <v>0</v>
      </c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>
        <f>SUM(P50:AA50)</f>
        <v>0</v>
      </c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>
        <f>SUM(AC50:AN50)</f>
        <v>0</v>
      </c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  <c r="CC50" s="186"/>
      <c r="CD50" s="186"/>
      <c r="CE50" s="186"/>
      <c r="CF50" s="186"/>
      <c r="CG50" s="186"/>
      <c r="CH50" s="186"/>
      <c r="CI50" s="186"/>
      <c r="CJ50" s="186"/>
      <c r="CK50" s="186"/>
      <c r="CL50" s="186"/>
      <c r="CM50" s="186"/>
      <c r="CN50" s="186"/>
      <c r="CO50" s="186"/>
      <c r="CP50" s="186"/>
      <c r="CQ50" s="186"/>
      <c r="CR50" s="186"/>
      <c r="CS50" s="186"/>
      <c r="CT50" s="186"/>
      <c r="CU50" s="186"/>
      <c r="CV50" s="186"/>
      <c r="CW50" s="186"/>
      <c r="CX50" s="186"/>
      <c r="CY50" s="186"/>
      <c r="CZ50" s="186"/>
      <c r="DA50" s="186"/>
      <c r="DB50" s="186"/>
      <c r="DC50" s="186"/>
      <c r="DD50" s="186"/>
      <c r="DE50" s="186"/>
      <c r="DF50" s="186"/>
      <c r="DG50" s="186"/>
      <c r="DH50" s="186"/>
      <c r="DI50" s="186"/>
      <c r="DJ50" s="186"/>
      <c r="DK50" s="186"/>
      <c r="DL50" s="186"/>
      <c r="DM50" s="186"/>
      <c r="DN50" s="186"/>
      <c r="DO50" s="186"/>
    </row>
    <row r="51" spans="1:119" s="189" customFormat="1" ht="20.25" customHeight="1">
      <c r="A51" s="180" t="s">
        <v>27</v>
      </c>
      <c r="B51" s="185">
        <f>O51+AB51+AO51+BB51+BO51+CB51+CO51+DB51+DO51</f>
        <v>0</v>
      </c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7">
        <f>SUM(C51:N51)</f>
        <v>0</v>
      </c>
      <c r="P51" s="186"/>
      <c r="Q51" s="186"/>
      <c r="R51" s="186"/>
      <c r="S51" s="186">
        <f>SUM(O52:S52)</f>
        <v>0</v>
      </c>
      <c r="T51" s="186"/>
      <c r="U51" s="186"/>
      <c r="V51" s="186"/>
      <c r="W51" s="186"/>
      <c r="X51" s="186"/>
      <c r="Y51" s="186"/>
      <c r="Z51" s="186"/>
      <c r="AA51" s="186"/>
      <c r="AB51" s="187">
        <f>SUM(P51:AA51)</f>
        <v>0</v>
      </c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7">
        <f>SUM(AC51:AN51)</f>
        <v>0</v>
      </c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7">
        <f>SUM(AP51:BA51)</f>
        <v>0</v>
      </c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7">
        <f>SUM(BC51:BN51)</f>
        <v>0</v>
      </c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7">
        <f>SUM(BP51:CA51)</f>
        <v>0</v>
      </c>
      <c r="CC51" s="186"/>
      <c r="CD51" s="186"/>
      <c r="CE51" s="186"/>
      <c r="CF51" s="186"/>
      <c r="CG51" s="186"/>
      <c r="CH51" s="186"/>
      <c r="CI51" s="186"/>
      <c r="CJ51" s="186"/>
      <c r="CK51" s="186"/>
      <c r="CL51" s="186"/>
      <c r="CM51" s="186"/>
      <c r="CN51" s="186"/>
      <c r="CO51" s="187">
        <f>SUM(CC51:CN51)</f>
        <v>0</v>
      </c>
      <c r="CP51" s="186"/>
      <c r="CQ51" s="186"/>
      <c r="CR51" s="186"/>
      <c r="CS51" s="186"/>
      <c r="CT51" s="186"/>
      <c r="CU51" s="186"/>
      <c r="CV51" s="186"/>
      <c r="CW51" s="186"/>
      <c r="CX51" s="186"/>
      <c r="CY51" s="186"/>
      <c r="CZ51" s="186"/>
      <c r="DA51" s="186"/>
      <c r="DB51" s="187">
        <f>SUM(CP51:DA51)</f>
        <v>0</v>
      </c>
      <c r="DC51" s="186"/>
      <c r="DD51" s="186"/>
      <c r="DE51" s="186"/>
      <c r="DF51" s="186"/>
      <c r="DG51" s="186"/>
      <c r="DH51" s="186"/>
      <c r="DI51" s="186"/>
      <c r="DJ51" s="186"/>
      <c r="DK51" s="186"/>
      <c r="DL51" s="186"/>
      <c r="DM51" s="186"/>
      <c r="DN51" s="186"/>
      <c r="DO51" s="187">
        <f>SUM(DC51:DN51)</f>
        <v>0</v>
      </c>
    </row>
    <row r="52" spans="1:119" s="189" customFormat="1" ht="12.75">
      <c r="A52" s="190" t="s">
        <v>10</v>
      </c>
      <c r="B52" s="185">
        <f>O52+AB52+AO52+BB52+BO52+CB52+CO52+DB52+DO52</f>
        <v>0</v>
      </c>
      <c r="C52" s="186"/>
      <c r="D52" s="186">
        <f aca="true" t="shared" si="145" ref="D52:N52">C55*$B48/12</f>
        <v>0</v>
      </c>
      <c r="E52" s="186">
        <f t="shared" si="145"/>
        <v>0</v>
      </c>
      <c r="F52" s="186">
        <f t="shared" si="145"/>
        <v>0</v>
      </c>
      <c r="G52" s="186">
        <f t="shared" si="145"/>
        <v>0</v>
      </c>
      <c r="H52" s="186">
        <f t="shared" si="145"/>
        <v>0</v>
      </c>
      <c r="I52" s="186">
        <f t="shared" si="145"/>
        <v>0</v>
      </c>
      <c r="J52" s="186">
        <f t="shared" si="145"/>
        <v>0</v>
      </c>
      <c r="K52" s="186">
        <f t="shared" si="145"/>
        <v>0</v>
      </c>
      <c r="L52" s="186">
        <f t="shared" si="145"/>
        <v>0</v>
      </c>
      <c r="M52" s="186">
        <f t="shared" si="145"/>
        <v>0</v>
      </c>
      <c r="N52" s="186">
        <f t="shared" si="145"/>
        <v>0</v>
      </c>
      <c r="O52" s="187">
        <f>SUM(C52:N52)</f>
        <v>0</v>
      </c>
      <c r="P52" s="186">
        <f aca="true" t="shared" si="146" ref="P52:AA52">O55*$B48/12</f>
        <v>0</v>
      </c>
      <c r="Q52" s="186">
        <f t="shared" si="146"/>
        <v>0</v>
      </c>
      <c r="R52" s="186">
        <f t="shared" si="146"/>
        <v>0</v>
      </c>
      <c r="S52" s="186">
        <f t="shared" si="146"/>
        <v>0</v>
      </c>
      <c r="T52" s="186">
        <f t="shared" si="146"/>
        <v>0</v>
      </c>
      <c r="U52" s="186">
        <f t="shared" si="146"/>
        <v>0</v>
      </c>
      <c r="V52" s="186">
        <f t="shared" si="146"/>
        <v>0</v>
      </c>
      <c r="W52" s="186">
        <f t="shared" si="146"/>
        <v>0</v>
      </c>
      <c r="X52" s="186">
        <f t="shared" si="146"/>
        <v>0</v>
      </c>
      <c r="Y52" s="186">
        <f t="shared" si="146"/>
        <v>0</v>
      </c>
      <c r="Z52" s="186">
        <f t="shared" si="146"/>
        <v>0</v>
      </c>
      <c r="AA52" s="186">
        <f t="shared" si="146"/>
        <v>0</v>
      </c>
      <c r="AB52" s="187">
        <f>SUM(P52:AA52)</f>
        <v>0</v>
      </c>
      <c r="AC52" s="186">
        <f aca="true" t="shared" si="147" ref="AC52:AN52">AB55*$B48/12</f>
        <v>0</v>
      </c>
      <c r="AD52" s="186">
        <f t="shared" si="147"/>
        <v>0</v>
      </c>
      <c r="AE52" s="186">
        <f t="shared" si="147"/>
        <v>0</v>
      </c>
      <c r="AF52" s="186">
        <f t="shared" si="147"/>
        <v>0</v>
      </c>
      <c r="AG52" s="186">
        <f t="shared" si="147"/>
        <v>0</v>
      </c>
      <c r="AH52" s="186">
        <f t="shared" si="147"/>
        <v>0</v>
      </c>
      <c r="AI52" s="186">
        <f t="shared" si="147"/>
        <v>0</v>
      </c>
      <c r="AJ52" s="186">
        <f t="shared" si="147"/>
        <v>0</v>
      </c>
      <c r="AK52" s="186">
        <f t="shared" si="147"/>
        <v>0</v>
      </c>
      <c r="AL52" s="186">
        <f t="shared" si="147"/>
        <v>0</v>
      </c>
      <c r="AM52" s="186">
        <f t="shared" si="147"/>
        <v>0</v>
      </c>
      <c r="AN52" s="186">
        <f t="shared" si="147"/>
        <v>0</v>
      </c>
      <c r="AO52" s="187">
        <f>SUM(AC52:AN52)</f>
        <v>0</v>
      </c>
      <c r="AP52" s="186">
        <f aca="true" t="shared" si="148" ref="AP52:BA52">AO55*$B48/12</f>
        <v>0</v>
      </c>
      <c r="AQ52" s="186">
        <f t="shared" si="148"/>
        <v>0</v>
      </c>
      <c r="AR52" s="186">
        <f t="shared" si="148"/>
        <v>0</v>
      </c>
      <c r="AS52" s="186">
        <f t="shared" si="148"/>
        <v>0</v>
      </c>
      <c r="AT52" s="186">
        <f t="shared" si="148"/>
        <v>0</v>
      </c>
      <c r="AU52" s="186">
        <f t="shared" si="148"/>
        <v>0</v>
      </c>
      <c r="AV52" s="186">
        <f t="shared" si="148"/>
        <v>0</v>
      </c>
      <c r="AW52" s="186">
        <f t="shared" si="148"/>
        <v>0</v>
      </c>
      <c r="AX52" s="186">
        <f t="shared" si="148"/>
        <v>0</v>
      </c>
      <c r="AY52" s="186">
        <f t="shared" si="148"/>
        <v>0</v>
      </c>
      <c r="AZ52" s="186">
        <f t="shared" si="148"/>
        <v>0</v>
      </c>
      <c r="BA52" s="186">
        <f t="shared" si="148"/>
        <v>0</v>
      </c>
      <c r="BB52" s="187">
        <f>SUM(AP52:BA52)</f>
        <v>0</v>
      </c>
      <c r="BC52" s="186">
        <f aca="true" t="shared" si="149" ref="BC52:BN52">BB55*$B48/12</f>
        <v>0</v>
      </c>
      <c r="BD52" s="186">
        <f t="shared" si="149"/>
        <v>0</v>
      </c>
      <c r="BE52" s="186">
        <f t="shared" si="149"/>
        <v>0</v>
      </c>
      <c r="BF52" s="186">
        <f t="shared" si="149"/>
        <v>0</v>
      </c>
      <c r="BG52" s="186">
        <f t="shared" si="149"/>
        <v>0</v>
      </c>
      <c r="BH52" s="186">
        <f t="shared" si="149"/>
        <v>0</v>
      </c>
      <c r="BI52" s="186">
        <f t="shared" si="149"/>
        <v>0</v>
      </c>
      <c r="BJ52" s="186">
        <f t="shared" si="149"/>
        <v>0</v>
      </c>
      <c r="BK52" s="186">
        <f t="shared" si="149"/>
        <v>0</v>
      </c>
      <c r="BL52" s="186">
        <f t="shared" si="149"/>
        <v>0</v>
      </c>
      <c r="BM52" s="186">
        <f t="shared" si="149"/>
        <v>0</v>
      </c>
      <c r="BN52" s="186">
        <f t="shared" si="149"/>
        <v>0</v>
      </c>
      <c r="BO52" s="187">
        <f>SUM(BC52:BN52)</f>
        <v>0</v>
      </c>
      <c r="BP52" s="186">
        <f aca="true" t="shared" si="150" ref="BP52:CA52">BO55*$B48/12</f>
        <v>0</v>
      </c>
      <c r="BQ52" s="186">
        <f t="shared" si="150"/>
        <v>0</v>
      </c>
      <c r="BR52" s="186">
        <f t="shared" si="150"/>
        <v>0</v>
      </c>
      <c r="BS52" s="186">
        <f t="shared" si="150"/>
        <v>0</v>
      </c>
      <c r="BT52" s="186">
        <f t="shared" si="150"/>
        <v>0</v>
      </c>
      <c r="BU52" s="186">
        <f t="shared" si="150"/>
        <v>0</v>
      </c>
      <c r="BV52" s="186">
        <f t="shared" si="150"/>
        <v>0</v>
      </c>
      <c r="BW52" s="186">
        <f t="shared" si="150"/>
        <v>0</v>
      </c>
      <c r="BX52" s="186">
        <f t="shared" si="150"/>
        <v>0</v>
      </c>
      <c r="BY52" s="186">
        <f t="shared" si="150"/>
        <v>0</v>
      </c>
      <c r="BZ52" s="186">
        <f t="shared" si="150"/>
        <v>0</v>
      </c>
      <c r="CA52" s="186">
        <f t="shared" si="150"/>
        <v>0</v>
      </c>
      <c r="CB52" s="187">
        <f>SUM(BP52:CA52)</f>
        <v>0</v>
      </c>
      <c r="CC52" s="186">
        <f aca="true" t="shared" si="151" ref="CC52:CN52">CB55*$B48/12</f>
        <v>0</v>
      </c>
      <c r="CD52" s="186">
        <f t="shared" si="151"/>
        <v>0</v>
      </c>
      <c r="CE52" s="186">
        <f t="shared" si="151"/>
        <v>0</v>
      </c>
      <c r="CF52" s="186">
        <f t="shared" si="151"/>
        <v>0</v>
      </c>
      <c r="CG52" s="186">
        <f t="shared" si="151"/>
        <v>0</v>
      </c>
      <c r="CH52" s="186">
        <f t="shared" si="151"/>
        <v>0</v>
      </c>
      <c r="CI52" s="186">
        <f t="shared" si="151"/>
        <v>0</v>
      </c>
      <c r="CJ52" s="186">
        <f t="shared" si="151"/>
        <v>0</v>
      </c>
      <c r="CK52" s="186">
        <f t="shared" si="151"/>
        <v>0</v>
      </c>
      <c r="CL52" s="186">
        <f t="shared" si="151"/>
        <v>0</v>
      </c>
      <c r="CM52" s="186">
        <f t="shared" si="151"/>
        <v>0</v>
      </c>
      <c r="CN52" s="186">
        <f t="shared" si="151"/>
        <v>0</v>
      </c>
      <c r="CO52" s="187">
        <f>SUM(CC52:CN52)</f>
        <v>0</v>
      </c>
      <c r="CP52" s="186">
        <f aca="true" t="shared" si="152" ref="CP52:DA52">CO55*$B48/12</f>
        <v>0</v>
      </c>
      <c r="CQ52" s="186">
        <f t="shared" si="152"/>
        <v>0</v>
      </c>
      <c r="CR52" s="186">
        <f t="shared" si="152"/>
        <v>0</v>
      </c>
      <c r="CS52" s="186">
        <f t="shared" si="152"/>
        <v>0</v>
      </c>
      <c r="CT52" s="186">
        <f t="shared" si="152"/>
        <v>0</v>
      </c>
      <c r="CU52" s="186">
        <f t="shared" si="152"/>
        <v>0</v>
      </c>
      <c r="CV52" s="186">
        <f t="shared" si="152"/>
        <v>0</v>
      </c>
      <c r="CW52" s="186">
        <f t="shared" si="152"/>
        <v>0</v>
      </c>
      <c r="CX52" s="186">
        <f t="shared" si="152"/>
        <v>0</v>
      </c>
      <c r="CY52" s="186">
        <f t="shared" si="152"/>
        <v>0</v>
      </c>
      <c r="CZ52" s="186">
        <f t="shared" si="152"/>
        <v>0</v>
      </c>
      <c r="DA52" s="186">
        <f t="shared" si="152"/>
        <v>0</v>
      </c>
      <c r="DB52" s="187">
        <f>SUM(CP52:DA52)</f>
        <v>0</v>
      </c>
      <c r="DC52" s="186">
        <f aca="true" t="shared" si="153" ref="DC52:DN52">DB55*$B48/12</f>
        <v>0</v>
      </c>
      <c r="DD52" s="186">
        <f t="shared" si="153"/>
        <v>0</v>
      </c>
      <c r="DE52" s="186">
        <f t="shared" si="153"/>
        <v>0</v>
      </c>
      <c r="DF52" s="186">
        <f t="shared" si="153"/>
        <v>0</v>
      </c>
      <c r="DG52" s="186">
        <f t="shared" si="153"/>
        <v>0</v>
      </c>
      <c r="DH52" s="186">
        <f t="shared" si="153"/>
        <v>0</v>
      </c>
      <c r="DI52" s="186">
        <f t="shared" si="153"/>
        <v>0</v>
      </c>
      <c r="DJ52" s="186">
        <f t="shared" si="153"/>
        <v>0</v>
      </c>
      <c r="DK52" s="186">
        <f t="shared" si="153"/>
        <v>0</v>
      </c>
      <c r="DL52" s="186">
        <f t="shared" si="153"/>
        <v>0</v>
      </c>
      <c r="DM52" s="186">
        <f t="shared" si="153"/>
        <v>0</v>
      </c>
      <c r="DN52" s="186">
        <f t="shared" si="153"/>
        <v>0</v>
      </c>
      <c r="DO52" s="187">
        <f>SUM(DC52:DN52)</f>
        <v>0</v>
      </c>
    </row>
    <row r="53" spans="1:119" ht="12.75">
      <c r="A53" s="180" t="s">
        <v>11</v>
      </c>
      <c r="B53" s="185">
        <f>O53+AB53+AO53+BB53+BO53+CB53+CO53+DB53+DO53</f>
        <v>0</v>
      </c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91"/>
      <c r="N53" s="191"/>
      <c r="O53" s="187">
        <f>SUM(C53:N53)</f>
        <v>0</v>
      </c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86">
        <f>$B57-Z52</f>
        <v>0</v>
      </c>
      <c r="AA53" s="186">
        <f>$B57-AA52</f>
        <v>0</v>
      </c>
      <c r="AB53" s="187">
        <f>SUM(P53:AA53)</f>
        <v>0</v>
      </c>
      <c r="AC53" s="186">
        <f aca="true" t="shared" si="154" ref="AC53:AH53">$B57-AC52</f>
        <v>0</v>
      </c>
      <c r="AD53" s="186">
        <f t="shared" si="154"/>
        <v>0</v>
      </c>
      <c r="AE53" s="186">
        <f t="shared" si="154"/>
        <v>0</v>
      </c>
      <c r="AF53" s="186">
        <f t="shared" si="154"/>
        <v>0</v>
      </c>
      <c r="AG53" s="186">
        <f t="shared" si="154"/>
        <v>0</v>
      </c>
      <c r="AH53" s="186">
        <f t="shared" si="154"/>
        <v>0</v>
      </c>
      <c r="AI53" s="186">
        <f aca="true" t="shared" si="155" ref="AI53:AN53">$B57-AI52</f>
        <v>0</v>
      </c>
      <c r="AJ53" s="186">
        <f t="shared" si="155"/>
        <v>0</v>
      </c>
      <c r="AK53" s="186">
        <f t="shared" si="155"/>
        <v>0</v>
      </c>
      <c r="AL53" s="186">
        <f t="shared" si="155"/>
        <v>0</v>
      </c>
      <c r="AM53" s="186">
        <f t="shared" si="155"/>
        <v>0</v>
      </c>
      <c r="AN53" s="186">
        <f t="shared" si="155"/>
        <v>0</v>
      </c>
      <c r="AO53" s="187">
        <f>SUM(AC53:AN53)</f>
        <v>0</v>
      </c>
      <c r="AP53" s="186">
        <f aca="true" t="shared" si="156" ref="AP53:BA53">$B57-AP52</f>
        <v>0</v>
      </c>
      <c r="AQ53" s="186">
        <f t="shared" si="156"/>
        <v>0</v>
      </c>
      <c r="AR53" s="186">
        <f t="shared" si="156"/>
        <v>0</v>
      </c>
      <c r="AS53" s="186">
        <f t="shared" si="156"/>
        <v>0</v>
      </c>
      <c r="AT53" s="186">
        <f t="shared" si="156"/>
        <v>0</v>
      </c>
      <c r="AU53" s="186">
        <f t="shared" si="156"/>
        <v>0</v>
      </c>
      <c r="AV53" s="186">
        <f t="shared" si="156"/>
        <v>0</v>
      </c>
      <c r="AW53" s="186">
        <f t="shared" si="156"/>
        <v>0</v>
      </c>
      <c r="AX53" s="186">
        <f t="shared" si="156"/>
        <v>0</v>
      </c>
      <c r="AY53" s="186">
        <f t="shared" si="156"/>
        <v>0</v>
      </c>
      <c r="AZ53" s="186">
        <f t="shared" si="156"/>
        <v>0</v>
      </c>
      <c r="BA53" s="186">
        <f t="shared" si="156"/>
        <v>0</v>
      </c>
      <c r="BB53" s="187">
        <f>SUM(AP53:BA53)</f>
        <v>0</v>
      </c>
      <c r="BC53" s="186">
        <f aca="true" t="shared" si="157" ref="BC53:BN53">$B57-BC52</f>
        <v>0</v>
      </c>
      <c r="BD53" s="186">
        <f t="shared" si="157"/>
        <v>0</v>
      </c>
      <c r="BE53" s="186">
        <f t="shared" si="157"/>
        <v>0</v>
      </c>
      <c r="BF53" s="186">
        <f t="shared" si="157"/>
        <v>0</v>
      </c>
      <c r="BG53" s="186">
        <f t="shared" si="157"/>
        <v>0</v>
      </c>
      <c r="BH53" s="186">
        <f t="shared" si="157"/>
        <v>0</v>
      </c>
      <c r="BI53" s="186">
        <f t="shared" si="157"/>
        <v>0</v>
      </c>
      <c r="BJ53" s="186">
        <f t="shared" si="157"/>
        <v>0</v>
      </c>
      <c r="BK53" s="186">
        <f t="shared" si="157"/>
        <v>0</v>
      </c>
      <c r="BL53" s="186">
        <f t="shared" si="157"/>
        <v>0</v>
      </c>
      <c r="BM53" s="186">
        <f t="shared" si="157"/>
        <v>0</v>
      </c>
      <c r="BN53" s="186">
        <f t="shared" si="157"/>
        <v>0</v>
      </c>
      <c r="BO53" s="187">
        <f>SUM(BC53:BN53)</f>
        <v>0</v>
      </c>
      <c r="BP53" s="186">
        <f aca="true" t="shared" si="158" ref="BP53:CA53">$B57-BP52</f>
        <v>0</v>
      </c>
      <c r="BQ53" s="186">
        <f t="shared" si="158"/>
        <v>0</v>
      </c>
      <c r="BR53" s="186">
        <f t="shared" si="158"/>
        <v>0</v>
      </c>
      <c r="BS53" s="186">
        <f t="shared" si="158"/>
        <v>0</v>
      </c>
      <c r="BT53" s="186">
        <f t="shared" si="158"/>
        <v>0</v>
      </c>
      <c r="BU53" s="186">
        <f t="shared" si="158"/>
        <v>0</v>
      </c>
      <c r="BV53" s="186">
        <f t="shared" si="158"/>
        <v>0</v>
      </c>
      <c r="BW53" s="186">
        <f t="shared" si="158"/>
        <v>0</v>
      </c>
      <c r="BX53" s="186">
        <f t="shared" si="158"/>
        <v>0</v>
      </c>
      <c r="BY53" s="186">
        <f t="shared" si="158"/>
        <v>0</v>
      </c>
      <c r="BZ53" s="186">
        <f t="shared" si="158"/>
        <v>0</v>
      </c>
      <c r="CA53" s="186">
        <f t="shared" si="158"/>
        <v>0</v>
      </c>
      <c r="CB53" s="187">
        <f>SUM(BP53:CA53)</f>
        <v>0</v>
      </c>
      <c r="CC53" s="186">
        <f aca="true" t="shared" si="159" ref="CC53:CN53">$B57-CC52</f>
        <v>0</v>
      </c>
      <c r="CD53" s="186">
        <f t="shared" si="159"/>
        <v>0</v>
      </c>
      <c r="CE53" s="186">
        <f t="shared" si="159"/>
        <v>0</v>
      </c>
      <c r="CF53" s="186">
        <f t="shared" si="159"/>
        <v>0</v>
      </c>
      <c r="CG53" s="186">
        <f t="shared" si="159"/>
        <v>0</v>
      </c>
      <c r="CH53" s="186">
        <f t="shared" si="159"/>
        <v>0</v>
      </c>
      <c r="CI53" s="186">
        <f t="shared" si="159"/>
        <v>0</v>
      </c>
      <c r="CJ53" s="186">
        <f t="shared" si="159"/>
        <v>0</v>
      </c>
      <c r="CK53" s="186">
        <f t="shared" si="159"/>
        <v>0</v>
      </c>
      <c r="CL53" s="186">
        <f t="shared" si="159"/>
        <v>0</v>
      </c>
      <c r="CM53" s="186">
        <f t="shared" si="159"/>
        <v>0</v>
      </c>
      <c r="CN53" s="186">
        <f t="shared" si="159"/>
        <v>0</v>
      </c>
      <c r="CO53" s="187">
        <f>SUM(CC53:CN53)</f>
        <v>0</v>
      </c>
      <c r="CP53" s="186">
        <f aca="true" t="shared" si="160" ref="CP53:CY53">$B57-CP52</f>
        <v>0</v>
      </c>
      <c r="CQ53" s="186">
        <f t="shared" si="160"/>
        <v>0</v>
      </c>
      <c r="CR53" s="186">
        <f t="shared" si="160"/>
        <v>0</v>
      </c>
      <c r="CS53" s="186">
        <f t="shared" si="160"/>
        <v>0</v>
      </c>
      <c r="CT53" s="186">
        <f t="shared" si="160"/>
        <v>0</v>
      </c>
      <c r="CU53" s="186">
        <f t="shared" si="160"/>
        <v>0</v>
      </c>
      <c r="CV53" s="186">
        <f t="shared" si="160"/>
        <v>0</v>
      </c>
      <c r="CW53" s="186">
        <f t="shared" si="160"/>
        <v>0</v>
      </c>
      <c r="CX53" s="186">
        <f t="shared" si="160"/>
        <v>0</v>
      </c>
      <c r="CY53" s="186">
        <f t="shared" si="160"/>
        <v>0</v>
      </c>
      <c r="CZ53" s="186"/>
      <c r="DA53" s="186"/>
      <c r="DB53" s="187">
        <f>SUM(CP53:DA53)</f>
        <v>0</v>
      </c>
      <c r="DC53" s="186"/>
      <c r="DD53" s="186"/>
      <c r="DE53" s="186"/>
      <c r="DF53" s="186"/>
      <c r="DG53" s="186"/>
      <c r="DH53" s="186"/>
      <c r="DI53" s="186"/>
      <c r="DJ53" s="186"/>
      <c r="DK53" s="186"/>
      <c r="DL53" s="186"/>
      <c r="DM53" s="186"/>
      <c r="DN53" s="186"/>
      <c r="DO53" s="187">
        <f>SUM(DC53:DN53)</f>
        <v>0</v>
      </c>
    </row>
    <row r="54" spans="1:119" ht="12.75">
      <c r="A54" s="180" t="s">
        <v>12</v>
      </c>
      <c r="B54" s="185">
        <f>O54+AB54+AO54+BB54+BO54+CB54+CO54+DB54+DO54</f>
        <v>0</v>
      </c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91"/>
      <c r="N54" s="191"/>
      <c r="O54" s="187">
        <f>SUM(C54:N54)</f>
        <v>0</v>
      </c>
      <c r="P54" s="191"/>
      <c r="Q54" s="191"/>
      <c r="R54" s="191"/>
      <c r="S54" s="191"/>
      <c r="T54" s="186">
        <f aca="true" t="shared" si="161" ref="T54:AA54">T52</f>
        <v>0</v>
      </c>
      <c r="U54" s="186">
        <f t="shared" si="161"/>
        <v>0</v>
      </c>
      <c r="V54" s="186">
        <f t="shared" si="161"/>
        <v>0</v>
      </c>
      <c r="W54" s="186">
        <f t="shared" si="161"/>
        <v>0</v>
      </c>
      <c r="X54" s="186">
        <f t="shared" si="161"/>
        <v>0</v>
      </c>
      <c r="Y54" s="186">
        <f t="shared" si="161"/>
        <v>0</v>
      </c>
      <c r="Z54" s="186">
        <f t="shared" si="161"/>
        <v>0</v>
      </c>
      <c r="AA54" s="186">
        <f t="shared" si="161"/>
        <v>0</v>
      </c>
      <c r="AB54" s="187">
        <f>SUM(P54:AA54)</f>
        <v>0</v>
      </c>
      <c r="AC54" s="186">
        <f aca="true" t="shared" si="162" ref="AC54:AK54">AC52</f>
        <v>0</v>
      </c>
      <c r="AD54" s="186">
        <f t="shared" si="162"/>
        <v>0</v>
      </c>
      <c r="AE54" s="186">
        <f t="shared" si="162"/>
        <v>0</v>
      </c>
      <c r="AF54" s="186">
        <f t="shared" si="162"/>
        <v>0</v>
      </c>
      <c r="AG54" s="186">
        <f t="shared" si="162"/>
        <v>0</v>
      </c>
      <c r="AH54" s="186">
        <f t="shared" si="162"/>
        <v>0</v>
      </c>
      <c r="AI54" s="186">
        <f t="shared" si="162"/>
        <v>0</v>
      </c>
      <c r="AJ54" s="186">
        <f t="shared" si="162"/>
        <v>0</v>
      </c>
      <c r="AK54" s="186">
        <f t="shared" si="162"/>
        <v>0</v>
      </c>
      <c r="AL54" s="186">
        <f>AL52</f>
        <v>0</v>
      </c>
      <c r="AM54" s="186">
        <f>AM52</f>
        <v>0</v>
      </c>
      <c r="AN54" s="186">
        <f>AN52</f>
        <v>0</v>
      </c>
      <c r="AO54" s="187">
        <f>SUM(AC54:AN54)</f>
        <v>0</v>
      </c>
      <c r="AP54" s="186">
        <f aca="true" t="shared" si="163" ref="AP54:BA54">AP52</f>
        <v>0</v>
      </c>
      <c r="AQ54" s="186">
        <f t="shared" si="163"/>
        <v>0</v>
      </c>
      <c r="AR54" s="186">
        <f t="shared" si="163"/>
        <v>0</v>
      </c>
      <c r="AS54" s="186">
        <f t="shared" si="163"/>
        <v>0</v>
      </c>
      <c r="AT54" s="186">
        <f t="shared" si="163"/>
        <v>0</v>
      </c>
      <c r="AU54" s="186">
        <f t="shared" si="163"/>
        <v>0</v>
      </c>
      <c r="AV54" s="186">
        <f t="shared" si="163"/>
        <v>0</v>
      </c>
      <c r="AW54" s="186">
        <f t="shared" si="163"/>
        <v>0</v>
      </c>
      <c r="AX54" s="186">
        <f t="shared" si="163"/>
        <v>0</v>
      </c>
      <c r="AY54" s="186">
        <f t="shared" si="163"/>
        <v>0</v>
      </c>
      <c r="AZ54" s="186">
        <f t="shared" si="163"/>
        <v>0</v>
      </c>
      <c r="BA54" s="186">
        <f t="shared" si="163"/>
        <v>0</v>
      </c>
      <c r="BB54" s="187">
        <f>SUM(AP54:BA54)</f>
        <v>0</v>
      </c>
      <c r="BC54" s="186">
        <f aca="true" t="shared" si="164" ref="BC54:BN54">BC52</f>
        <v>0</v>
      </c>
      <c r="BD54" s="186">
        <f t="shared" si="164"/>
        <v>0</v>
      </c>
      <c r="BE54" s="186">
        <f t="shared" si="164"/>
        <v>0</v>
      </c>
      <c r="BF54" s="186">
        <f t="shared" si="164"/>
        <v>0</v>
      </c>
      <c r="BG54" s="186">
        <f t="shared" si="164"/>
        <v>0</v>
      </c>
      <c r="BH54" s="186">
        <f t="shared" si="164"/>
        <v>0</v>
      </c>
      <c r="BI54" s="186">
        <f t="shared" si="164"/>
        <v>0</v>
      </c>
      <c r="BJ54" s="186">
        <f t="shared" si="164"/>
        <v>0</v>
      </c>
      <c r="BK54" s="186">
        <f t="shared" si="164"/>
        <v>0</v>
      </c>
      <c r="BL54" s="186">
        <f t="shared" si="164"/>
        <v>0</v>
      </c>
      <c r="BM54" s="186">
        <f t="shared" si="164"/>
        <v>0</v>
      </c>
      <c r="BN54" s="186">
        <f t="shared" si="164"/>
        <v>0</v>
      </c>
      <c r="BO54" s="187">
        <f>SUM(BC54:BN54)</f>
        <v>0</v>
      </c>
      <c r="BP54" s="186">
        <f aca="true" t="shared" si="165" ref="BP54:CA54">BP52</f>
        <v>0</v>
      </c>
      <c r="BQ54" s="186">
        <f t="shared" si="165"/>
        <v>0</v>
      </c>
      <c r="BR54" s="186">
        <f t="shared" si="165"/>
        <v>0</v>
      </c>
      <c r="BS54" s="186">
        <f t="shared" si="165"/>
        <v>0</v>
      </c>
      <c r="BT54" s="186">
        <f t="shared" si="165"/>
        <v>0</v>
      </c>
      <c r="BU54" s="186">
        <f t="shared" si="165"/>
        <v>0</v>
      </c>
      <c r="BV54" s="186">
        <f t="shared" si="165"/>
        <v>0</v>
      </c>
      <c r="BW54" s="186">
        <f t="shared" si="165"/>
        <v>0</v>
      </c>
      <c r="BX54" s="186">
        <f t="shared" si="165"/>
        <v>0</v>
      </c>
      <c r="BY54" s="186">
        <f t="shared" si="165"/>
        <v>0</v>
      </c>
      <c r="BZ54" s="186">
        <f t="shared" si="165"/>
        <v>0</v>
      </c>
      <c r="CA54" s="186">
        <f t="shared" si="165"/>
        <v>0</v>
      </c>
      <c r="CB54" s="187">
        <f>SUM(BP54:CA54)</f>
        <v>0</v>
      </c>
      <c r="CC54" s="186">
        <f aca="true" t="shared" si="166" ref="CC54:CN54">CC52</f>
        <v>0</v>
      </c>
      <c r="CD54" s="186">
        <f t="shared" si="166"/>
        <v>0</v>
      </c>
      <c r="CE54" s="186">
        <f t="shared" si="166"/>
        <v>0</v>
      </c>
      <c r="CF54" s="186">
        <f t="shared" si="166"/>
        <v>0</v>
      </c>
      <c r="CG54" s="186">
        <f t="shared" si="166"/>
        <v>0</v>
      </c>
      <c r="CH54" s="186">
        <f t="shared" si="166"/>
        <v>0</v>
      </c>
      <c r="CI54" s="186">
        <f t="shared" si="166"/>
        <v>0</v>
      </c>
      <c r="CJ54" s="186">
        <f t="shared" si="166"/>
        <v>0</v>
      </c>
      <c r="CK54" s="186">
        <f t="shared" si="166"/>
        <v>0</v>
      </c>
      <c r="CL54" s="186">
        <f t="shared" si="166"/>
        <v>0</v>
      </c>
      <c r="CM54" s="186">
        <f t="shared" si="166"/>
        <v>0</v>
      </c>
      <c r="CN54" s="186">
        <f t="shared" si="166"/>
        <v>0</v>
      </c>
      <c r="CO54" s="187">
        <f>SUM(CC54:CN54)</f>
        <v>0</v>
      </c>
      <c r="CP54" s="186">
        <f aca="true" t="shared" si="167" ref="CP54:DA54">CP52</f>
        <v>0</v>
      </c>
      <c r="CQ54" s="186">
        <f t="shared" si="167"/>
        <v>0</v>
      </c>
      <c r="CR54" s="186">
        <f t="shared" si="167"/>
        <v>0</v>
      </c>
      <c r="CS54" s="186">
        <f t="shared" si="167"/>
        <v>0</v>
      </c>
      <c r="CT54" s="186">
        <f t="shared" si="167"/>
        <v>0</v>
      </c>
      <c r="CU54" s="186">
        <f t="shared" si="167"/>
        <v>0</v>
      </c>
      <c r="CV54" s="186">
        <f t="shared" si="167"/>
        <v>0</v>
      </c>
      <c r="CW54" s="186">
        <f t="shared" si="167"/>
        <v>0</v>
      </c>
      <c r="CX54" s="186">
        <f t="shared" si="167"/>
        <v>0</v>
      </c>
      <c r="CY54" s="186">
        <f t="shared" si="167"/>
        <v>0</v>
      </c>
      <c r="CZ54" s="186">
        <f t="shared" si="167"/>
        <v>0</v>
      </c>
      <c r="DA54" s="186">
        <f t="shared" si="167"/>
        <v>0</v>
      </c>
      <c r="DB54" s="187">
        <f>SUM(CP54:DA54)</f>
        <v>0</v>
      </c>
      <c r="DC54" s="186">
        <f aca="true" t="shared" si="168" ref="DC54:DN54">DC52</f>
        <v>0</v>
      </c>
      <c r="DD54" s="186">
        <f t="shared" si="168"/>
        <v>0</v>
      </c>
      <c r="DE54" s="186">
        <f t="shared" si="168"/>
        <v>0</v>
      </c>
      <c r="DF54" s="186">
        <f t="shared" si="168"/>
        <v>0</v>
      </c>
      <c r="DG54" s="186">
        <f t="shared" si="168"/>
        <v>0</v>
      </c>
      <c r="DH54" s="186">
        <f t="shared" si="168"/>
        <v>0</v>
      </c>
      <c r="DI54" s="186">
        <f t="shared" si="168"/>
        <v>0</v>
      </c>
      <c r="DJ54" s="186">
        <f t="shared" si="168"/>
        <v>0</v>
      </c>
      <c r="DK54" s="186">
        <f t="shared" si="168"/>
        <v>0</v>
      </c>
      <c r="DL54" s="186">
        <f t="shared" si="168"/>
        <v>0</v>
      </c>
      <c r="DM54" s="186">
        <f t="shared" si="168"/>
        <v>0</v>
      </c>
      <c r="DN54" s="186">
        <f t="shared" si="168"/>
        <v>0</v>
      </c>
      <c r="DO54" s="187">
        <f>SUM(DC54:DN54)</f>
        <v>0</v>
      </c>
    </row>
    <row r="55" spans="1:119" ht="12.75">
      <c r="A55" s="180" t="s">
        <v>13</v>
      </c>
      <c r="B55" s="185">
        <f>DO55</f>
        <v>0</v>
      </c>
      <c r="C55" s="186">
        <f>C50</f>
        <v>0</v>
      </c>
      <c r="D55" s="186">
        <f aca="true" t="shared" si="169" ref="D55:N55">C55+D50-D53+D51</f>
        <v>0</v>
      </c>
      <c r="E55" s="186">
        <f t="shared" si="169"/>
        <v>0</v>
      </c>
      <c r="F55" s="186">
        <f t="shared" si="169"/>
        <v>0</v>
      </c>
      <c r="G55" s="186">
        <f t="shared" si="169"/>
        <v>0</v>
      </c>
      <c r="H55" s="186">
        <f t="shared" si="169"/>
        <v>0</v>
      </c>
      <c r="I55" s="186">
        <f t="shared" si="169"/>
        <v>0</v>
      </c>
      <c r="J55" s="186">
        <f t="shared" si="169"/>
        <v>0</v>
      </c>
      <c r="K55" s="186">
        <f t="shared" si="169"/>
        <v>0</v>
      </c>
      <c r="L55" s="186">
        <f t="shared" si="169"/>
        <v>0</v>
      </c>
      <c r="M55" s="186">
        <f t="shared" si="169"/>
        <v>0</v>
      </c>
      <c r="N55" s="186">
        <f t="shared" si="169"/>
        <v>0</v>
      </c>
      <c r="O55" s="187">
        <f>N55</f>
        <v>0</v>
      </c>
      <c r="P55" s="186">
        <f aca="true" t="shared" si="170" ref="P55:AA55">O55+P50-P53+P51</f>
        <v>0</v>
      </c>
      <c r="Q55" s="186">
        <f t="shared" si="170"/>
        <v>0</v>
      </c>
      <c r="R55" s="186">
        <f t="shared" si="170"/>
        <v>0</v>
      </c>
      <c r="S55" s="186">
        <f t="shared" si="170"/>
        <v>0</v>
      </c>
      <c r="T55" s="186">
        <f t="shared" si="170"/>
        <v>0</v>
      </c>
      <c r="U55" s="186">
        <f t="shared" si="170"/>
        <v>0</v>
      </c>
      <c r="V55" s="186">
        <f t="shared" si="170"/>
        <v>0</v>
      </c>
      <c r="W55" s="186">
        <f t="shared" si="170"/>
        <v>0</v>
      </c>
      <c r="X55" s="186">
        <f t="shared" si="170"/>
        <v>0</v>
      </c>
      <c r="Y55" s="186">
        <f t="shared" si="170"/>
        <v>0</v>
      </c>
      <c r="Z55" s="186">
        <f t="shared" si="170"/>
        <v>0</v>
      </c>
      <c r="AA55" s="186">
        <f t="shared" si="170"/>
        <v>0</v>
      </c>
      <c r="AB55" s="187">
        <f>AA55</f>
        <v>0</v>
      </c>
      <c r="AC55" s="186">
        <f aca="true" t="shared" si="171" ref="AC55:AN55">AB55+AC50-AC53+AC51</f>
        <v>0</v>
      </c>
      <c r="AD55" s="186">
        <f t="shared" si="171"/>
        <v>0</v>
      </c>
      <c r="AE55" s="186">
        <f t="shared" si="171"/>
        <v>0</v>
      </c>
      <c r="AF55" s="186">
        <f t="shared" si="171"/>
        <v>0</v>
      </c>
      <c r="AG55" s="186">
        <f t="shared" si="171"/>
        <v>0</v>
      </c>
      <c r="AH55" s="186">
        <f t="shared" si="171"/>
        <v>0</v>
      </c>
      <c r="AI55" s="186">
        <f t="shared" si="171"/>
        <v>0</v>
      </c>
      <c r="AJ55" s="186">
        <f t="shared" si="171"/>
        <v>0</v>
      </c>
      <c r="AK55" s="186">
        <f t="shared" si="171"/>
        <v>0</v>
      </c>
      <c r="AL55" s="186">
        <f t="shared" si="171"/>
        <v>0</v>
      </c>
      <c r="AM55" s="186">
        <f t="shared" si="171"/>
        <v>0</v>
      </c>
      <c r="AN55" s="186">
        <f t="shared" si="171"/>
        <v>0</v>
      </c>
      <c r="AO55" s="187">
        <f>AN55</f>
        <v>0</v>
      </c>
      <c r="AP55" s="186">
        <f aca="true" t="shared" si="172" ref="AP55:BA55">AO55+AP50-AP53+AP51</f>
        <v>0</v>
      </c>
      <c r="AQ55" s="186">
        <f t="shared" si="172"/>
        <v>0</v>
      </c>
      <c r="AR55" s="186">
        <f t="shared" si="172"/>
        <v>0</v>
      </c>
      <c r="AS55" s="186">
        <f t="shared" si="172"/>
        <v>0</v>
      </c>
      <c r="AT55" s="186">
        <f t="shared" si="172"/>
        <v>0</v>
      </c>
      <c r="AU55" s="186">
        <f t="shared" si="172"/>
        <v>0</v>
      </c>
      <c r="AV55" s="186">
        <f t="shared" si="172"/>
        <v>0</v>
      </c>
      <c r="AW55" s="186">
        <f t="shared" si="172"/>
        <v>0</v>
      </c>
      <c r="AX55" s="186">
        <f t="shared" si="172"/>
        <v>0</v>
      </c>
      <c r="AY55" s="186">
        <f t="shared" si="172"/>
        <v>0</v>
      </c>
      <c r="AZ55" s="186">
        <f t="shared" si="172"/>
        <v>0</v>
      </c>
      <c r="BA55" s="186">
        <f t="shared" si="172"/>
        <v>0</v>
      </c>
      <c r="BB55" s="187">
        <f>BA55</f>
        <v>0</v>
      </c>
      <c r="BC55" s="186">
        <f aca="true" t="shared" si="173" ref="BC55:BN55">BB55+BC50-BC53+BC51</f>
        <v>0</v>
      </c>
      <c r="BD55" s="186">
        <f t="shared" si="173"/>
        <v>0</v>
      </c>
      <c r="BE55" s="186">
        <f t="shared" si="173"/>
        <v>0</v>
      </c>
      <c r="BF55" s="186">
        <f t="shared" si="173"/>
        <v>0</v>
      </c>
      <c r="BG55" s="186">
        <f t="shared" si="173"/>
        <v>0</v>
      </c>
      <c r="BH55" s="186">
        <f t="shared" si="173"/>
        <v>0</v>
      </c>
      <c r="BI55" s="186">
        <f t="shared" si="173"/>
        <v>0</v>
      </c>
      <c r="BJ55" s="186">
        <f t="shared" si="173"/>
        <v>0</v>
      </c>
      <c r="BK55" s="186">
        <f t="shared" si="173"/>
        <v>0</v>
      </c>
      <c r="BL55" s="186">
        <f t="shared" si="173"/>
        <v>0</v>
      </c>
      <c r="BM55" s="186">
        <f t="shared" si="173"/>
        <v>0</v>
      </c>
      <c r="BN55" s="186">
        <f t="shared" si="173"/>
        <v>0</v>
      </c>
      <c r="BO55" s="187">
        <f>BN55</f>
        <v>0</v>
      </c>
      <c r="BP55" s="186">
        <f aca="true" t="shared" si="174" ref="BP55:CA55">BO55+BP50-BP53+BP51</f>
        <v>0</v>
      </c>
      <c r="BQ55" s="186">
        <f t="shared" si="174"/>
        <v>0</v>
      </c>
      <c r="BR55" s="186">
        <f t="shared" si="174"/>
        <v>0</v>
      </c>
      <c r="BS55" s="186">
        <f t="shared" si="174"/>
        <v>0</v>
      </c>
      <c r="BT55" s="186">
        <f t="shared" si="174"/>
        <v>0</v>
      </c>
      <c r="BU55" s="186">
        <f t="shared" si="174"/>
        <v>0</v>
      </c>
      <c r="BV55" s="186">
        <f t="shared" si="174"/>
        <v>0</v>
      </c>
      <c r="BW55" s="186">
        <f t="shared" si="174"/>
        <v>0</v>
      </c>
      <c r="BX55" s="186">
        <f t="shared" si="174"/>
        <v>0</v>
      </c>
      <c r="BY55" s="186">
        <f t="shared" si="174"/>
        <v>0</v>
      </c>
      <c r="BZ55" s="186">
        <f t="shared" si="174"/>
        <v>0</v>
      </c>
      <c r="CA55" s="186">
        <f t="shared" si="174"/>
        <v>0</v>
      </c>
      <c r="CB55" s="187">
        <f>CA55</f>
        <v>0</v>
      </c>
      <c r="CC55" s="186">
        <f aca="true" t="shared" si="175" ref="CC55:CN55">CB55+CC50-CC53+CC51</f>
        <v>0</v>
      </c>
      <c r="CD55" s="186">
        <f t="shared" si="175"/>
        <v>0</v>
      </c>
      <c r="CE55" s="186">
        <f t="shared" si="175"/>
        <v>0</v>
      </c>
      <c r="CF55" s="186">
        <f t="shared" si="175"/>
        <v>0</v>
      </c>
      <c r="CG55" s="186">
        <f t="shared" si="175"/>
        <v>0</v>
      </c>
      <c r="CH55" s="186">
        <f t="shared" si="175"/>
        <v>0</v>
      </c>
      <c r="CI55" s="186">
        <f t="shared" si="175"/>
        <v>0</v>
      </c>
      <c r="CJ55" s="186">
        <f t="shared" si="175"/>
        <v>0</v>
      </c>
      <c r="CK55" s="186">
        <f t="shared" si="175"/>
        <v>0</v>
      </c>
      <c r="CL55" s="186">
        <f t="shared" si="175"/>
        <v>0</v>
      </c>
      <c r="CM55" s="186">
        <f t="shared" si="175"/>
        <v>0</v>
      </c>
      <c r="CN55" s="186">
        <f t="shared" si="175"/>
        <v>0</v>
      </c>
      <c r="CO55" s="187">
        <f>CN55</f>
        <v>0</v>
      </c>
      <c r="CP55" s="186">
        <f aca="true" t="shared" si="176" ref="CP55:DA55">CO55+CP50-CP53+CP51</f>
        <v>0</v>
      </c>
      <c r="CQ55" s="186">
        <f t="shared" si="176"/>
        <v>0</v>
      </c>
      <c r="CR55" s="186">
        <f t="shared" si="176"/>
        <v>0</v>
      </c>
      <c r="CS55" s="186">
        <f t="shared" si="176"/>
        <v>0</v>
      </c>
      <c r="CT55" s="186">
        <f t="shared" si="176"/>
        <v>0</v>
      </c>
      <c r="CU55" s="186">
        <f t="shared" si="176"/>
        <v>0</v>
      </c>
      <c r="CV55" s="186">
        <f t="shared" si="176"/>
        <v>0</v>
      </c>
      <c r="CW55" s="186">
        <f t="shared" si="176"/>
        <v>0</v>
      </c>
      <c r="CX55" s="186">
        <f t="shared" si="176"/>
        <v>0</v>
      </c>
      <c r="CY55" s="186">
        <f t="shared" si="176"/>
        <v>0</v>
      </c>
      <c r="CZ55" s="186">
        <f t="shared" si="176"/>
        <v>0</v>
      </c>
      <c r="DA55" s="186">
        <f t="shared" si="176"/>
        <v>0</v>
      </c>
      <c r="DB55" s="187">
        <f>DA55</f>
        <v>0</v>
      </c>
      <c r="DC55" s="186">
        <f aca="true" t="shared" si="177" ref="DC55:DN55">DB55+DC50-DC53+DC51</f>
        <v>0</v>
      </c>
      <c r="DD55" s="186">
        <f t="shared" si="177"/>
        <v>0</v>
      </c>
      <c r="DE55" s="186">
        <f t="shared" si="177"/>
        <v>0</v>
      </c>
      <c r="DF55" s="186">
        <f t="shared" si="177"/>
        <v>0</v>
      </c>
      <c r="DG55" s="186">
        <f t="shared" si="177"/>
        <v>0</v>
      </c>
      <c r="DH55" s="186">
        <f t="shared" si="177"/>
        <v>0</v>
      </c>
      <c r="DI55" s="186">
        <f t="shared" si="177"/>
        <v>0</v>
      </c>
      <c r="DJ55" s="186">
        <f t="shared" si="177"/>
        <v>0</v>
      </c>
      <c r="DK55" s="186">
        <f t="shared" si="177"/>
        <v>0</v>
      </c>
      <c r="DL55" s="186">
        <f t="shared" si="177"/>
        <v>0</v>
      </c>
      <c r="DM55" s="186">
        <f t="shared" si="177"/>
        <v>0</v>
      </c>
      <c r="DN55" s="186">
        <f t="shared" si="177"/>
        <v>0</v>
      </c>
      <c r="DO55" s="187">
        <f>DN55</f>
        <v>0</v>
      </c>
    </row>
    <row r="56" spans="1:119" ht="12.75">
      <c r="A56" s="172" t="s">
        <v>70</v>
      </c>
      <c r="B56" s="281">
        <f>B41</f>
        <v>45</v>
      </c>
      <c r="CP56" s="175"/>
      <c r="DB56" s="172"/>
      <c r="DO56" s="172"/>
    </row>
    <row r="57" spans="1:119" ht="12.75">
      <c r="A57" s="282" t="s">
        <v>208</v>
      </c>
      <c r="B57" s="283">
        <f>$S$55*$B48/12/((1-(1+$B48/12)^-$B56))</f>
        <v>0</v>
      </c>
      <c r="DB57" s="172"/>
      <c r="DO57" s="172"/>
    </row>
    <row r="59" ht="12.75">
      <c r="A59" s="193">
        <f>B52-B51-B54</f>
        <v>0</v>
      </c>
    </row>
    <row r="60" ht="12.75">
      <c r="A60" s="193">
        <f>B50+B51-B53-B55</f>
        <v>0</v>
      </c>
    </row>
  </sheetData>
  <sheetProtection/>
  <mergeCells count="36">
    <mergeCell ref="C33:O33"/>
    <mergeCell ref="P33:AB33"/>
    <mergeCell ref="C48:O48"/>
    <mergeCell ref="P48:AB48"/>
    <mergeCell ref="AC48:AO48"/>
    <mergeCell ref="AP48:BB48"/>
    <mergeCell ref="BC48:BO48"/>
    <mergeCell ref="BP48:CB48"/>
    <mergeCell ref="CC18:CO18"/>
    <mergeCell ref="CP18:DB18"/>
    <mergeCell ref="DC18:DO18"/>
    <mergeCell ref="CP48:DB48"/>
    <mergeCell ref="DC48:DO48"/>
    <mergeCell ref="CC33:CO33"/>
    <mergeCell ref="CP33:DB33"/>
    <mergeCell ref="DC33:DO33"/>
    <mergeCell ref="CC48:CO48"/>
    <mergeCell ref="AC33:AO33"/>
    <mergeCell ref="AP33:BB33"/>
    <mergeCell ref="BC33:BO33"/>
    <mergeCell ref="BP33:CB33"/>
    <mergeCell ref="C18:O18"/>
    <mergeCell ref="P18:AB18"/>
    <mergeCell ref="AC18:AO18"/>
    <mergeCell ref="AP18:BB18"/>
    <mergeCell ref="BC18:BO18"/>
    <mergeCell ref="BP18:CB18"/>
    <mergeCell ref="DC5:DO5"/>
    <mergeCell ref="CP5:DB5"/>
    <mergeCell ref="CC5:CO5"/>
    <mergeCell ref="C5:O5"/>
    <mergeCell ref="P5:AB5"/>
    <mergeCell ref="AC5:AO5"/>
    <mergeCell ref="AP5:BB5"/>
    <mergeCell ref="BC5:BO5"/>
    <mergeCell ref="BP5:CB5"/>
  </mergeCells>
  <printOptions/>
  <pageMargins left="0.35433070866141736" right="0.1968503937007874" top="0.55" bottom="0.31496062992125984" header="0.1968503937007874" footer="0.2362204724409449"/>
  <pageSetup horizontalDpi="600" verticalDpi="600" orientation="landscape" paperSize="9" scale="11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G27"/>
  <sheetViews>
    <sheetView showGridLines="0" zoomScalePageLayoutView="0" workbookViewId="0" topLeftCell="A1">
      <pane xSplit="2" ySplit="4" topLeftCell="C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E22" sqref="AE22"/>
    </sheetView>
  </sheetViews>
  <sheetFormatPr defaultColWidth="8.875" defaultRowHeight="12.75" outlineLevelRow="1" outlineLevelCol="1"/>
  <cols>
    <col min="1" max="1" width="37.75390625" style="76" customWidth="1"/>
    <col min="2" max="2" width="8.625" style="76" customWidth="1"/>
    <col min="3" max="3" width="9.00390625" style="76" customWidth="1"/>
    <col min="4" max="4" width="9.625" style="76" customWidth="1"/>
    <col min="5" max="14" width="5.75390625" style="76" customWidth="1" outlineLevel="1"/>
    <col min="15" max="15" width="6.625" style="76" customWidth="1" outlineLevel="1"/>
    <col min="16" max="16" width="7.125" style="76" customWidth="1" outlineLevel="1"/>
    <col min="17" max="17" width="10.125" style="76" customWidth="1"/>
    <col min="18" max="18" width="5.625" style="76" hidden="1" customWidth="1" outlineLevel="1"/>
    <col min="19" max="19" width="6.25390625" style="76" hidden="1" customWidth="1" outlineLevel="1"/>
    <col min="20" max="20" width="5.875" style="76" hidden="1" customWidth="1" outlineLevel="1"/>
    <col min="21" max="21" width="5.75390625" style="76" hidden="1" customWidth="1" outlineLevel="1"/>
    <col min="22" max="22" width="5.875" style="76" hidden="1" customWidth="1" outlineLevel="1"/>
    <col min="23" max="23" width="6.375" style="76" hidden="1" customWidth="1" outlineLevel="1"/>
    <col min="24" max="24" width="6.75390625" style="76" hidden="1" customWidth="1" outlineLevel="1"/>
    <col min="25" max="26" width="5.125" style="76" hidden="1" customWidth="1" outlineLevel="1"/>
    <col min="27" max="27" width="6.00390625" style="76" hidden="1" customWidth="1" outlineLevel="1"/>
    <col min="28" max="28" width="6.625" style="76" hidden="1" customWidth="1" outlineLevel="1"/>
    <col min="29" max="29" width="7.125" style="76" hidden="1" customWidth="1" outlineLevel="1"/>
    <col min="30" max="30" width="10.125" style="76" hidden="1" customWidth="1" outlineLevel="1"/>
    <col min="31" max="31" width="13.00390625" style="76" customWidth="1" collapsed="1"/>
    <col min="32" max="32" width="16.00390625" style="76" customWidth="1"/>
    <col min="33" max="33" width="12.875" style="76" bestFit="1" customWidth="1"/>
    <col min="34" max="16384" width="8.875" style="76" customWidth="1"/>
  </cols>
  <sheetData>
    <row r="1" ht="12.75">
      <c r="A1" s="60" t="s">
        <v>203</v>
      </c>
    </row>
    <row r="2" spans="2:32" ht="12.75">
      <c r="B2" s="168"/>
      <c r="Q2" s="144" t="str">
        <f>Исх!$C$11</f>
        <v>тыс.тг.</v>
      </c>
      <c r="AD2" s="144" t="s">
        <v>51</v>
      </c>
      <c r="AE2" s="194"/>
      <c r="AF2" s="166"/>
    </row>
    <row r="3" spans="1:32" ht="12.75">
      <c r="A3" s="359" t="s">
        <v>169</v>
      </c>
      <c r="B3" s="360" t="s">
        <v>145</v>
      </c>
      <c r="C3" s="360" t="s">
        <v>146</v>
      </c>
      <c r="D3" s="361" t="s">
        <v>144</v>
      </c>
      <c r="E3" s="356">
        <v>2013</v>
      </c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8"/>
      <c r="Q3" s="89" t="s">
        <v>0</v>
      </c>
      <c r="R3" s="356">
        <v>2014</v>
      </c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8"/>
      <c r="AD3" s="89" t="s">
        <v>0</v>
      </c>
      <c r="AE3" s="322" t="s">
        <v>312</v>
      </c>
      <c r="AF3" s="195"/>
    </row>
    <row r="4" spans="1:30" ht="12.75">
      <c r="A4" s="359"/>
      <c r="B4" s="360"/>
      <c r="C4" s="360"/>
      <c r="D4" s="361"/>
      <c r="E4" s="196">
        <v>1</v>
      </c>
      <c r="F4" s="196">
        <v>2</v>
      </c>
      <c r="G4" s="196">
        <v>3</v>
      </c>
      <c r="H4" s="196">
        <v>4</v>
      </c>
      <c r="I4" s="196">
        <v>5</v>
      </c>
      <c r="J4" s="196">
        <v>6</v>
      </c>
      <c r="K4" s="196">
        <v>7</v>
      </c>
      <c r="L4" s="196">
        <v>8</v>
      </c>
      <c r="M4" s="196">
        <v>9</v>
      </c>
      <c r="N4" s="196">
        <v>10</v>
      </c>
      <c r="O4" s="196">
        <v>11</v>
      </c>
      <c r="P4" s="196">
        <v>12</v>
      </c>
      <c r="Q4" s="91">
        <v>2013</v>
      </c>
      <c r="R4" s="196">
        <v>1</v>
      </c>
      <c r="S4" s="196">
        <v>2</v>
      </c>
      <c r="T4" s="196">
        <v>3</v>
      </c>
      <c r="U4" s="196">
        <v>4</v>
      </c>
      <c r="V4" s="196">
        <v>5</v>
      </c>
      <c r="W4" s="196">
        <v>6</v>
      </c>
      <c r="X4" s="196">
        <v>7</v>
      </c>
      <c r="Y4" s="196">
        <v>8</v>
      </c>
      <c r="Z4" s="196">
        <v>9</v>
      </c>
      <c r="AA4" s="196">
        <v>10</v>
      </c>
      <c r="AB4" s="196">
        <v>11</v>
      </c>
      <c r="AC4" s="196">
        <v>12</v>
      </c>
      <c r="AD4" s="91">
        <v>2014</v>
      </c>
    </row>
    <row r="5" spans="1:32" s="60" customFormat="1" ht="12.75">
      <c r="A5" s="197" t="s">
        <v>168</v>
      </c>
      <c r="B5" s="198"/>
      <c r="C5" s="198"/>
      <c r="D5" s="141">
        <f aca="true" t="shared" si="0" ref="D5:AD5">SUM(D6:D7)</f>
        <v>0</v>
      </c>
      <c r="E5" s="141">
        <f t="shared" si="0"/>
        <v>0</v>
      </c>
      <c r="F5" s="141">
        <f t="shared" si="0"/>
        <v>0</v>
      </c>
      <c r="G5" s="141">
        <f t="shared" si="0"/>
        <v>0</v>
      </c>
      <c r="H5" s="141">
        <f t="shared" si="0"/>
        <v>0</v>
      </c>
      <c r="I5" s="141">
        <f t="shared" si="0"/>
        <v>0</v>
      </c>
      <c r="J5" s="141">
        <f t="shared" si="0"/>
        <v>0</v>
      </c>
      <c r="K5" s="141">
        <f t="shared" si="0"/>
        <v>0</v>
      </c>
      <c r="L5" s="141">
        <f t="shared" si="0"/>
        <v>0</v>
      </c>
      <c r="M5" s="141">
        <f t="shared" si="0"/>
        <v>0</v>
      </c>
      <c r="N5" s="141">
        <f t="shared" si="0"/>
        <v>0</v>
      </c>
      <c r="O5" s="141">
        <f t="shared" si="0"/>
        <v>0</v>
      </c>
      <c r="P5" s="141">
        <f t="shared" si="0"/>
        <v>0</v>
      </c>
      <c r="Q5" s="141">
        <f t="shared" si="0"/>
        <v>0</v>
      </c>
      <c r="R5" s="141">
        <f t="shared" si="0"/>
        <v>0</v>
      </c>
      <c r="S5" s="141">
        <f t="shared" si="0"/>
        <v>0</v>
      </c>
      <c r="T5" s="141">
        <f t="shared" si="0"/>
        <v>0</v>
      </c>
      <c r="U5" s="141">
        <f t="shared" si="0"/>
        <v>0</v>
      </c>
      <c r="V5" s="141">
        <f t="shared" si="0"/>
        <v>0</v>
      </c>
      <c r="W5" s="141">
        <f t="shared" si="0"/>
        <v>0</v>
      </c>
      <c r="X5" s="141">
        <f t="shared" si="0"/>
        <v>0</v>
      </c>
      <c r="Y5" s="141">
        <f t="shared" si="0"/>
        <v>0</v>
      </c>
      <c r="Z5" s="141">
        <f t="shared" si="0"/>
        <v>0</v>
      </c>
      <c r="AA5" s="141">
        <f t="shared" si="0"/>
        <v>0</v>
      </c>
      <c r="AB5" s="141">
        <f t="shared" si="0"/>
        <v>0</v>
      </c>
      <c r="AC5" s="141">
        <f t="shared" si="0"/>
        <v>0</v>
      </c>
      <c r="AD5" s="141">
        <f t="shared" si="0"/>
        <v>0</v>
      </c>
      <c r="AF5" s="76"/>
    </row>
    <row r="6" spans="1:30" ht="12.75" outlineLevel="1">
      <c r="A6" s="199"/>
      <c r="B6" s="44"/>
      <c r="C6" s="44"/>
      <c r="D6" s="148">
        <f>B6*C6</f>
        <v>0</v>
      </c>
      <c r="E6" s="143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>
        <f>SUM(E6:P6)</f>
        <v>0</v>
      </c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9">
        <f>SUM(R6:AC6)</f>
        <v>0</v>
      </c>
    </row>
    <row r="7" spans="1:30" ht="12.75" hidden="1" outlineLevel="1">
      <c r="A7" s="199"/>
      <c r="B7" s="233"/>
      <c r="C7" s="233"/>
      <c r="D7" s="148">
        <f>B7*C7</f>
        <v>0</v>
      </c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9">
        <f>SUM(E7:P7)</f>
        <v>0</v>
      </c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9">
        <f>SUM(R7:AC7)</f>
        <v>0</v>
      </c>
    </row>
    <row r="8" spans="1:30" ht="12.75" collapsed="1">
      <c r="A8" s="197" t="s">
        <v>97</v>
      </c>
      <c r="B8" s="198"/>
      <c r="C8" s="198"/>
      <c r="D8" s="141">
        <f aca="true" t="shared" si="1" ref="D8:AD8">SUM(D9:D10)</f>
        <v>7806.150000000001</v>
      </c>
      <c r="E8" s="141">
        <f t="shared" si="1"/>
        <v>0</v>
      </c>
      <c r="F8" s="141">
        <f t="shared" si="1"/>
        <v>0</v>
      </c>
      <c r="G8" s="141">
        <f t="shared" si="1"/>
        <v>0</v>
      </c>
      <c r="H8" s="141">
        <f t="shared" si="1"/>
        <v>0</v>
      </c>
      <c r="I8" s="141">
        <f t="shared" si="1"/>
        <v>0</v>
      </c>
      <c r="J8" s="141">
        <f t="shared" si="1"/>
        <v>0</v>
      </c>
      <c r="K8" s="141">
        <f t="shared" si="1"/>
        <v>0</v>
      </c>
      <c r="L8" s="141">
        <f t="shared" si="1"/>
        <v>0</v>
      </c>
      <c r="M8" s="141">
        <f t="shared" si="1"/>
        <v>0</v>
      </c>
      <c r="N8" s="141">
        <f t="shared" si="1"/>
        <v>0</v>
      </c>
      <c r="O8" s="141">
        <f t="shared" si="1"/>
        <v>7806.150000000001</v>
      </c>
      <c r="P8" s="141">
        <f t="shared" si="1"/>
        <v>0</v>
      </c>
      <c r="Q8" s="141">
        <f t="shared" si="1"/>
        <v>7806.150000000001</v>
      </c>
      <c r="R8" s="141">
        <f t="shared" si="1"/>
        <v>0</v>
      </c>
      <c r="S8" s="141">
        <f t="shared" si="1"/>
        <v>0</v>
      </c>
      <c r="T8" s="141">
        <f t="shared" si="1"/>
        <v>0</v>
      </c>
      <c r="U8" s="141">
        <f t="shared" si="1"/>
        <v>0</v>
      </c>
      <c r="V8" s="141">
        <f t="shared" si="1"/>
        <v>0</v>
      </c>
      <c r="W8" s="141">
        <f t="shared" si="1"/>
        <v>0</v>
      </c>
      <c r="X8" s="141">
        <f t="shared" si="1"/>
        <v>0</v>
      </c>
      <c r="Y8" s="141">
        <f t="shared" si="1"/>
        <v>0</v>
      </c>
      <c r="Z8" s="141">
        <f t="shared" si="1"/>
        <v>0</v>
      </c>
      <c r="AA8" s="141">
        <f t="shared" si="1"/>
        <v>0</v>
      </c>
      <c r="AB8" s="141">
        <f t="shared" si="1"/>
        <v>0</v>
      </c>
      <c r="AC8" s="141">
        <f t="shared" si="1"/>
        <v>0</v>
      </c>
      <c r="AD8" s="141">
        <f t="shared" si="1"/>
        <v>0</v>
      </c>
    </row>
    <row r="9" spans="1:31" ht="12.75" outlineLevel="1">
      <c r="A9" s="200" t="s">
        <v>310</v>
      </c>
      <c r="B9" s="142">
        <v>3</v>
      </c>
      <c r="C9" s="142">
        <f>565*Исх!$C$6</f>
        <v>2582.05</v>
      </c>
      <c r="D9" s="148">
        <f>B9*C9</f>
        <v>7746.150000000001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>
        <f>D9</f>
        <v>7746.150000000001</v>
      </c>
      <c r="P9" s="148"/>
      <c r="Q9" s="149">
        <f>SUM(E9:P9)</f>
        <v>7746.150000000001</v>
      </c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9">
        <f>SUM(R9:AC9)</f>
        <v>0</v>
      </c>
      <c r="AE9" s="305" t="s">
        <v>311</v>
      </c>
    </row>
    <row r="10" spans="1:33" ht="12.75" outlineLevel="1">
      <c r="A10" s="200" t="s">
        <v>314</v>
      </c>
      <c r="B10" s="142">
        <f>B9</f>
        <v>3</v>
      </c>
      <c r="C10" s="142">
        <v>20</v>
      </c>
      <c r="D10" s="148">
        <f>B10*C10</f>
        <v>60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>
        <f>D10</f>
        <v>60</v>
      </c>
      <c r="P10" s="148"/>
      <c r="Q10" s="149">
        <f>SUM(E10:P10)</f>
        <v>60</v>
      </c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9">
        <f>SUM(R10:AC10)</f>
        <v>0</v>
      </c>
      <c r="AG10" s="76" t="s">
        <v>238</v>
      </c>
    </row>
    <row r="11" spans="1:30" ht="12.75">
      <c r="A11" s="197" t="s">
        <v>274</v>
      </c>
      <c r="B11" s="198"/>
      <c r="C11" s="198"/>
      <c r="D11" s="141">
        <f aca="true" t="shared" si="2" ref="D11:AD11">SUM(D12:D16)</f>
        <v>3002.7695000000003</v>
      </c>
      <c r="E11" s="141">
        <f t="shared" si="2"/>
        <v>0</v>
      </c>
      <c r="F11" s="141">
        <f t="shared" si="2"/>
        <v>0</v>
      </c>
      <c r="G11" s="141">
        <f t="shared" si="2"/>
        <v>0</v>
      </c>
      <c r="H11" s="141">
        <f t="shared" si="2"/>
        <v>0</v>
      </c>
      <c r="I11" s="141">
        <f t="shared" si="2"/>
        <v>0</v>
      </c>
      <c r="J11" s="141">
        <f t="shared" si="2"/>
        <v>0</v>
      </c>
      <c r="K11" s="141">
        <f t="shared" si="2"/>
        <v>0</v>
      </c>
      <c r="L11" s="141">
        <f t="shared" si="2"/>
        <v>0</v>
      </c>
      <c r="M11" s="141">
        <f t="shared" si="2"/>
        <v>0</v>
      </c>
      <c r="N11" s="141">
        <f t="shared" si="2"/>
        <v>0</v>
      </c>
      <c r="O11" s="141">
        <f t="shared" si="2"/>
        <v>3002.7695000000003</v>
      </c>
      <c r="P11" s="141">
        <f t="shared" si="2"/>
        <v>0</v>
      </c>
      <c r="Q11" s="141">
        <f t="shared" si="2"/>
        <v>3002.7695000000003</v>
      </c>
      <c r="R11" s="141">
        <f t="shared" si="2"/>
        <v>0</v>
      </c>
      <c r="S11" s="141">
        <f t="shared" si="2"/>
        <v>0</v>
      </c>
      <c r="T11" s="141">
        <f t="shared" si="2"/>
        <v>0</v>
      </c>
      <c r="U11" s="141">
        <f t="shared" si="2"/>
        <v>0</v>
      </c>
      <c r="V11" s="141">
        <f t="shared" si="2"/>
        <v>0</v>
      </c>
      <c r="W11" s="141">
        <f t="shared" si="2"/>
        <v>0</v>
      </c>
      <c r="X11" s="141">
        <f t="shared" si="2"/>
        <v>0</v>
      </c>
      <c r="Y11" s="141">
        <f t="shared" si="2"/>
        <v>0</v>
      </c>
      <c r="Z11" s="141">
        <f t="shared" si="2"/>
        <v>0</v>
      </c>
      <c r="AA11" s="141">
        <f t="shared" si="2"/>
        <v>0</v>
      </c>
      <c r="AB11" s="141">
        <f t="shared" si="2"/>
        <v>0</v>
      </c>
      <c r="AC11" s="141">
        <f t="shared" si="2"/>
        <v>0</v>
      </c>
      <c r="AD11" s="141">
        <f t="shared" si="2"/>
        <v>0</v>
      </c>
    </row>
    <row r="12" spans="1:31" ht="12.75" outlineLevel="1">
      <c r="A12" s="200" t="s">
        <v>275</v>
      </c>
      <c r="B12" s="142">
        <v>1</v>
      </c>
      <c r="C12" s="142">
        <f>528.5*1.1*Исх!$C$6</f>
        <v>2656.7695000000003</v>
      </c>
      <c r="D12" s="148">
        <f>B12*C12</f>
        <v>2656.7695000000003</v>
      </c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>
        <f>D12</f>
        <v>2656.7695000000003</v>
      </c>
      <c r="P12" s="148"/>
      <c r="Q12" s="149">
        <f>SUM(E12:P12)</f>
        <v>2656.7695000000003</v>
      </c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9">
        <f>SUM(R12:AC12)</f>
        <v>0</v>
      </c>
      <c r="AE12" s="305" t="s">
        <v>276</v>
      </c>
    </row>
    <row r="13" spans="1:30" ht="12.75" outlineLevel="1">
      <c r="A13" s="200" t="s">
        <v>237</v>
      </c>
      <c r="B13" s="142">
        <v>1</v>
      </c>
      <c r="C13" s="142">
        <v>24</v>
      </c>
      <c r="D13" s="148">
        <f>B13*C13</f>
        <v>24</v>
      </c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>
        <f>D13</f>
        <v>24</v>
      </c>
      <c r="P13" s="148"/>
      <c r="Q13" s="149">
        <f>SUM(E13:P13)</f>
        <v>24</v>
      </c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9">
        <f>SUM(R13:AC13)</f>
        <v>0</v>
      </c>
    </row>
    <row r="14" spans="1:30" ht="12.75" outlineLevel="1">
      <c r="A14" s="200" t="s">
        <v>267</v>
      </c>
      <c r="B14" s="142">
        <f>B13</f>
        <v>1</v>
      </c>
      <c r="C14" s="142">
        <v>100</v>
      </c>
      <c r="D14" s="148">
        <f>B14*C14</f>
        <v>100</v>
      </c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>
        <f>D14</f>
        <v>100</v>
      </c>
      <c r="P14" s="148"/>
      <c r="Q14" s="149">
        <f>SUM(E14:P14)</f>
        <v>100</v>
      </c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9">
        <f>SUM(R14:AC14)</f>
        <v>0</v>
      </c>
    </row>
    <row r="15" spans="1:30" ht="12.75" outlineLevel="1">
      <c r="A15" s="200" t="s">
        <v>252</v>
      </c>
      <c r="B15" s="143">
        <f>B16</f>
        <v>6</v>
      </c>
      <c r="C15" s="142">
        <v>30</v>
      </c>
      <c r="D15" s="148">
        <f>B15*C15</f>
        <v>180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>
        <f>D15</f>
        <v>180</v>
      </c>
      <c r="P15" s="148"/>
      <c r="Q15" s="149">
        <f>SUM(E15:P15)</f>
        <v>180</v>
      </c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9">
        <f>SUM(R15:AC15)</f>
        <v>0</v>
      </c>
    </row>
    <row r="16" spans="1:30" ht="25.5" outlineLevel="1">
      <c r="A16" s="254" t="s">
        <v>313</v>
      </c>
      <c r="B16" s="142">
        <f>B9*2</f>
        <v>6</v>
      </c>
      <c r="C16" s="142">
        <v>7</v>
      </c>
      <c r="D16" s="148">
        <f>B16*C16</f>
        <v>42</v>
      </c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>
        <f>D16</f>
        <v>42</v>
      </c>
      <c r="P16" s="148"/>
      <c r="Q16" s="149">
        <f>SUM(E16:P16)</f>
        <v>42</v>
      </c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9">
        <f>SUM(R16:AC16)</f>
        <v>0</v>
      </c>
    </row>
    <row r="17" spans="1:30" ht="12.75">
      <c r="A17" s="138" t="s">
        <v>0</v>
      </c>
      <c r="B17" s="162"/>
      <c r="C17" s="162"/>
      <c r="D17" s="162">
        <f aca="true" t="shared" si="3" ref="D17:AD17">D5+D8+D11</f>
        <v>10808.9195</v>
      </c>
      <c r="E17" s="162">
        <f t="shared" si="3"/>
        <v>0</v>
      </c>
      <c r="F17" s="162">
        <f t="shared" si="3"/>
        <v>0</v>
      </c>
      <c r="G17" s="162">
        <f t="shared" si="3"/>
        <v>0</v>
      </c>
      <c r="H17" s="162">
        <f t="shared" si="3"/>
        <v>0</v>
      </c>
      <c r="I17" s="162">
        <f t="shared" si="3"/>
        <v>0</v>
      </c>
      <c r="J17" s="162">
        <f t="shared" si="3"/>
        <v>0</v>
      </c>
      <c r="K17" s="162">
        <f t="shared" si="3"/>
        <v>0</v>
      </c>
      <c r="L17" s="162">
        <f t="shared" si="3"/>
        <v>0</v>
      </c>
      <c r="M17" s="162">
        <f t="shared" si="3"/>
        <v>0</v>
      </c>
      <c r="N17" s="162">
        <f t="shared" si="3"/>
        <v>0</v>
      </c>
      <c r="O17" s="162">
        <f t="shared" si="3"/>
        <v>10808.9195</v>
      </c>
      <c r="P17" s="162">
        <f t="shared" si="3"/>
        <v>0</v>
      </c>
      <c r="Q17" s="162">
        <f t="shared" si="3"/>
        <v>10808.9195</v>
      </c>
      <c r="R17" s="162">
        <f t="shared" si="3"/>
        <v>0</v>
      </c>
      <c r="S17" s="162">
        <f t="shared" si="3"/>
        <v>0</v>
      </c>
      <c r="T17" s="162">
        <f t="shared" si="3"/>
        <v>0</v>
      </c>
      <c r="U17" s="162">
        <f t="shared" si="3"/>
        <v>0</v>
      </c>
      <c r="V17" s="162">
        <f t="shared" si="3"/>
        <v>0</v>
      </c>
      <c r="W17" s="162">
        <f t="shared" si="3"/>
        <v>0</v>
      </c>
      <c r="X17" s="162">
        <f t="shared" si="3"/>
        <v>0</v>
      </c>
      <c r="Y17" s="162">
        <f t="shared" si="3"/>
        <v>0</v>
      </c>
      <c r="Z17" s="162">
        <f t="shared" si="3"/>
        <v>0</v>
      </c>
      <c r="AA17" s="162">
        <f t="shared" si="3"/>
        <v>0</v>
      </c>
      <c r="AB17" s="162">
        <f t="shared" si="3"/>
        <v>0</v>
      </c>
      <c r="AC17" s="162">
        <f t="shared" si="3"/>
        <v>0</v>
      </c>
      <c r="AD17" s="162">
        <f t="shared" si="3"/>
        <v>0</v>
      </c>
    </row>
    <row r="18" ht="12.75">
      <c r="D18" s="194">
        <f>D17-Q17-AD17</f>
        <v>0</v>
      </c>
    </row>
    <row r="19" spans="2:4" ht="12.75">
      <c r="B19" s="144" t="s">
        <v>51</v>
      </c>
      <c r="C19" s="194" t="s">
        <v>38</v>
      </c>
      <c r="D19" s="201" t="s">
        <v>89</v>
      </c>
    </row>
    <row r="20" spans="1:25" ht="12.75">
      <c r="A20" s="76" t="s">
        <v>101</v>
      </c>
      <c r="B20" s="194">
        <f>D5</f>
        <v>0</v>
      </c>
      <c r="C20" s="194">
        <f>B20/Исх!$C$20</f>
        <v>0</v>
      </c>
      <c r="D20" s="163">
        <f>B20/Исх!$C$5</f>
        <v>0</v>
      </c>
      <c r="L20" s="168"/>
      <c r="Y20" s="168"/>
    </row>
    <row r="21" spans="1:25" ht="12.75">
      <c r="A21" s="76" t="s">
        <v>97</v>
      </c>
      <c r="B21" s="194">
        <f>D8</f>
        <v>7806.150000000001</v>
      </c>
      <c r="C21" s="194">
        <f>B21/Исх!$C$20</f>
        <v>7806.150000000001</v>
      </c>
      <c r="D21" s="163">
        <f>B21/Исх!$C$5</f>
        <v>51.373149062191516</v>
      </c>
      <c r="L21" s="168"/>
      <c r="Y21" s="168"/>
    </row>
    <row r="22" spans="1:25" ht="12.75">
      <c r="A22" s="76" t="s">
        <v>172</v>
      </c>
      <c r="B22" s="194">
        <f>D11</f>
        <v>3002.7695000000003</v>
      </c>
      <c r="C22" s="194">
        <f>B22/Исх!$C$20</f>
        <v>3002.7695000000003</v>
      </c>
      <c r="D22" s="163">
        <f>B22/Исх!$C$5</f>
        <v>19.761563014149395</v>
      </c>
      <c r="L22" s="168"/>
      <c r="Y22" s="168"/>
    </row>
    <row r="23" spans="1:4" ht="12.75">
      <c r="A23" s="60" t="s">
        <v>80</v>
      </c>
      <c r="B23" s="202">
        <f>SUM(B20:B22)</f>
        <v>10808.9195</v>
      </c>
      <c r="C23" s="202">
        <f>SUM(C20:C22)</f>
        <v>10808.9195</v>
      </c>
      <c r="D23" s="202">
        <f>SUM(D20:D22)</f>
        <v>71.13471207634092</v>
      </c>
    </row>
    <row r="25" ht="12.75">
      <c r="B25" s="194"/>
    </row>
    <row r="26" ht="12.75">
      <c r="B26" s="194"/>
    </row>
    <row r="27" ht="12.75">
      <c r="B27" s="194"/>
    </row>
  </sheetData>
  <sheetProtection/>
  <mergeCells count="6">
    <mergeCell ref="R3:AC3"/>
    <mergeCell ref="E3:P3"/>
    <mergeCell ref="A3:A4"/>
    <mergeCell ref="B3:B4"/>
    <mergeCell ref="C3:C4"/>
    <mergeCell ref="D3:D4"/>
  </mergeCells>
  <hyperlinks>
    <hyperlink ref="AE9" r:id="rId1" display="http://www.soda.ru/indexpro.php?razd=prod/nonliquids&amp;pg=showtorgs.php&amp;news=2012-09-27_002.txt"/>
    <hyperlink ref="AE3" r:id="rId2" display="http://www.blasting-s.ru/service/equipment"/>
    <hyperlink ref="AE12" r:id="rId3" display="http://www.avtosystem.su/catalog/gaz/"/>
  </hyperlinks>
  <printOptions/>
  <pageMargins left="0.4724409448818898" right="0.2362204724409449" top="0.65" bottom="0.2755905511811024" header="0.35433070866141736" footer="0.1968503937007874"/>
  <pageSetup horizontalDpi="600" verticalDpi="600" orientation="landscape" paperSize="9" scale="96" r:id="rId4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J13"/>
  <sheetViews>
    <sheetView showGridLines="0" zoomScalePageLayoutView="0" workbookViewId="0" topLeftCell="A1">
      <pane ySplit="3" topLeftCell="A4" activePane="bottomLeft" state="frozen"/>
      <selection pane="topLeft" activeCell="A34" sqref="A34"/>
      <selection pane="bottomLeft" activeCell="A7" sqref="A7"/>
    </sheetView>
  </sheetViews>
  <sheetFormatPr defaultColWidth="9.00390625" defaultRowHeight="12.75"/>
  <cols>
    <col min="1" max="1" width="40.875" style="76" customWidth="1"/>
    <col min="2" max="2" width="8.875" style="76" hidden="1" customWidth="1"/>
    <col min="3" max="10" width="7.875" style="76" customWidth="1"/>
    <col min="11" max="16384" width="9.125" style="76" customWidth="1"/>
  </cols>
  <sheetData>
    <row r="1" spans="1:6" ht="12.75">
      <c r="A1" s="60" t="s">
        <v>66</v>
      </c>
      <c r="B1" s="60"/>
      <c r="C1" s="60"/>
      <c r="D1" s="60"/>
      <c r="E1" s="60"/>
      <c r="F1" s="60"/>
    </row>
    <row r="2" spans="1:10" ht="12.75">
      <c r="A2" s="203"/>
      <c r="B2" s="203"/>
      <c r="C2" s="203"/>
      <c r="D2" s="203"/>
      <c r="E2" s="203"/>
      <c r="F2" s="203"/>
      <c r="J2" s="144" t="str">
        <f>Исх!$C$11</f>
        <v>тыс.тг.</v>
      </c>
    </row>
    <row r="3" spans="1:10" ht="12.75">
      <c r="A3" s="211" t="s">
        <v>7</v>
      </c>
      <c r="B3" s="225">
        <v>2013</v>
      </c>
      <c r="C3" s="225">
        <f>B3+1</f>
        <v>2014</v>
      </c>
      <c r="D3" s="225">
        <f aca="true" t="shared" si="0" ref="D3:I3">C3+1</f>
        <v>2015</v>
      </c>
      <c r="E3" s="225">
        <f t="shared" si="0"/>
        <v>2016</v>
      </c>
      <c r="F3" s="225">
        <f t="shared" si="0"/>
        <v>2017</v>
      </c>
      <c r="G3" s="225">
        <f t="shared" si="0"/>
        <v>2018</v>
      </c>
      <c r="H3" s="225">
        <f t="shared" si="0"/>
        <v>2019</v>
      </c>
      <c r="I3" s="225">
        <f t="shared" si="0"/>
        <v>2020</v>
      </c>
      <c r="J3" s="225">
        <f>I3+1</f>
        <v>2021</v>
      </c>
    </row>
    <row r="4" spans="1:10" ht="12.75">
      <c r="A4" s="204" t="s">
        <v>320</v>
      </c>
      <c r="B4" s="205">
        <f>'2-ф2'!P5</f>
        <v>0</v>
      </c>
      <c r="C4" s="205">
        <f>'2-ф2'!AC5</f>
        <v>29750.699999999997</v>
      </c>
      <c r="D4" s="205">
        <f>'2-ф2'!AD5</f>
        <v>35700.84</v>
      </c>
      <c r="E4" s="205">
        <f>'2-ф2'!AE5</f>
        <v>38250.9</v>
      </c>
      <c r="F4" s="205">
        <f>'2-ф2'!AF5</f>
        <v>40800.96</v>
      </c>
      <c r="G4" s="205">
        <f>'2-ф2'!AG5</f>
        <v>43351.02</v>
      </c>
      <c r="H4" s="205">
        <f>'2-ф2'!AH5</f>
        <v>45901.08</v>
      </c>
      <c r="I4" s="205">
        <f>'2-ф2'!AI5</f>
        <v>48451.14</v>
      </c>
      <c r="J4" s="205">
        <f>'2-ф2'!AJ5</f>
        <v>51001.2</v>
      </c>
    </row>
    <row r="5" spans="1:10" ht="12.75">
      <c r="A5" s="204" t="s">
        <v>81</v>
      </c>
      <c r="B5" s="206">
        <f aca="true" t="shared" si="1" ref="B5:H5">B4-B6</f>
        <v>-92.29971960416668</v>
      </c>
      <c r="C5" s="206">
        <f t="shared" si="1"/>
        <v>4893.973797942141</v>
      </c>
      <c r="D5" s="206">
        <f t="shared" si="1"/>
        <v>7169.970337048941</v>
      </c>
      <c r="E5" s="206">
        <f t="shared" si="1"/>
        <v>8211.929533349798</v>
      </c>
      <c r="F5" s="206">
        <f t="shared" si="1"/>
        <v>9262.818439712733</v>
      </c>
      <c r="G5" s="206">
        <f t="shared" si="1"/>
        <v>10112.797521814697</v>
      </c>
      <c r="H5" s="206">
        <f t="shared" si="1"/>
        <v>10824.360438942196</v>
      </c>
      <c r="I5" s="206">
        <f>I4-I6</f>
        <v>11524.054448051073</v>
      </c>
      <c r="J5" s="206">
        <f>J4-J6</f>
        <v>12211.286103740393</v>
      </c>
    </row>
    <row r="6" spans="1:10" ht="12.75">
      <c r="A6" s="204" t="s">
        <v>321</v>
      </c>
      <c r="B6" s="207">
        <f aca="true" t="shared" si="2" ref="B6:H6">SUM(B7:B8)</f>
        <v>92.29971960416668</v>
      </c>
      <c r="C6" s="207">
        <f t="shared" si="2"/>
        <v>24856.726202057856</v>
      </c>
      <c r="D6" s="207">
        <f t="shared" si="2"/>
        <v>28530.869662951056</v>
      </c>
      <c r="E6" s="207">
        <f t="shared" si="2"/>
        <v>30038.970466650204</v>
      </c>
      <c r="F6" s="207">
        <f t="shared" si="2"/>
        <v>31538.141560287266</v>
      </c>
      <c r="G6" s="207">
        <f t="shared" si="2"/>
        <v>33238.2224781853</v>
      </c>
      <c r="H6" s="207">
        <f t="shared" si="2"/>
        <v>35076.719561057806</v>
      </c>
      <c r="I6" s="207">
        <f>SUM(I7:I8)</f>
        <v>36927.08555194893</v>
      </c>
      <c r="J6" s="207">
        <f>SUM(J7:J8)</f>
        <v>38789.913896259604</v>
      </c>
    </row>
    <row r="7" spans="1:10" ht="12.75">
      <c r="A7" s="204" t="s">
        <v>82</v>
      </c>
      <c r="B7" s="205">
        <f>'2-ф2'!P14+'2-ф2'!P13+'2-ф2'!P12</f>
        <v>92.29971960416668</v>
      </c>
      <c r="C7" s="205">
        <f>'2-ф2'!AC14+'2-ф2'!AC13+'2-ф2'!AC12</f>
        <v>7069.526439557854</v>
      </c>
      <c r="D7" s="205">
        <f>'2-ф2'!AD14+'2-ф2'!AD13+'2-ф2'!AD12</f>
        <v>7186.229947951055</v>
      </c>
      <c r="E7" s="205">
        <f>'2-ф2'!AE14+'2-ф2'!AE13+'2-ф2'!AE12</f>
        <v>7169.7136291502</v>
      </c>
      <c r="F7" s="205">
        <f>'2-ф2'!AF14+'2-ф2'!AF13+'2-ф2'!AF12</f>
        <v>7144.267600287264</v>
      </c>
      <c r="G7" s="205">
        <f>'2-ф2'!AG14+'2-ф2'!AG13+'2-ф2'!AG12</f>
        <v>7319.731395685299</v>
      </c>
      <c r="H7" s="205">
        <f>'2-ф2'!AH14+'2-ф2'!AH13+'2-ф2'!AH12</f>
        <v>7633.611356057799</v>
      </c>
      <c r="I7" s="205">
        <f>'2-ф2'!AI14+'2-ф2'!AI13+'2-ф2'!AI12</f>
        <v>7959.360224448924</v>
      </c>
      <c r="J7" s="205">
        <f>'2-ф2'!AJ14+'2-ф2'!AJ13+'2-ф2'!AJ12</f>
        <v>8297.571446259604</v>
      </c>
    </row>
    <row r="8" spans="1:10" ht="12.75">
      <c r="A8" s="204" t="s">
        <v>83</v>
      </c>
      <c r="B8" s="205">
        <f>'2-ф2'!P8</f>
        <v>0</v>
      </c>
      <c r="C8" s="205">
        <f>'2-ф2'!AC8</f>
        <v>17787.1997625</v>
      </c>
      <c r="D8" s="205">
        <f>'2-ф2'!AD8</f>
        <v>21344.639715</v>
      </c>
      <c r="E8" s="205">
        <f>'2-ф2'!AE8</f>
        <v>22869.256837500005</v>
      </c>
      <c r="F8" s="205">
        <f>'2-ф2'!AF8</f>
        <v>24393.87396</v>
      </c>
      <c r="G8" s="205">
        <f>'2-ф2'!AG8</f>
        <v>25918.4910825</v>
      </c>
      <c r="H8" s="205">
        <f>'2-ф2'!AH8</f>
        <v>27443.108205000004</v>
      </c>
      <c r="I8" s="205">
        <f>'2-ф2'!AI8</f>
        <v>28967.7253275</v>
      </c>
      <c r="J8" s="205">
        <f>'2-ф2'!AJ8</f>
        <v>30492.342450000004</v>
      </c>
    </row>
    <row r="9" spans="1:10" ht="12.75">
      <c r="A9" s="204" t="s">
        <v>84</v>
      </c>
      <c r="B9" s="207">
        <f aca="true" t="shared" si="3" ref="B9:H9">B4-B8</f>
        <v>0</v>
      </c>
      <c r="C9" s="207">
        <f t="shared" si="3"/>
        <v>11963.500237499997</v>
      </c>
      <c r="D9" s="207">
        <f t="shared" si="3"/>
        <v>14356.200284999995</v>
      </c>
      <c r="E9" s="207">
        <f t="shared" si="3"/>
        <v>15381.643162499997</v>
      </c>
      <c r="F9" s="207">
        <f t="shared" si="3"/>
        <v>16407.08604</v>
      </c>
      <c r="G9" s="207">
        <f t="shared" si="3"/>
        <v>17432.528917499996</v>
      </c>
      <c r="H9" s="207">
        <f t="shared" si="3"/>
        <v>18457.971794999998</v>
      </c>
      <c r="I9" s="207">
        <f>I4-I8</f>
        <v>19483.4146725</v>
      </c>
      <c r="J9" s="207">
        <f>J4-J8</f>
        <v>20508.857549999993</v>
      </c>
    </row>
    <row r="10" spans="1:10" ht="12.75">
      <c r="A10" s="204" t="s">
        <v>67</v>
      </c>
      <c r="B10" s="208" t="e">
        <f aca="true" t="shared" si="4" ref="B10:H10">B9/B4</f>
        <v>#DIV/0!</v>
      </c>
      <c r="C10" s="208">
        <f t="shared" si="4"/>
        <v>0.40212499999999995</v>
      </c>
      <c r="D10" s="208">
        <f t="shared" si="4"/>
        <v>0.4021249999999999</v>
      </c>
      <c r="E10" s="208">
        <f t="shared" si="4"/>
        <v>0.4021249999999999</v>
      </c>
      <c r="F10" s="208">
        <f t="shared" si="4"/>
        <v>0.40212499999999995</v>
      </c>
      <c r="G10" s="208">
        <f t="shared" si="4"/>
        <v>0.40212499999999995</v>
      </c>
      <c r="H10" s="208">
        <f t="shared" si="4"/>
        <v>0.40212499999999995</v>
      </c>
      <c r="I10" s="208">
        <f>I9/I4</f>
        <v>0.402125</v>
      </c>
      <c r="J10" s="208">
        <f>J9/J4</f>
        <v>0.4021249999999999</v>
      </c>
    </row>
    <row r="11" spans="1:10" ht="12.75">
      <c r="A11" s="204" t="s">
        <v>85</v>
      </c>
      <c r="B11" s="207" t="e">
        <f aca="true" t="shared" si="5" ref="B11:H11">B7/B10</f>
        <v>#DIV/0!</v>
      </c>
      <c r="C11" s="207">
        <f t="shared" si="5"/>
        <v>17580.420117022953</v>
      </c>
      <c r="D11" s="207">
        <f t="shared" si="5"/>
        <v>17870.637110229545</v>
      </c>
      <c r="E11" s="207">
        <f t="shared" si="5"/>
        <v>17829.564511408647</v>
      </c>
      <c r="F11" s="207">
        <f t="shared" si="5"/>
        <v>17766.28560842341</v>
      </c>
      <c r="G11" s="207">
        <f t="shared" si="5"/>
        <v>18202.627033099907</v>
      </c>
      <c r="H11" s="207">
        <f t="shared" si="5"/>
        <v>18983.180245092444</v>
      </c>
      <c r="I11" s="207">
        <f>I7/I10</f>
        <v>19793.24892620186</v>
      </c>
      <c r="J11" s="207">
        <f>J7/J10</f>
        <v>20634.308849884008</v>
      </c>
    </row>
    <row r="12" spans="1:10" ht="25.5">
      <c r="A12" s="209" t="s">
        <v>68</v>
      </c>
      <c r="B12" s="210" t="e">
        <f aca="true" t="shared" si="6" ref="B12:H12">(B4-B11)/B4</f>
        <v>#DIV/0!</v>
      </c>
      <c r="C12" s="210">
        <f t="shared" si="6"/>
        <v>0.4090754127794319</v>
      </c>
      <c r="D12" s="210">
        <f t="shared" si="6"/>
        <v>0.49943370771585355</v>
      </c>
      <c r="E12" s="210">
        <f t="shared" si="6"/>
        <v>0.5338785620362227</v>
      </c>
      <c r="F12" s="210">
        <f t="shared" si="6"/>
        <v>0.5645620689213339</v>
      </c>
      <c r="G12" s="210">
        <f t="shared" si="6"/>
        <v>0.5801107555693059</v>
      </c>
      <c r="H12" s="210">
        <f t="shared" si="6"/>
        <v>0.5864328193346988</v>
      </c>
      <c r="I12" s="210">
        <f>(I4-I11)/I4</f>
        <v>0.5914802226283662</v>
      </c>
      <c r="J12" s="210">
        <f>(J4-J11)/J4</f>
        <v>0.5954152284674868</v>
      </c>
    </row>
    <row r="13" spans="1:10" ht="12.75">
      <c r="A13" s="245" t="s">
        <v>95</v>
      </c>
      <c r="B13" s="246" t="e">
        <f aca="true" t="shared" si="7" ref="B13:H13">100%-B12</f>
        <v>#DIV/0!</v>
      </c>
      <c r="C13" s="246">
        <f t="shared" si="7"/>
        <v>0.5909245872205682</v>
      </c>
      <c r="D13" s="246">
        <f t="shared" si="7"/>
        <v>0.5005662922841465</v>
      </c>
      <c r="E13" s="246">
        <f t="shared" si="7"/>
        <v>0.46612143796377725</v>
      </c>
      <c r="F13" s="246">
        <f t="shared" si="7"/>
        <v>0.43543793107866613</v>
      </c>
      <c r="G13" s="246">
        <f t="shared" si="7"/>
        <v>0.4198892444306941</v>
      </c>
      <c r="H13" s="246">
        <f t="shared" si="7"/>
        <v>0.4135671806653012</v>
      </c>
      <c r="I13" s="246">
        <f>100%-I12</f>
        <v>0.4085197773716338</v>
      </c>
      <c r="J13" s="246">
        <f>100%-J12</f>
        <v>0.40458477153251315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M63"/>
  <sheetViews>
    <sheetView showGridLines="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48" sqref="J48"/>
    </sheetView>
  </sheetViews>
  <sheetFormatPr defaultColWidth="9.00390625" defaultRowHeight="12.75"/>
  <cols>
    <col min="1" max="1" width="50.375" style="70" bestFit="1" customWidth="1"/>
    <col min="2" max="2" width="15.875" style="71" customWidth="1"/>
    <col min="3" max="3" width="13.625" style="69" customWidth="1"/>
    <col min="4" max="4" width="8.00390625" style="69" customWidth="1"/>
    <col min="5" max="5" width="7.625" style="69" bestFit="1" customWidth="1"/>
    <col min="6" max="6" width="8.375" style="69" customWidth="1"/>
    <col min="7" max="9" width="7.625" style="69" bestFit="1" customWidth="1"/>
    <col min="10" max="16384" width="9.125" style="69" customWidth="1"/>
  </cols>
  <sheetData>
    <row r="1" ht="13.5" customHeight="1">
      <c r="A1" s="222" t="s">
        <v>180</v>
      </c>
    </row>
    <row r="2" ht="12.75">
      <c r="A2" s="222" t="s">
        <v>315</v>
      </c>
    </row>
    <row r="4" spans="1:2" ht="13.5" customHeight="1">
      <c r="A4" s="218" t="s">
        <v>317</v>
      </c>
      <c r="B4" s="239" t="s">
        <v>316</v>
      </c>
    </row>
    <row r="5" spans="1:2" ht="12.75">
      <c r="A5" s="214" t="s">
        <v>163</v>
      </c>
      <c r="B5" s="250">
        <f>'1-Ф3'!AO49</f>
        <v>0.23298040772324446</v>
      </c>
    </row>
    <row r="6" spans="1:2" ht="12.75">
      <c r="A6" s="214" t="s">
        <v>164</v>
      </c>
      <c r="B6" s="215">
        <f>'1-Ф3'!AO47</f>
        <v>6601.993951434044</v>
      </c>
    </row>
    <row r="7" spans="1:2" ht="12.75">
      <c r="A7" s="214" t="s">
        <v>279</v>
      </c>
      <c r="B7" s="221">
        <f>'1-Ф3'!AO48</f>
        <v>1.3592416485466348</v>
      </c>
    </row>
    <row r="8" spans="1:2" ht="12.75">
      <c r="A8" s="214" t="s">
        <v>165</v>
      </c>
      <c r="B8" s="221">
        <f>'1-Ф3'!B50</f>
        <v>2.5469925356865915</v>
      </c>
    </row>
    <row r="9" spans="1:2" ht="12.75">
      <c r="A9" s="214" t="s">
        <v>166</v>
      </c>
      <c r="B9" s="221">
        <f>'1-Ф3'!B51</f>
        <v>2.9458894021111206</v>
      </c>
    </row>
    <row r="11" spans="1:3" ht="13.5" customHeight="1">
      <c r="A11" s="218" t="s">
        <v>181</v>
      </c>
      <c r="B11" s="274" t="s">
        <v>171</v>
      </c>
      <c r="C11" s="274" t="s">
        <v>156</v>
      </c>
    </row>
    <row r="12" spans="1:3" ht="13.5" customHeight="1">
      <c r="A12" s="214" t="s">
        <v>155</v>
      </c>
      <c r="B12" s="215">
        <f>'1-Ф3'!B22</f>
        <v>18615.0695</v>
      </c>
      <c r="C12" s="219">
        <f>B12/$B$14</f>
        <v>0.9306047450516922</v>
      </c>
    </row>
    <row r="13" spans="1:3" ht="13.5" customHeight="1">
      <c r="A13" s="214" t="s">
        <v>154</v>
      </c>
      <c r="B13" s="215">
        <f>'1-Ф3'!B28-'1-Ф3'!B22</f>
        <v>1388.1269150000007</v>
      </c>
      <c r="C13" s="219">
        <f>B13/$B$14</f>
        <v>0.06939525494830776</v>
      </c>
    </row>
    <row r="14" spans="1:3" ht="13.5" customHeight="1">
      <c r="A14" s="216" t="s">
        <v>80</v>
      </c>
      <c r="B14" s="217">
        <f>SUM(B12:B13)</f>
        <v>20003.196415000002</v>
      </c>
      <c r="C14" s="220">
        <f>SUM(C12:C13)</f>
        <v>1</v>
      </c>
    </row>
    <row r="15" spans="1:2" ht="13.5" customHeight="1">
      <c r="A15" s="72"/>
      <c r="B15" s="73"/>
    </row>
    <row r="16" spans="1:3" ht="13.5" customHeight="1">
      <c r="A16" s="218" t="s">
        <v>175</v>
      </c>
      <c r="B16" s="274" t="str">
        <f>B11</f>
        <v>Сумма, тыс.тг.</v>
      </c>
      <c r="C16" s="274" t="str">
        <f>C11</f>
        <v>Доля</v>
      </c>
    </row>
    <row r="17" spans="1:3" ht="13.5" customHeight="1">
      <c r="A17" s="214" t="str">
        <f>Исх!A9</f>
        <v>Собственные средства</v>
      </c>
      <c r="B17" s="215">
        <f>'1-Ф3'!B29</f>
        <v>4180.38734</v>
      </c>
      <c r="C17" s="219">
        <f>B17/$B$19</f>
        <v>0.20898596670606154</v>
      </c>
    </row>
    <row r="18" spans="1:3" ht="13.5" customHeight="1">
      <c r="A18" s="214" t="str">
        <f>Исх!A10</f>
        <v>Заемные средства</v>
      </c>
      <c r="B18" s="215">
        <f>'1-Ф3'!B30</f>
        <v>15822.809075000001</v>
      </c>
      <c r="C18" s="219">
        <f>B18/$B$19</f>
        <v>0.7910140332939384</v>
      </c>
    </row>
    <row r="19" spans="1:3" ht="12.75">
      <c r="A19" s="216" t="s">
        <v>80</v>
      </c>
      <c r="B19" s="217">
        <f>SUM(B17:B18)</f>
        <v>20003.196415000002</v>
      </c>
      <c r="C19" s="220">
        <f>SUM(C17:C18)</f>
        <v>0.9999999999999999</v>
      </c>
    </row>
    <row r="20" spans="1:2" ht="12.75">
      <c r="A20" s="75"/>
      <c r="B20" s="74"/>
    </row>
    <row r="21" spans="1:2" ht="13.5" customHeight="1" hidden="1">
      <c r="A21" s="218" t="s">
        <v>138</v>
      </c>
      <c r="B21" s="239" t="s">
        <v>6</v>
      </c>
    </row>
    <row r="22" spans="1:2" ht="12.75" hidden="1">
      <c r="A22" s="214" t="s">
        <v>157</v>
      </c>
      <c r="B22" s="215" t="s">
        <v>158</v>
      </c>
    </row>
    <row r="23" spans="1:2" ht="12.75" hidden="1">
      <c r="A23" s="214" t="s">
        <v>159</v>
      </c>
      <c r="B23" s="219">
        <f>Исх!C37</f>
        <v>0.07</v>
      </c>
    </row>
    <row r="24" spans="1:2" ht="12.75" hidden="1">
      <c r="A24" s="214" t="s">
        <v>173</v>
      </c>
      <c r="B24" s="221">
        <f>Исх!C38</f>
        <v>4</v>
      </c>
    </row>
    <row r="25" spans="1:2" ht="12.75" hidden="1">
      <c r="A25" s="214" t="s">
        <v>160</v>
      </c>
      <c r="B25" s="215" t="s">
        <v>161</v>
      </c>
    </row>
    <row r="26" spans="1:2" ht="12.75" hidden="1">
      <c r="A26" s="214" t="s">
        <v>162</v>
      </c>
      <c r="B26" s="215">
        <f>Исх!C39</f>
        <v>0</v>
      </c>
    </row>
    <row r="27" spans="1:2" ht="12.75" hidden="1">
      <c r="A27" s="214" t="s">
        <v>199</v>
      </c>
      <c r="B27" s="215">
        <f>Исх!C40</f>
        <v>3</v>
      </c>
    </row>
    <row r="28" spans="1:2" ht="12.75" hidden="1">
      <c r="A28" s="214" t="s">
        <v>179</v>
      </c>
      <c r="B28" s="215" t="s">
        <v>213</v>
      </c>
    </row>
    <row r="29" ht="12.75" hidden="1"/>
    <row r="30" spans="1:10" ht="12.75">
      <c r="A30" s="218" t="s">
        <v>280</v>
      </c>
      <c r="B30" s="288" t="s">
        <v>176</v>
      </c>
      <c r="C30" s="251">
        <f aca="true" t="shared" si="0" ref="C30:J30">C35</f>
        <v>2014</v>
      </c>
      <c r="D30" s="260">
        <f t="shared" si="0"/>
        <v>2015</v>
      </c>
      <c r="E30" s="260">
        <f t="shared" si="0"/>
        <v>2016</v>
      </c>
      <c r="F30" s="260">
        <f t="shared" si="0"/>
        <v>2017</v>
      </c>
      <c r="G30" s="260">
        <f t="shared" si="0"/>
        <v>2018</v>
      </c>
      <c r="H30" s="260">
        <f t="shared" si="0"/>
        <v>2019</v>
      </c>
      <c r="I30" s="260">
        <f t="shared" si="0"/>
        <v>2020</v>
      </c>
      <c r="J30" s="274">
        <f t="shared" si="0"/>
        <v>2021</v>
      </c>
    </row>
    <row r="31" spans="1:10" ht="12.75">
      <c r="A31" s="214" t="s">
        <v>281</v>
      </c>
      <c r="B31" s="298" t="s">
        <v>37</v>
      </c>
      <c r="C31" s="219">
        <f>Услуги!AC5</f>
        <v>0.5833333333333334</v>
      </c>
      <c r="D31" s="219">
        <f>Услуги!AD5</f>
        <v>0.7</v>
      </c>
      <c r="E31" s="219">
        <f>Услуги!AE5</f>
        <v>0.75</v>
      </c>
      <c r="F31" s="219">
        <f>Услуги!AF5</f>
        <v>0.8</v>
      </c>
      <c r="G31" s="219">
        <f>Услуги!AG5</f>
        <v>0.85</v>
      </c>
      <c r="H31" s="219">
        <f>Услуги!AH5</f>
        <v>0.9</v>
      </c>
      <c r="I31" s="219">
        <f>Услуги!AI5</f>
        <v>0.95</v>
      </c>
      <c r="J31" s="219">
        <f>Услуги!AJ5</f>
        <v>1</v>
      </c>
    </row>
    <row r="32" spans="1:10" ht="12.75">
      <c r="A32" s="318" t="str">
        <f>Услуги!A6</f>
        <v>Чистка промышленного оборудования</v>
      </c>
      <c r="B32" s="299" t="str">
        <f>Услуги!C6</f>
        <v>м2</v>
      </c>
      <c r="C32" s="215">
        <f>Услуги!AC6</f>
        <v>32550</v>
      </c>
      <c r="D32" s="215">
        <f>Услуги!AD6</f>
        <v>39060</v>
      </c>
      <c r="E32" s="215">
        <f>Услуги!AE6</f>
        <v>41850</v>
      </c>
      <c r="F32" s="215">
        <f>Услуги!AF6</f>
        <v>44640</v>
      </c>
      <c r="G32" s="215">
        <f>Услуги!AG6</f>
        <v>47430</v>
      </c>
      <c r="H32" s="215">
        <f>Услуги!AH6</f>
        <v>50220</v>
      </c>
      <c r="I32" s="215">
        <f>Услуги!AI6</f>
        <v>53010</v>
      </c>
      <c r="J32" s="215">
        <f>Услуги!AJ6</f>
        <v>55800</v>
      </c>
    </row>
    <row r="33" spans="1:10" ht="12.75" hidden="1">
      <c r="A33" s="318">
        <f>Услуги!A7</f>
        <v>0</v>
      </c>
      <c r="B33" s="299">
        <f>Услуги!C7</f>
        <v>0</v>
      </c>
      <c r="C33" s="215">
        <f>Услуги!AC7</f>
        <v>0</v>
      </c>
      <c r="D33" s="215">
        <f>Услуги!AD7</f>
        <v>0</v>
      </c>
      <c r="E33" s="215">
        <f>Услуги!AE7</f>
        <v>0</v>
      </c>
      <c r="F33" s="215">
        <f>Услуги!AF7</f>
        <v>0</v>
      </c>
      <c r="G33" s="215">
        <f>Услуги!AG7</f>
        <v>0</v>
      </c>
      <c r="H33" s="215">
        <f>Услуги!AH7</f>
        <v>0</v>
      </c>
      <c r="I33" s="215">
        <f>Услуги!AI7</f>
        <v>0</v>
      </c>
      <c r="J33" s="215">
        <f>Услуги!AJ7</f>
        <v>0</v>
      </c>
    </row>
    <row r="35" spans="1:10" ht="13.5" customHeight="1">
      <c r="A35" s="218" t="s">
        <v>182</v>
      </c>
      <c r="B35" s="288" t="s">
        <v>176</v>
      </c>
      <c r="C35" s="260">
        <v>2014</v>
      </c>
      <c r="D35" s="260">
        <f aca="true" t="shared" si="1" ref="D35:J35">C35+1</f>
        <v>2015</v>
      </c>
      <c r="E35" s="268">
        <f t="shared" si="1"/>
        <v>2016</v>
      </c>
      <c r="F35" s="268">
        <f t="shared" si="1"/>
        <v>2017</v>
      </c>
      <c r="G35" s="268">
        <f t="shared" si="1"/>
        <v>2018</v>
      </c>
      <c r="H35" s="268">
        <f t="shared" si="1"/>
        <v>2019</v>
      </c>
      <c r="I35" s="268">
        <f t="shared" si="1"/>
        <v>2020</v>
      </c>
      <c r="J35" s="274">
        <f t="shared" si="1"/>
        <v>2021</v>
      </c>
    </row>
    <row r="36" spans="1:13" ht="12.75">
      <c r="A36" s="214" t="s">
        <v>230</v>
      </c>
      <c r="B36" s="299" t="s">
        <v>51</v>
      </c>
      <c r="C36" s="215">
        <f>'2-ф2'!AC5</f>
        <v>29750.699999999997</v>
      </c>
      <c r="D36" s="215">
        <f>'2-ф2'!AD5</f>
        <v>35700.84</v>
      </c>
      <c r="E36" s="215">
        <f>'2-ф2'!AE5</f>
        <v>38250.9</v>
      </c>
      <c r="F36" s="215">
        <f>'2-ф2'!AF5</f>
        <v>40800.96</v>
      </c>
      <c r="G36" s="215">
        <f>'2-ф2'!AG5</f>
        <v>43351.02</v>
      </c>
      <c r="H36" s="215">
        <f>'2-ф2'!AH5</f>
        <v>45901.08</v>
      </c>
      <c r="I36" s="215">
        <f>'2-ф2'!AI5</f>
        <v>48451.14</v>
      </c>
      <c r="J36" s="215">
        <f>'2-ф2'!AJ5</f>
        <v>51001.2</v>
      </c>
      <c r="M36" s="301"/>
    </row>
    <row r="37" spans="1:13" ht="12.75">
      <c r="A37" s="214" t="s">
        <v>14</v>
      </c>
      <c r="B37" s="299" t="s">
        <v>51</v>
      </c>
      <c r="C37" s="215">
        <f>'2-ф2'!AC11</f>
        <v>11963.500237499997</v>
      </c>
      <c r="D37" s="215">
        <f>'2-ф2'!AD11</f>
        <v>14356.200284999995</v>
      </c>
      <c r="E37" s="215">
        <f>'2-ф2'!AE11</f>
        <v>15381.643162499997</v>
      </c>
      <c r="F37" s="215">
        <f>'2-ф2'!AF11</f>
        <v>16407.08604</v>
      </c>
      <c r="G37" s="215">
        <f>'2-ф2'!AG11</f>
        <v>17432.528917499996</v>
      </c>
      <c r="H37" s="215">
        <f>'2-ф2'!AH11</f>
        <v>18457.971794999998</v>
      </c>
      <c r="I37" s="215">
        <f>'2-ф2'!AI11</f>
        <v>19483.4146725</v>
      </c>
      <c r="J37" s="215">
        <f>'2-ф2'!AJ11</f>
        <v>20508.857549999993</v>
      </c>
      <c r="M37" s="301"/>
    </row>
    <row r="38" spans="1:13" ht="12.75">
      <c r="A38" s="214" t="s">
        <v>214</v>
      </c>
      <c r="B38" s="299" t="s">
        <v>51</v>
      </c>
      <c r="C38" s="215">
        <f>'2-ф2'!AC17</f>
        <v>4001.4527979421478</v>
      </c>
      <c r="D38" s="215">
        <f>'2-ф2'!AD17</f>
        <v>6098.945137048941</v>
      </c>
      <c r="E38" s="215">
        <f>'2-ф2'!AE17</f>
        <v>7064.4025333497975</v>
      </c>
      <c r="F38" s="215">
        <f>'2-ф2'!AF17</f>
        <v>8038.789639712737</v>
      </c>
      <c r="G38" s="215">
        <f>'2-ф2'!AG17</f>
        <v>8812.266921814697</v>
      </c>
      <c r="H38" s="215">
        <f>'2-ф2'!AH17</f>
        <v>9447.3280389422</v>
      </c>
      <c r="I38" s="215">
        <f>'2-ф2'!AI17</f>
        <v>10070.520248051076</v>
      </c>
      <c r="J38" s="215">
        <f>'2-ф2'!AJ17</f>
        <v>10681.250103740389</v>
      </c>
      <c r="M38" s="301"/>
    </row>
    <row r="39" spans="1:10" ht="12.75">
      <c r="A39" s="214" t="s">
        <v>231</v>
      </c>
      <c r="B39" s="287" t="s">
        <v>37</v>
      </c>
      <c r="C39" s="297">
        <f aca="true" t="shared" si="2" ref="C39:J39">C37/C36</f>
        <v>0.40212499999999995</v>
      </c>
      <c r="D39" s="297">
        <f t="shared" si="2"/>
        <v>0.4021249999999999</v>
      </c>
      <c r="E39" s="297">
        <f t="shared" si="2"/>
        <v>0.4021249999999999</v>
      </c>
      <c r="F39" s="297">
        <f t="shared" si="2"/>
        <v>0.40212499999999995</v>
      </c>
      <c r="G39" s="297">
        <f t="shared" si="2"/>
        <v>0.40212499999999995</v>
      </c>
      <c r="H39" s="297">
        <f t="shared" si="2"/>
        <v>0.40212499999999995</v>
      </c>
      <c r="I39" s="297">
        <f t="shared" si="2"/>
        <v>0.402125</v>
      </c>
      <c r="J39" s="319">
        <f t="shared" si="2"/>
        <v>0.4021249999999999</v>
      </c>
    </row>
    <row r="40" spans="1:10" ht="12.75">
      <c r="A40" s="214" t="s">
        <v>232</v>
      </c>
      <c r="B40" s="287" t="s">
        <v>37</v>
      </c>
      <c r="C40" s="219">
        <f aca="true" t="shared" si="3" ref="C40:J40">C38/C36</f>
        <v>0.13449945036392918</v>
      </c>
      <c r="D40" s="219">
        <f t="shared" si="3"/>
        <v>0.17083477971523756</v>
      </c>
      <c r="E40" s="219">
        <f t="shared" si="3"/>
        <v>0.18468591675881607</v>
      </c>
      <c r="F40" s="219">
        <f t="shared" si="3"/>
        <v>0.19702452196499143</v>
      </c>
      <c r="G40" s="219">
        <f t="shared" si="3"/>
        <v>0.2032770375833071</v>
      </c>
      <c r="H40" s="219">
        <f t="shared" si="3"/>
        <v>0.20581929747496572</v>
      </c>
      <c r="I40" s="219">
        <f t="shared" si="3"/>
        <v>0.20784898452443176</v>
      </c>
      <c r="J40" s="219">
        <f t="shared" si="3"/>
        <v>0.2094313487474881</v>
      </c>
    </row>
    <row r="41" spans="1:10" s="284" customFormat="1" ht="12.75">
      <c r="A41" s="266" t="s">
        <v>233</v>
      </c>
      <c r="B41" s="300" t="s">
        <v>51</v>
      </c>
      <c r="C41" s="267">
        <f>'1-Ф3'!AC35</f>
        <v>2627.0790929288364</v>
      </c>
      <c r="D41" s="267">
        <f>'1-Ф3'!AD35</f>
        <v>3247.2743091041866</v>
      </c>
      <c r="E41" s="267">
        <f>'1-Ф3'!AE35</f>
        <v>3914.657406604185</v>
      </c>
      <c r="F41" s="267">
        <f>'1-Ф3'!AF35</f>
        <v>5382.746357753488</v>
      </c>
      <c r="G41" s="267">
        <f>'1-Ф3'!AG35</f>
        <v>10083.904510049986</v>
      </c>
      <c r="H41" s="267">
        <f>'1-Ф3'!AH35</f>
        <v>10718.965627177487</v>
      </c>
      <c r="I41" s="267">
        <f>'1-Ф3'!AI35</f>
        <v>11342.157836286366</v>
      </c>
      <c r="J41" s="267">
        <f>'1-Ф3'!AJ35</f>
        <v>11952.88769197568</v>
      </c>
    </row>
    <row r="43" ht="12.75">
      <c r="A43" s="222"/>
    </row>
    <row r="44" ht="12.75">
      <c r="A44" s="222" t="s">
        <v>167</v>
      </c>
    </row>
    <row r="45" spans="1:6" ht="12.75">
      <c r="A45" s="362" t="s">
        <v>216</v>
      </c>
      <c r="B45" s="364" t="s">
        <v>247</v>
      </c>
      <c r="C45" s="365"/>
      <c r="D45" s="365"/>
      <c r="E45" s="366"/>
      <c r="F45" s="304" t="s">
        <v>287</v>
      </c>
    </row>
    <row r="46" spans="1:6" ht="12.75">
      <c r="A46" s="363"/>
      <c r="B46" s="304" t="s">
        <v>248</v>
      </c>
      <c r="C46" s="304" t="s">
        <v>249</v>
      </c>
      <c r="D46" s="304" t="s">
        <v>250</v>
      </c>
      <c r="E46" s="304" t="s">
        <v>251</v>
      </c>
      <c r="F46" s="304" t="s">
        <v>286</v>
      </c>
    </row>
    <row r="47" spans="1:6" ht="12.75">
      <c r="A47" s="223" t="s">
        <v>190</v>
      </c>
      <c r="B47" s="224"/>
      <c r="C47" s="224"/>
      <c r="D47" s="219"/>
      <c r="E47" s="219"/>
      <c r="F47" s="219"/>
    </row>
    <row r="48" spans="1:6" ht="12.75">
      <c r="A48" s="214" t="s">
        <v>282</v>
      </c>
      <c r="B48" s="215"/>
      <c r="C48" s="224"/>
      <c r="D48" s="219"/>
      <c r="E48" s="219"/>
      <c r="F48" s="219"/>
    </row>
    <row r="49" spans="1:6" ht="12.75">
      <c r="A49" s="223" t="s">
        <v>318</v>
      </c>
      <c r="B49" s="219"/>
      <c r="C49" s="224"/>
      <c r="D49" s="224"/>
      <c r="E49" s="219"/>
      <c r="F49" s="219"/>
    </row>
    <row r="50" spans="1:6" ht="12.75">
      <c r="A50" s="223" t="s">
        <v>269</v>
      </c>
      <c r="B50" s="219"/>
      <c r="C50" s="219"/>
      <c r="D50" s="224"/>
      <c r="E50" s="224"/>
      <c r="F50" s="219"/>
    </row>
    <row r="51" spans="1:6" ht="12.75">
      <c r="A51" s="214" t="s">
        <v>283</v>
      </c>
      <c r="B51" s="219"/>
      <c r="C51" s="219"/>
      <c r="D51" s="224"/>
      <c r="E51" s="224"/>
      <c r="F51" s="219"/>
    </row>
    <row r="52" spans="1:6" ht="12.75">
      <c r="A52" s="223" t="s">
        <v>234</v>
      </c>
      <c r="B52" s="219"/>
      <c r="C52" s="219"/>
      <c r="D52" s="219"/>
      <c r="E52" s="224"/>
      <c r="F52" s="224"/>
    </row>
    <row r="53" spans="1:6" ht="12.75">
      <c r="A53" s="214" t="s">
        <v>235</v>
      </c>
      <c r="B53" s="219"/>
      <c r="C53" s="219"/>
      <c r="D53" s="219"/>
      <c r="E53" s="224"/>
      <c r="F53" s="224"/>
    </row>
    <row r="54" spans="1:6" ht="12.75">
      <c r="A54" s="214" t="s">
        <v>284</v>
      </c>
      <c r="B54" s="219"/>
      <c r="C54" s="219"/>
      <c r="D54" s="219"/>
      <c r="E54" s="219"/>
      <c r="F54" s="224"/>
    </row>
    <row r="56" ht="12.75">
      <c r="A56" s="222" t="s">
        <v>228</v>
      </c>
    </row>
    <row r="58" spans="1:2" ht="12.75">
      <c r="A58" s="248" t="s">
        <v>170</v>
      </c>
      <c r="B58" s="249" t="s">
        <v>171</v>
      </c>
    </row>
    <row r="59" spans="1:2" ht="12.75" hidden="1">
      <c r="A59" s="214" t="s">
        <v>36</v>
      </c>
      <c r="B59" s="215">
        <f>'1-Ф3'!B18</f>
        <v>0</v>
      </c>
    </row>
    <row r="60" spans="1:2" ht="12.75">
      <c r="A60" s="214" t="s">
        <v>245</v>
      </c>
      <c r="B60" s="215">
        <f>'1-Ф3'!B17</f>
        <v>9996.2352</v>
      </c>
    </row>
    <row r="61" spans="1:2" ht="12.75">
      <c r="A61" s="223" t="s">
        <v>202</v>
      </c>
      <c r="B61" s="215">
        <f>(ФОТ!K23-ФОТ!J23-ФОТ!I23-ФОТ!H23)*12*8+'2-ф2'!B9/1.25*0.25</f>
        <v>17940.456</v>
      </c>
    </row>
    <row r="62" spans="1:2" ht="12.75">
      <c r="A62" s="214" t="s">
        <v>229</v>
      </c>
      <c r="B62" s="215">
        <f>SUM(Пост!C21:J21)*12</f>
        <v>102.58930650937504</v>
      </c>
    </row>
    <row r="63" spans="1:2" ht="12.75">
      <c r="A63" s="216" t="s">
        <v>0</v>
      </c>
      <c r="B63" s="217">
        <f>SUM(B59:B62)</f>
        <v>28039.28050650937</v>
      </c>
    </row>
  </sheetData>
  <sheetProtection/>
  <mergeCells count="2">
    <mergeCell ref="A45:A46"/>
    <mergeCell ref="B45:E45"/>
  </mergeCells>
  <printOptions/>
  <pageMargins left="0.1968503937007874" right="0.1968503937007874" top="0.6692913385826772" bottom="0.35433070866141736" header="0.5118110236220472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S31"/>
  <sheetViews>
    <sheetView showGridLines="0" showZeros="0" tabSelected="1" zoomScalePageLayoutView="0" workbookViewId="0" topLeftCell="A1">
      <pane xSplit="3" ySplit="4" topLeftCell="D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9" sqref="A9"/>
    </sheetView>
  </sheetViews>
  <sheetFormatPr defaultColWidth="10.125" defaultRowHeight="12.75" outlineLevelCol="1"/>
  <cols>
    <col min="1" max="1" width="38.125" style="86" customWidth="1"/>
    <col min="2" max="2" width="11.375" style="86" customWidth="1"/>
    <col min="3" max="3" width="3.875" style="86" customWidth="1"/>
    <col min="4" max="4" width="7.125" style="86" hidden="1" customWidth="1" outlineLevel="1"/>
    <col min="5" max="5" width="8.25390625" style="86" hidden="1" customWidth="1" outlineLevel="1"/>
    <col min="6" max="11" width="7.00390625" style="86" hidden="1" customWidth="1" outlineLevel="1"/>
    <col min="12" max="12" width="8.75390625" style="86" hidden="1" customWidth="1" outlineLevel="1"/>
    <col min="13" max="13" width="7.875" style="86" hidden="1" customWidth="1" outlineLevel="1"/>
    <col min="14" max="15" width="8.625" style="86" hidden="1" customWidth="1" outlineLevel="1"/>
    <col min="16" max="16" width="9.125" style="86" customWidth="1" collapsed="1"/>
    <col min="17" max="28" width="8.375" style="86" hidden="1" customWidth="1" outlineLevel="1"/>
    <col min="29" max="29" width="9.125" style="86" customWidth="1" collapsed="1"/>
    <col min="30" max="36" width="8.625" style="86" customWidth="1"/>
    <col min="37" max="16384" width="10.125" style="86" customWidth="1"/>
  </cols>
  <sheetData>
    <row r="1" spans="1:3" ht="21" customHeight="1">
      <c r="A1" s="60" t="s">
        <v>102</v>
      </c>
      <c r="B1" s="85"/>
      <c r="C1" s="85"/>
    </row>
    <row r="2" spans="1:3" ht="17.25" customHeight="1">
      <c r="A2" s="60"/>
      <c r="B2" s="12" t="str">
        <f>Исх!$C$11</f>
        <v>тыс.тг.</v>
      </c>
      <c r="C2" s="87"/>
    </row>
    <row r="3" spans="1:36" ht="12.75" customHeight="1">
      <c r="A3" s="330" t="s">
        <v>2</v>
      </c>
      <c r="B3" s="334" t="s">
        <v>80</v>
      </c>
      <c r="C3" s="89"/>
      <c r="D3" s="329">
        <v>2013</v>
      </c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>
        <v>2014</v>
      </c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90">
        <v>2015</v>
      </c>
      <c r="AE3" s="90">
        <f aca="true" t="shared" si="0" ref="AE3:AJ3">AD3+1</f>
        <v>2016</v>
      </c>
      <c r="AF3" s="90">
        <f t="shared" si="0"/>
        <v>2017</v>
      </c>
      <c r="AG3" s="90">
        <f t="shared" si="0"/>
        <v>2018</v>
      </c>
      <c r="AH3" s="90">
        <f t="shared" si="0"/>
        <v>2019</v>
      </c>
      <c r="AI3" s="90">
        <f t="shared" si="0"/>
        <v>2020</v>
      </c>
      <c r="AJ3" s="90">
        <f t="shared" si="0"/>
        <v>2021</v>
      </c>
    </row>
    <row r="4" spans="1:36" ht="12.75">
      <c r="A4" s="331"/>
      <c r="B4" s="334"/>
      <c r="C4" s="91"/>
      <c r="D4" s="92">
        <v>1</v>
      </c>
      <c r="E4" s="92">
        <f aca="true" t="shared" si="1" ref="E4:O4">D4+1</f>
        <v>2</v>
      </c>
      <c r="F4" s="92">
        <f t="shared" si="1"/>
        <v>3</v>
      </c>
      <c r="G4" s="92">
        <f t="shared" si="1"/>
        <v>4</v>
      </c>
      <c r="H4" s="92">
        <f t="shared" si="1"/>
        <v>5</v>
      </c>
      <c r="I4" s="92">
        <f t="shared" si="1"/>
        <v>6</v>
      </c>
      <c r="J4" s="92">
        <f t="shared" si="1"/>
        <v>7</v>
      </c>
      <c r="K4" s="92">
        <f t="shared" si="1"/>
        <v>8</v>
      </c>
      <c r="L4" s="92">
        <f t="shared" si="1"/>
        <v>9</v>
      </c>
      <c r="M4" s="92">
        <f t="shared" si="1"/>
        <v>10</v>
      </c>
      <c r="N4" s="92">
        <f t="shared" si="1"/>
        <v>11</v>
      </c>
      <c r="O4" s="92">
        <f t="shared" si="1"/>
        <v>12</v>
      </c>
      <c r="P4" s="88" t="s">
        <v>0</v>
      </c>
      <c r="Q4" s="92">
        <v>1</v>
      </c>
      <c r="R4" s="92">
        <f aca="true" t="shared" si="2" ref="R4:AB4">Q4+1</f>
        <v>2</v>
      </c>
      <c r="S4" s="92">
        <f t="shared" si="2"/>
        <v>3</v>
      </c>
      <c r="T4" s="92">
        <f t="shared" si="2"/>
        <v>4</v>
      </c>
      <c r="U4" s="92">
        <f t="shared" si="2"/>
        <v>5</v>
      </c>
      <c r="V4" s="92">
        <f t="shared" si="2"/>
        <v>6</v>
      </c>
      <c r="W4" s="92">
        <f t="shared" si="2"/>
        <v>7</v>
      </c>
      <c r="X4" s="92">
        <f t="shared" si="2"/>
        <v>8</v>
      </c>
      <c r="Y4" s="92">
        <f t="shared" si="2"/>
        <v>9</v>
      </c>
      <c r="Z4" s="92">
        <f t="shared" si="2"/>
        <v>10</v>
      </c>
      <c r="AA4" s="92">
        <f t="shared" si="2"/>
        <v>11</v>
      </c>
      <c r="AB4" s="92">
        <f t="shared" si="2"/>
        <v>12</v>
      </c>
      <c r="AC4" s="88" t="s">
        <v>0</v>
      </c>
      <c r="AD4" s="88" t="s">
        <v>239</v>
      </c>
      <c r="AE4" s="88" t="s">
        <v>239</v>
      </c>
      <c r="AF4" s="88" t="s">
        <v>239</v>
      </c>
      <c r="AG4" s="88" t="s">
        <v>239</v>
      </c>
      <c r="AH4" s="88" t="s">
        <v>239</v>
      </c>
      <c r="AI4" s="88" t="s">
        <v>239</v>
      </c>
      <c r="AJ4" s="88" t="s">
        <v>239</v>
      </c>
    </row>
    <row r="5" spans="1:36" s="87" customFormat="1" ht="15" customHeight="1">
      <c r="A5" s="93" t="s">
        <v>103</v>
      </c>
      <c r="B5" s="94">
        <f>SUM(B6:B7)</f>
        <v>333207.84</v>
      </c>
      <c r="C5" s="95"/>
      <c r="D5" s="95">
        <f aca="true" t="shared" si="3" ref="D5:AJ5">SUM(D6:D7)</f>
        <v>0</v>
      </c>
      <c r="E5" s="95">
        <f t="shared" si="3"/>
        <v>0</v>
      </c>
      <c r="F5" s="95">
        <f t="shared" si="3"/>
        <v>0</v>
      </c>
      <c r="G5" s="95">
        <f t="shared" si="3"/>
        <v>0</v>
      </c>
      <c r="H5" s="95">
        <f t="shared" si="3"/>
        <v>0</v>
      </c>
      <c r="I5" s="95">
        <f t="shared" si="3"/>
        <v>0</v>
      </c>
      <c r="J5" s="95">
        <f t="shared" si="3"/>
        <v>0</v>
      </c>
      <c r="K5" s="95">
        <f t="shared" si="3"/>
        <v>0</v>
      </c>
      <c r="L5" s="95">
        <f t="shared" si="3"/>
        <v>0</v>
      </c>
      <c r="M5" s="95">
        <f t="shared" si="3"/>
        <v>0</v>
      </c>
      <c r="N5" s="95">
        <f t="shared" si="3"/>
        <v>0</v>
      </c>
      <c r="O5" s="95">
        <f t="shared" si="3"/>
        <v>0</v>
      </c>
      <c r="P5" s="95">
        <f t="shared" si="3"/>
        <v>0</v>
      </c>
      <c r="Q5" s="95">
        <f t="shared" si="3"/>
        <v>1700.04</v>
      </c>
      <c r="R5" s="95">
        <f t="shared" si="3"/>
        <v>1912.545</v>
      </c>
      <c r="S5" s="95">
        <f t="shared" si="3"/>
        <v>2125.05</v>
      </c>
      <c r="T5" s="95">
        <f t="shared" si="3"/>
        <v>2337.555</v>
      </c>
      <c r="U5" s="95">
        <f t="shared" si="3"/>
        <v>2337.555</v>
      </c>
      <c r="V5" s="95">
        <f t="shared" si="3"/>
        <v>2550.06</v>
      </c>
      <c r="W5" s="95">
        <f t="shared" si="3"/>
        <v>2550.06</v>
      </c>
      <c r="X5" s="95">
        <f t="shared" si="3"/>
        <v>2550.06</v>
      </c>
      <c r="Y5" s="95">
        <f t="shared" si="3"/>
        <v>2762.565</v>
      </c>
      <c r="Z5" s="95">
        <f t="shared" si="3"/>
        <v>2975.07</v>
      </c>
      <c r="AA5" s="95">
        <f t="shared" si="3"/>
        <v>2975.07</v>
      </c>
      <c r="AB5" s="95">
        <f t="shared" si="3"/>
        <v>2975.07</v>
      </c>
      <c r="AC5" s="95">
        <f t="shared" si="3"/>
        <v>29750.699999999997</v>
      </c>
      <c r="AD5" s="95">
        <f t="shared" si="3"/>
        <v>35700.84</v>
      </c>
      <c r="AE5" s="95">
        <f t="shared" si="3"/>
        <v>38250.9</v>
      </c>
      <c r="AF5" s="95">
        <f t="shared" si="3"/>
        <v>40800.96</v>
      </c>
      <c r="AG5" s="95">
        <f t="shared" si="3"/>
        <v>43351.02</v>
      </c>
      <c r="AH5" s="95">
        <f t="shared" si="3"/>
        <v>45901.08</v>
      </c>
      <c r="AI5" s="95">
        <f t="shared" si="3"/>
        <v>48451.14</v>
      </c>
      <c r="AJ5" s="95">
        <f t="shared" si="3"/>
        <v>51001.2</v>
      </c>
    </row>
    <row r="6" spans="1:36" s="87" customFormat="1" ht="25.5">
      <c r="A6" s="96" t="str">
        <f>Услуги!A6</f>
        <v>Чистка промышленного оборудования</v>
      </c>
      <c r="B6" s="94">
        <f>P6+AC6+AD6+AE6+AF6+AG6+AH6+AI6+AJ6</f>
        <v>333207.84</v>
      </c>
      <c r="C6" s="95"/>
      <c r="D6" s="97">
        <f>Услуги!D6</f>
        <v>0</v>
      </c>
      <c r="E6" s="97">
        <f>Услуги!E6</f>
        <v>0</v>
      </c>
      <c r="F6" s="97"/>
      <c r="G6" s="97"/>
      <c r="H6" s="97"/>
      <c r="I6" s="97"/>
      <c r="J6" s="97"/>
      <c r="K6" s="97">
        <f>Услуги!K6</f>
        <v>0</v>
      </c>
      <c r="L6" s="97">
        <f>Услуги!L6</f>
        <v>0</v>
      </c>
      <c r="M6" s="97">
        <f>Услуги!M6</f>
        <v>0</v>
      </c>
      <c r="N6" s="97">
        <f>Услуги!N6*Дох!$E$5/1000</f>
        <v>0</v>
      </c>
      <c r="O6" s="97">
        <f>Услуги!O6*Дох!$E$5/1000</f>
        <v>0</v>
      </c>
      <c r="P6" s="95">
        <f>SUM(D6:O6)</f>
        <v>0</v>
      </c>
      <c r="Q6" s="97">
        <f>Услуги!Q6*Дох!$E$5/1000</f>
        <v>1700.04</v>
      </c>
      <c r="R6" s="97">
        <f>Услуги!R6*Дох!$E$5/1000</f>
        <v>1912.545</v>
      </c>
      <c r="S6" s="97">
        <f>Услуги!S6*Дох!$E$5/1000</f>
        <v>2125.05</v>
      </c>
      <c r="T6" s="97">
        <f>Услуги!T6*Дох!$E$5/1000</f>
        <v>2337.555</v>
      </c>
      <c r="U6" s="97">
        <f>Услуги!U6*Дох!$E$5/1000</f>
        <v>2337.555</v>
      </c>
      <c r="V6" s="97">
        <f>Услуги!V6*Дох!$E$5/1000</f>
        <v>2550.06</v>
      </c>
      <c r="W6" s="97">
        <f>Услуги!W6*Дох!$E$5/1000</f>
        <v>2550.06</v>
      </c>
      <c r="X6" s="97">
        <f>Услуги!X6*Дох!$E$5/1000</f>
        <v>2550.06</v>
      </c>
      <c r="Y6" s="97">
        <f>Услуги!Y6*Дох!$E$5/1000</f>
        <v>2762.565</v>
      </c>
      <c r="Z6" s="97">
        <f>Услуги!Z6*Дох!$E$5/1000</f>
        <v>2975.07</v>
      </c>
      <c r="AA6" s="97">
        <f>Услуги!AA6*Дох!$E$5/1000</f>
        <v>2975.07</v>
      </c>
      <c r="AB6" s="97">
        <f>Услуги!AB6*Дох!$E$5/1000</f>
        <v>2975.07</v>
      </c>
      <c r="AC6" s="95">
        <f>SUM(Q6:AB6)</f>
        <v>29750.699999999997</v>
      </c>
      <c r="AD6" s="97">
        <f>Услуги!AD6*Дох!$E$5/1000</f>
        <v>35700.84</v>
      </c>
      <c r="AE6" s="97">
        <f>Услуги!AE6*Дох!$E$5/1000</f>
        <v>38250.9</v>
      </c>
      <c r="AF6" s="97">
        <f>Услуги!AF6*Дох!$E$5/1000</f>
        <v>40800.96</v>
      </c>
      <c r="AG6" s="97">
        <f>Услуги!AG6*Дох!$E$5/1000</f>
        <v>43351.02</v>
      </c>
      <c r="AH6" s="97">
        <f>Услуги!AH6*Дох!$E$5/1000</f>
        <v>45901.08</v>
      </c>
      <c r="AI6" s="97">
        <f>Услуги!AI6*Дох!$E$5/1000</f>
        <v>48451.14</v>
      </c>
      <c r="AJ6" s="97">
        <f>Услуги!AJ6*Дох!$E$5/1000</f>
        <v>51001.2</v>
      </c>
    </row>
    <row r="7" spans="1:36" s="87" customFormat="1" ht="12.75" hidden="1">
      <c r="A7" s="96">
        <f>Услуги!A7</f>
        <v>0</v>
      </c>
      <c r="B7" s="94">
        <f>P7+AC7+AD7+AE7+AF7+AG7+AH7+AI7+AJ7</f>
        <v>0</v>
      </c>
      <c r="C7" s="95"/>
      <c r="D7" s="97"/>
      <c r="E7" s="97"/>
      <c r="F7" s="97"/>
      <c r="G7" s="97"/>
      <c r="H7" s="97"/>
      <c r="I7" s="97"/>
      <c r="J7" s="97"/>
      <c r="K7" s="97"/>
      <c r="L7" s="97"/>
      <c r="M7" s="97"/>
      <c r="N7" s="97">
        <f>Услуги!N7*Дох!$E$6/1000</f>
        <v>0</v>
      </c>
      <c r="O7" s="97">
        <f>Услуги!O7*Дох!$E$6/1000</f>
        <v>0</v>
      </c>
      <c r="P7" s="95">
        <f>SUM(D7:O7)</f>
        <v>0</v>
      </c>
      <c r="Q7" s="97">
        <f>Услуги!Q7*Дох!$E$6/1000</f>
        <v>0</v>
      </c>
      <c r="R7" s="97">
        <f>Услуги!R7*Дох!$E$6/1000</f>
        <v>0</v>
      </c>
      <c r="S7" s="97">
        <f>Услуги!S7*Дох!$E$6/1000</f>
        <v>0</v>
      </c>
      <c r="T7" s="97">
        <f>Услуги!T7*Дох!$E$6/1000</f>
        <v>0</v>
      </c>
      <c r="U7" s="97">
        <f>Услуги!U7*Дох!$E$6/1000</f>
        <v>0</v>
      </c>
      <c r="V7" s="97">
        <f>Услуги!V7*Дох!$E$6/1000</f>
        <v>0</v>
      </c>
      <c r="W7" s="97">
        <f>Услуги!W7*Дох!$E$6/1000</f>
        <v>0</v>
      </c>
      <c r="X7" s="97">
        <f>Услуги!X7*Дох!$E$6/1000</f>
        <v>0</v>
      </c>
      <c r="Y7" s="97">
        <f>Услуги!Y7*Дох!$E$6/1000</f>
        <v>0</v>
      </c>
      <c r="Z7" s="97">
        <f>Услуги!Z7*Дох!$E$6/1000</f>
        <v>0</v>
      </c>
      <c r="AA7" s="97">
        <f>Услуги!AA7*Дох!$E$6/1000</f>
        <v>0</v>
      </c>
      <c r="AB7" s="97">
        <f>Услуги!AB7*Дох!$E$6/1000</f>
        <v>0</v>
      </c>
      <c r="AC7" s="95">
        <f>SUM(Q7:AB7)</f>
        <v>0</v>
      </c>
      <c r="AD7" s="97">
        <f>Услуги!AD7*Дох!$E$6/1000</f>
        <v>0</v>
      </c>
      <c r="AE7" s="97">
        <f>Услуги!AE7*Дох!$E$6/1000</f>
        <v>0</v>
      </c>
      <c r="AF7" s="97">
        <f>Услуги!AF7*Дох!$E$6/1000</f>
        <v>0</v>
      </c>
      <c r="AG7" s="97">
        <f>Услуги!AG7*Дох!$E$6/1000</f>
        <v>0</v>
      </c>
      <c r="AH7" s="97">
        <f>Услуги!AH7*Дох!$E$6/1000</f>
        <v>0</v>
      </c>
      <c r="AI7" s="97">
        <f>Услуги!AI7*Дох!$E$6/1000</f>
        <v>0</v>
      </c>
      <c r="AJ7" s="97">
        <f>Услуги!AJ7*Дох!$E$6/1000</f>
        <v>0</v>
      </c>
    </row>
    <row r="8" spans="1:36" ht="15" customHeight="1">
      <c r="A8" s="93" t="s">
        <v>319</v>
      </c>
      <c r="B8" s="94">
        <f>SUM(B9:B10)</f>
        <v>199216.63734000002</v>
      </c>
      <c r="C8" s="95"/>
      <c r="D8" s="95">
        <f aca="true" t="shared" si="4" ref="D8:AJ8">SUM(D9:D10)</f>
        <v>0</v>
      </c>
      <c r="E8" s="95">
        <f t="shared" si="4"/>
        <v>0</v>
      </c>
      <c r="F8" s="95">
        <f t="shared" si="4"/>
        <v>0</v>
      </c>
      <c r="G8" s="95">
        <f t="shared" si="4"/>
        <v>0</v>
      </c>
      <c r="H8" s="95">
        <f t="shared" si="4"/>
        <v>0</v>
      </c>
      <c r="I8" s="95">
        <f t="shared" si="4"/>
        <v>0</v>
      </c>
      <c r="J8" s="95">
        <f t="shared" si="4"/>
        <v>0</v>
      </c>
      <c r="K8" s="95">
        <f t="shared" si="4"/>
        <v>0</v>
      </c>
      <c r="L8" s="95">
        <f t="shared" si="4"/>
        <v>0</v>
      </c>
      <c r="M8" s="95">
        <f t="shared" si="4"/>
        <v>0</v>
      </c>
      <c r="N8" s="95">
        <f t="shared" si="4"/>
        <v>0</v>
      </c>
      <c r="O8" s="95">
        <f t="shared" si="4"/>
        <v>0</v>
      </c>
      <c r="P8" s="95">
        <f t="shared" si="4"/>
        <v>0</v>
      </c>
      <c r="Q8" s="95">
        <f t="shared" si="4"/>
        <v>1016.411415</v>
      </c>
      <c r="R8" s="95">
        <f t="shared" si="4"/>
        <v>1143.462841875</v>
      </c>
      <c r="S8" s="95">
        <f t="shared" si="4"/>
        <v>1270.5142687500002</v>
      </c>
      <c r="T8" s="95">
        <f t="shared" si="4"/>
        <v>1397.565695625</v>
      </c>
      <c r="U8" s="95">
        <f t="shared" si="4"/>
        <v>1397.565695625</v>
      </c>
      <c r="V8" s="95">
        <f t="shared" si="4"/>
        <v>1524.6171225</v>
      </c>
      <c r="W8" s="95">
        <f t="shared" si="4"/>
        <v>1524.6171225</v>
      </c>
      <c r="X8" s="95">
        <f t="shared" si="4"/>
        <v>1524.6171225</v>
      </c>
      <c r="Y8" s="95">
        <f t="shared" si="4"/>
        <v>1651.668549375</v>
      </c>
      <c r="Z8" s="95">
        <f t="shared" si="4"/>
        <v>1778.71997625</v>
      </c>
      <c r="AA8" s="95">
        <f t="shared" si="4"/>
        <v>1778.71997625</v>
      </c>
      <c r="AB8" s="95">
        <f t="shared" si="4"/>
        <v>1778.71997625</v>
      </c>
      <c r="AC8" s="95">
        <f t="shared" si="4"/>
        <v>17787.1997625</v>
      </c>
      <c r="AD8" s="95">
        <f t="shared" si="4"/>
        <v>21344.639715</v>
      </c>
      <c r="AE8" s="95">
        <f t="shared" si="4"/>
        <v>22869.256837500005</v>
      </c>
      <c r="AF8" s="95">
        <f t="shared" si="4"/>
        <v>24393.87396</v>
      </c>
      <c r="AG8" s="95">
        <f t="shared" si="4"/>
        <v>25918.4910825</v>
      </c>
      <c r="AH8" s="95">
        <f t="shared" si="4"/>
        <v>27443.108205000004</v>
      </c>
      <c r="AI8" s="95">
        <f t="shared" si="4"/>
        <v>28967.7253275</v>
      </c>
      <c r="AJ8" s="95">
        <f t="shared" si="4"/>
        <v>30492.342450000004</v>
      </c>
    </row>
    <row r="9" spans="1:36" ht="12.75">
      <c r="A9" s="96" t="s">
        <v>198</v>
      </c>
      <c r="B9" s="94">
        <f>P9+AC9+AD9+AE9+AF9+AG9+AH9+AI9+AJ9</f>
        <v>83301.96</v>
      </c>
      <c r="C9" s="95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5">
        <f>SUM(D9:O9)</f>
        <v>0</v>
      </c>
      <c r="Q9" s="97">
        <f>(Услуги!Q6*'Расх перем'!$E$6+Услуги!Q7*'Расх перем'!$G$6)/1000</f>
        <v>425.01</v>
      </c>
      <c r="R9" s="97">
        <f>(Услуги!R6*'Расх перем'!$E$6+Услуги!R7*'Расх перем'!$G$6)/1000</f>
        <v>478.13625</v>
      </c>
      <c r="S9" s="97">
        <f>(Услуги!S6*'Расх перем'!$E$6+Услуги!S7*'Расх перем'!$G$6)/1000</f>
        <v>531.2625</v>
      </c>
      <c r="T9" s="97">
        <f>(Услуги!T6*'Расх перем'!$E$6+Услуги!T7*'Расх перем'!$G$6)/1000</f>
        <v>584.38875</v>
      </c>
      <c r="U9" s="97">
        <f>(Услуги!U6*'Расх перем'!$E$6+Услуги!U7*'Расх перем'!$G$6)/1000</f>
        <v>584.38875</v>
      </c>
      <c r="V9" s="97">
        <f>(Услуги!V6*'Расх перем'!$E$6+Услуги!V7*'Расх перем'!$G$6)/1000</f>
        <v>637.515</v>
      </c>
      <c r="W9" s="97">
        <f>(Услуги!W6*'Расх перем'!$E$6+Услуги!W7*'Расх перем'!$G$6)/1000</f>
        <v>637.515</v>
      </c>
      <c r="X9" s="97">
        <f>(Услуги!X6*'Расх перем'!$E$6+Услуги!X7*'Расх перем'!$G$6)/1000</f>
        <v>637.515</v>
      </c>
      <c r="Y9" s="97">
        <f>(Услуги!Y6*'Расх перем'!$E$6+Услуги!Y7*'Расх перем'!$G$6)/1000</f>
        <v>690.64125</v>
      </c>
      <c r="Z9" s="97">
        <f>(Услуги!Z6*'Расх перем'!$E$6+Услуги!Z7*'Расх перем'!$G$6)/1000</f>
        <v>743.7675</v>
      </c>
      <c r="AA9" s="97">
        <f>(Услуги!AA6*'Расх перем'!$E$6+Услуги!AA7*'Расх перем'!$G$6)/1000</f>
        <v>743.7675</v>
      </c>
      <c r="AB9" s="97">
        <f>(Услуги!AB6*'Расх перем'!$E$6+Услуги!AB7*'Расх перем'!$G$6)/1000</f>
        <v>743.7675</v>
      </c>
      <c r="AC9" s="95">
        <f>SUM(Q9:AB9)</f>
        <v>7437.674999999999</v>
      </c>
      <c r="AD9" s="97">
        <f>(Услуги!AD6*'Расх перем'!$E$6+Услуги!AD7*'Расх перем'!$G$6)/1000</f>
        <v>8925.21</v>
      </c>
      <c r="AE9" s="97">
        <f>(Услуги!AE6*'Расх перем'!$E$6+Услуги!AE7*'Расх перем'!$G$6)/1000</f>
        <v>9562.725</v>
      </c>
      <c r="AF9" s="97">
        <f>(Услуги!AF6*'Расх перем'!$E$6+Услуги!AF7*'Расх перем'!$G$6)/1000</f>
        <v>10200.24</v>
      </c>
      <c r="AG9" s="97">
        <f>(Услуги!AG6*'Расх перем'!$E$6+Услуги!AG7*'Расх перем'!$G$6)/1000</f>
        <v>10837.755</v>
      </c>
      <c r="AH9" s="97">
        <f>(Услуги!AH6*'Расх перем'!$E$6+Услуги!AH7*'Расх перем'!$G$6)/1000</f>
        <v>11475.27</v>
      </c>
      <c r="AI9" s="97">
        <f>(Услуги!AI6*'Расх перем'!$E$6+Услуги!AI7*'Расх перем'!$G$6)/1000</f>
        <v>12112.785</v>
      </c>
      <c r="AJ9" s="97">
        <f>(Услуги!AJ6*'Расх перем'!$E$6+Услуги!AJ7*'Расх перем'!$G$6)/1000</f>
        <v>12750.3</v>
      </c>
    </row>
    <row r="10" spans="1:36" ht="12.75">
      <c r="A10" s="96" t="s">
        <v>259</v>
      </c>
      <c r="B10" s="94">
        <f>P10+AC10+AD10+AE10+AF10+AG10+AH10+AI10+AJ10</f>
        <v>115914.67734000002</v>
      </c>
      <c r="C10" s="95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5"/>
      <c r="Q10" s="97">
        <f>Услуги!Q6*'Расх перем'!$E$7/1000</f>
        <v>591.401415</v>
      </c>
      <c r="R10" s="97">
        <f>Услуги!R6*'Расх перем'!$E$7/1000</f>
        <v>665.3265918750001</v>
      </c>
      <c r="S10" s="97">
        <f>Услуги!S6*'Расх перем'!$E$7/1000</f>
        <v>739.25176875</v>
      </c>
      <c r="T10" s="97">
        <f>Услуги!T6*'Расх перем'!$E$7/1000</f>
        <v>813.176945625</v>
      </c>
      <c r="U10" s="97">
        <f>Услуги!U6*'Расх перем'!$E$7/1000</f>
        <v>813.176945625</v>
      </c>
      <c r="V10" s="97">
        <f>Услуги!V6*'Расх перем'!$E$7/1000</f>
        <v>887.1021225000001</v>
      </c>
      <c r="W10" s="97">
        <f>Услуги!W6*'Расх перем'!$E$7/1000</f>
        <v>887.1021225000001</v>
      </c>
      <c r="X10" s="97">
        <f>Услуги!X6*'Расх перем'!$E$7/1000</f>
        <v>887.1021225000001</v>
      </c>
      <c r="Y10" s="97">
        <f>Услуги!Y6*'Расх перем'!$E$7/1000</f>
        <v>961.0272993750001</v>
      </c>
      <c r="Z10" s="97">
        <f>Услуги!Z6*'Расх перем'!$E$7/1000</f>
        <v>1034.95247625</v>
      </c>
      <c r="AA10" s="97">
        <f>Услуги!AA6*'Расх перем'!$E$7/1000</f>
        <v>1034.95247625</v>
      </c>
      <c r="AB10" s="97">
        <f>Услуги!AB6*'Расх перем'!$E$7/1000</f>
        <v>1034.95247625</v>
      </c>
      <c r="AC10" s="95">
        <f>SUM(Q10:AB10)</f>
        <v>10349.524762500003</v>
      </c>
      <c r="AD10" s="97">
        <f>Услуги!AD6*'Расх перем'!$E$7/1000</f>
        <v>12419.429715000002</v>
      </c>
      <c r="AE10" s="97">
        <f>Услуги!AE6*'Расх перем'!$E$7/1000</f>
        <v>13306.531837500002</v>
      </c>
      <c r="AF10" s="97">
        <f>Услуги!AF6*'Расх перем'!$E$7/1000</f>
        <v>14193.633960000001</v>
      </c>
      <c r="AG10" s="97">
        <f>Услуги!AG6*'Расх перем'!$E$7/1000</f>
        <v>15080.736082500001</v>
      </c>
      <c r="AH10" s="97">
        <f>Услуги!AH6*'Расх перем'!$E$7/1000</f>
        <v>15967.838205000002</v>
      </c>
      <c r="AI10" s="97">
        <f>Услуги!AI6*'Расх перем'!$E$7/1000</f>
        <v>16854.9403275</v>
      </c>
      <c r="AJ10" s="97">
        <f>Услуги!AJ6*'Расх перем'!$E$7/1000</f>
        <v>17742.042450000004</v>
      </c>
    </row>
    <row r="11" spans="1:36" s="87" customFormat="1" ht="15" customHeight="1">
      <c r="A11" s="93" t="s">
        <v>14</v>
      </c>
      <c r="B11" s="94">
        <f>B5-B8</f>
        <v>133991.20266</v>
      </c>
      <c r="C11" s="98"/>
      <c r="D11" s="95">
        <f aca="true" t="shared" si="5" ref="D11:AJ11">D5-D8</f>
        <v>0</v>
      </c>
      <c r="E11" s="95">
        <f t="shared" si="5"/>
        <v>0</v>
      </c>
      <c r="F11" s="95">
        <f t="shared" si="5"/>
        <v>0</v>
      </c>
      <c r="G11" s="95">
        <f t="shared" si="5"/>
        <v>0</v>
      </c>
      <c r="H11" s="95">
        <f t="shared" si="5"/>
        <v>0</v>
      </c>
      <c r="I11" s="95">
        <f t="shared" si="5"/>
        <v>0</v>
      </c>
      <c r="J11" s="95">
        <f t="shared" si="5"/>
        <v>0</v>
      </c>
      <c r="K11" s="95">
        <f t="shared" si="5"/>
        <v>0</v>
      </c>
      <c r="L11" s="95">
        <f t="shared" si="5"/>
        <v>0</v>
      </c>
      <c r="M11" s="95">
        <f t="shared" si="5"/>
        <v>0</v>
      </c>
      <c r="N11" s="95">
        <f t="shared" si="5"/>
        <v>0</v>
      </c>
      <c r="O11" s="95">
        <f t="shared" si="5"/>
        <v>0</v>
      </c>
      <c r="P11" s="95">
        <f t="shared" si="5"/>
        <v>0</v>
      </c>
      <c r="Q11" s="95">
        <f t="shared" si="5"/>
        <v>683.6285849999999</v>
      </c>
      <c r="R11" s="95">
        <f t="shared" si="5"/>
        <v>769.082158125</v>
      </c>
      <c r="S11" s="95">
        <f t="shared" si="5"/>
        <v>854.53573125</v>
      </c>
      <c r="T11" s="95">
        <f t="shared" si="5"/>
        <v>939.9893043749998</v>
      </c>
      <c r="U11" s="95">
        <f t="shared" si="5"/>
        <v>939.9893043749998</v>
      </c>
      <c r="V11" s="95">
        <f t="shared" si="5"/>
        <v>1025.4428775</v>
      </c>
      <c r="W11" s="95">
        <f t="shared" si="5"/>
        <v>1025.4428775</v>
      </c>
      <c r="X11" s="95">
        <f t="shared" si="5"/>
        <v>1025.4428775</v>
      </c>
      <c r="Y11" s="95">
        <f t="shared" si="5"/>
        <v>1110.896450625</v>
      </c>
      <c r="Z11" s="95">
        <f t="shared" si="5"/>
        <v>1196.3500237500002</v>
      </c>
      <c r="AA11" s="95">
        <f t="shared" si="5"/>
        <v>1196.3500237500002</v>
      </c>
      <c r="AB11" s="95">
        <f t="shared" si="5"/>
        <v>1196.3500237500002</v>
      </c>
      <c r="AC11" s="95">
        <f t="shared" si="5"/>
        <v>11963.500237499997</v>
      </c>
      <c r="AD11" s="95">
        <f t="shared" si="5"/>
        <v>14356.200284999995</v>
      </c>
      <c r="AE11" s="95">
        <f t="shared" si="5"/>
        <v>15381.643162499997</v>
      </c>
      <c r="AF11" s="95">
        <f t="shared" si="5"/>
        <v>16407.08604</v>
      </c>
      <c r="AG11" s="95">
        <f t="shared" si="5"/>
        <v>17432.528917499996</v>
      </c>
      <c r="AH11" s="95">
        <f t="shared" si="5"/>
        <v>18457.971794999998</v>
      </c>
      <c r="AI11" s="95">
        <f t="shared" si="5"/>
        <v>19483.4146725</v>
      </c>
      <c r="AJ11" s="95">
        <f t="shared" si="5"/>
        <v>20508.857549999993</v>
      </c>
    </row>
    <row r="12" spans="1:36" ht="15" customHeight="1">
      <c r="A12" s="99" t="s">
        <v>133</v>
      </c>
      <c r="B12" s="94">
        <f>P12+AC12+AD12+AE12+AF12+AG12+AH12+AI12+AJ12</f>
        <v>47275.450218510436</v>
      </c>
      <c r="C12" s="95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>
        <f>Пост!$C$16+Пост!$C$18+Пост!$C$21</f>
        <v>0</v>
      </c>
      <c r="O12" s="97">
        <f>Пост!$C$16+Пост!$C$18+Пост!$C$21</f>
        <v>0</v>
      </c>
      <c r="P12" s="95">
        <f aca="true" t="shared" si="6" ref="P12:P17">SUM(D12:O12)</f>
        <v>0</v>
      </c>
      <c r="Q12" s="97">
        <f>Пост!$D$16+Пост!$D$18+Пост!$D$21</f>
        <v>398.36275000000006</v>
      </c>
      <c r="R12" s="97">
        <f>Пост!$D$16+Пост!$D$18+Пост!$D$21</f>
        <v>398.36275000000006</v>
      </c>
      <c r="S12" s="97">
        <f>Пост!$D$16+Пост!$D$18+Пост!$D$21</f>
        <v>398.36275000000006</v>
      </c>
      <c r="T12" s="97">
        <f>Пост!$D$16+Пост!$D$18+Пост!$D$21</f>
        <v>398.36275000000006</v>
      </c>
      <c r="U12" s="97">
        <f>Пост!$D$16+Пост!$D$18+Пост!$D$21</f>
        <v>398.36275000000006</v>
      </c>
      <c r="V12" s="97">
        <f>Пост!$D$16+Пост!$D$18+Пост!$D$21</f>
        <v>398.36275000000006</v>
      </c>
      <c r="W12" s="97">
        <f>Пост!$D$16+Пост!$D$18+Пост!$D$21</f>
        <v>398.36275000000006</v>
      </c>
      <c r="X12" s="97">
        <f>Пост!$D$16+Пост!$D$18+Пост!$D$21</f>
        <v>398.36275000000006</v>
      </c>
      <c r="Y12" s="97">
        <f>Пост!$D$16+Пост!$D$18+Пост!$D$21</f>
        <v>398.36275000000006</v>
      </c>
      <c r="Z12" s="97">
        <f>Пост!$D$16+Пост!$D$18+Пост!$D$21</f>
        <v>398.36275000000006</v>
      </c>
      <c r="AA12" s="97">
        <f>Пост!$D$16+Пост!$D$18+Пост!$D$21</f>
        <v>398.36275000000006</v>
      </c>
      <c r="AB12" s="97">
        <f>Пост!$D$16+Пост!$D$18+Пост!$D$21</f>
        <v>398.36275000000006</v>
      </c>
      <c r="AC12" s="95">
        <f aca="true" t="shared" si="7" ref="AC12:AC17">SUM(Q12:AB12)</f>
        <v>4780.353000000002</v>
      </c>
      <c r="AD12" s="97">
        <f>(Пост!E16+Пост!E18+Пост!E21)*12</f>
        <v>5172.1488</v>
      </c>
      <c r="AE12" s="97">
        <f>(Пост!F16+Пост!F18+Пост!F21)*12</f>
        <v>5453.706779999999</v>
      </c>
      <c r="AF12" s="97">
        <f>(Пост!G16+Пост!G18+Пост!G21)*12</f>
        <v>5745.517569000001</v>
      </c>
      <c r="AG12" s="97">
        <f>(Пост!H16+Пост!H18+Пост!H21)*12</f>
        <v>6048.093807449999</v>
      </c>
      <c r="AH12" s="97">
        <f>(Пост!I16+Пост!I18+Пост!I21)*12</f>
        <v>6361.973767822499</v>
      </c>
      <c r="AI12" s="97">
        <f>(Пост!J16+Пост!J18+Пост!J21)*12</f>
        <v>6687.722636213624</v>
      </c>
      <c r="AJ12" s="97">
        <f>(Пост!K16+Пост!K18+Пост!K21)*12</f>
        <v>7025.933858024304</v>
      </c>
    </row>
    <row r="13" spans="1:36" ht="15" customHeight="1">
      <c r="A13" s="99" t="s">
        <v>69</v>
      </c>
      <c r="B13" s="94">
        <f>P13+AC13+AD13+AE13+AF13+AG13+AH13+AI13+AJ13</f>
        <v>10173.100705882352</v>
      </c>
      <c r="C13" s="95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5">
        <f t="shared" si="6"/>
        <v>0</v>
      </c>
      <c r="Q13" s="97">
        <f>Пост!$D$31/12</f>
        <v>105.96979901960783</v>
      </c>
      <c r="R13" s="97">
        <f>Пост!$D$31/12</f>
        <v>105.96979901960783</v>
      </c>
      <c r="S13" s="97">
        <f>Пост!$D$31/12</f>
        <v>105.96979901960783</v>
      </c>
      <c r="T13" s="97">
        <f>Пост!$D$31/12</f>
        <v>105.96979901960783</v>
      </c>
      <c r="U13" s="97">
        <f>Пост!$D$31/12</f>
        <v>105.96979901960783</v>
      </c>
      <c r="V13" s="97">
        <f>Пост!$D$31/12</f>
        <v>105.96979901960783</v>
      </c>
      <c r="W13" s="97">
        <f>Пост!$D$31/12</f>
        <v>105.96979901960783</v>
      </c>
      <c r="X13" s="97">
        <f>Пост!$D$31/12</f>
        <v>105.96979901960783</v>
      </c>
      <c r="Y13" s="97">
        <f>Пост!$D$31/12</f>
        <v>105.96979901960783</v>
      </c>
      <c r="Z13" s="97">
        <f>Пост!$D$31/12</f>
        <v>105.96979901960783</v>
      </c>
      <c r="AA13" s="97">
        <f>Пост!$D$31/12</f>
        <v>105.96979901960783</v>
      </c>
      <c r="AB13" s="97">
        <f>Пост!$D$31/12</f>
        <v>105.96979901960783</v>
      </c>
      <c r="AC13" s="95">
        <f t="shared" si="7"/>
        <v>1271.637588235294</v>
      </c>
      <c r="AD13" s="97">
        <f>Пост!E31</f>
        <v>1271.637588235294</v>
      </c>
      <c r="AE13" s="97">
        <f>Пост!F31</f>
        <v>1271.637588235294</v>
      </c>
      <c r="AF13" s="97">
        <f>Пост!G31</f>
        <v>1271.637588235294</v>
      </c>
      <c r="AG13" s="97">
        <f>Пост!H31</f>
        <v>1271.637588235294</v>
      </c>
      <c r="AH13" s="97">
        <f>Пост!I31</f>
        <v>1271.637588235294</v>
      </c>
      <c r="AI13" s="97">
        <f>Пост!J31</f>
        <v>1271.637588235294</v>
      </c>
      <c r="AJ13" s="97">
        <f>Пост!K31</f>
        <v>1271.637588235294</v>
      </c>
    </row>
    <row r="14" spans="1:36" ht="15" customHeight="1">
      <c r="A14" s="99" t="s">
        <v>23</v>
      </c>
      <c r="B14" s="94">
        <f>P14+AC14+AD14+AE14+AF14+AG14+AH14+AI14+AJ14</f>
        <v>2423.7608346093834</v>
      </c>
      <c r="C14" s="95"/>
      <c r="D14" s="97">
        <f>кр!C9</f>
        <v>0</v>
      </c>
      <c r="E14" s="97">
        <f>кр!D9</f>
        <v>0</v>
      </c>
      <c r="F14" s="97">
        <f>кр!E9</f>
        <v>0</v>
      </c>
      <c r="G14" s="97">
        <f>кр!F9</f>
        <v>0</v>
      </c>
      <c r="H14" s="97">
        <f>кр!G9</f>
        <v>0</v>
      </c>
      <c r="I14" s="97">
        <f>кр!H9</f>
        <v>0</v>
      </c>
      <c r="J14" s="97">
        <f>кр!I9</f>
        <v>0</v>
      </c>
      <c r="K14" s="97">
        <f>кр!J9</f>
        <v>0</v>
      </c>
      <c r="L14" s="97">
        <f>кр!K9</f>
        <v>0</v>
      </c>
      <c r="M14" s="97">
        <f>кр!L9</f>
        <v>0</v>
      </c>
      <c r="N14" s="97">
        <f>кр!M9</f>
        <v>0</v>
      </c>
      <c r="O14" s="97">
        <f>кр!N9</f>
        <v>92.29971960416668</v>
      </c>
      <c r="P14" s="95">
        <f t="shared" si="6"/>
        <v>92.29971960416668</v>
      </c>
      <c r="Q14" s="97">
        <f>кр!P9</f>
        <v>92.29971960416668</v>
      </c>
      <c r="R14" s="97">
        <f>кр!Q9</f>
        <v>93.3765496662153</v>
      </c>
      <c r="S14" s="97">
        <f>кр!R9</f>
        <v>91.55595010654109</v>
      </c>
      <c r="T14" s="97">
        <f>кр!S9</f>
        <v>89.72473038276878</v>
      </c>
      <c r="U14" s="97">
        <f>кр!T9</f>
        <v>87.88282854394113</v>
      </c>
      <c r="V14" s="97">
        <f>кр!U9</f>
        <v>86.03018227772031</v>
      </c>
      <c r="W14" s="97">
        <f>кр!V9</f>
        <v>84.1667289082799</v>
      </c>
      <c r="X14" s="97">
        <f>кр!W9</f>
        <v>82.2924053941844</v>
      </c>
      <c r="Y14" s="97">
        <f>кр!X9</f>
        <v>80.40714832625669</v>
      </c>
      <c r="Z14" s="97">
        <f>кр!Y9</f>
        <v>78.51089392543273</v>
      </c>
      <c r="AA14" s="97">
        <f>кр!Z9</f>
        <v>76.60357804060395</v>
      </c>
      <c r="AB14" s="97">
        <f>кр!AA9</f>
        <v>74.68513614644701</v>
      </c>
      <c r="AC14" s="95">
        <f t="shared" si="7"/>
        <v>1017.5358513225578</v>
      </c>
      <c r="AD14" s="97">
        <f>кр!AO9</f>
        <v>742.4435597157604</v>
      </c>
      <c r="AE14" s="97">
        <f>кр!BB9</f>
        <v>444.36926091490767</v>
      </c>
      <c r="AF14" s="97">
        <f>кр!BO9</f>
        <v>127.11244305196911</v>
      </c>
      <c r="AG14" s="97">
        <f>кр!CB9</f>
        <v>5.534843694476876E-12</v>
      </c>
      <c r="AH14" s="97">
        <f>кр!CO9</f>
        <v>5.534843694476876E-12</v>
      </c>
      <c r="AI14" s="97">
        <f>кр!DB9</f>
        <v>5.534843694476876E-12</v>
      </c>
      <c r="AJ14" s="97">
        <f>кр!DO9</f>
        <v>5.534843694476876E-12</v>
      </c>
    </row>
    <row r="15" spans="1:36" ht="15" customHeight="1">
      <c r="A15" s="99" t="s">
        <v>178</v>
      </c>
      <c r="B15" s="94">
        <f>B11-B12-B13-B14</f>
        <v>74118.89090099784</v>
      </c>
      <c r="C15" s="98"/>
      <c r="D15" s="97">
        <f>D11-D12-D14-D13</f>
        <v>0</v>
      </c>
      <c r="E15" s="97">
        <f aca="true" t="shared" si="8" ref="E15:O15">E11-E12-E14-E13</f>
        <v>0</v>
      </c>
      <c r="F15" s="97">
        <f t="shared" si="8"/>
        <v>0</v>
      </c>
      <c r="G15" s="97">
        <f t="shared" si="8"/>
        <v>0</v>
      </c>
      <c r="H15" s="97">
        <f t="shared" si="8"/>
        <v>0</v>
      </c>
      <c r="I15" s="97">
        <f t="shared" si="8"/>
        <v>0</v>
      </c>
      <c r="J15" s="97">
        <f t="shared" si="8"/>
        <v>0</v>
      </c>
      <c r="K15" s="97">
        <f t="shared" si="8"/>
        <v>0</v>
      </c>
      <c r="L15" s="97">
        <f t="shared" si="8"/>
        <v>0</v>
      </c>
      <c r="M15" s="97">
        <f t="shared" si="8"/>
        <v>0</v>
      </c>
      <c r="N15" s="97">
        <f t="shared" si="8"/>
        <v>0</v>
      </c>
      <c r="O15" s="97">
        <f t="shared" si="8"/>
        <v>-92.29971960416668</v>
      </c>
      <c r="P15" s="95">
        <f t="shared" si="6"/>
        <v>-92.29971960416668</v>
      </c>
      <c r="Q15" s="97">
        <f aca="true" t="shared" si="9" ref="Q15:AB15">Q11-Q12-Q14-Q13</f>
        <v>86.99631637622535</v>
      </c>
      <c r="R15" s="97">
        <f t="shared" si="9"/>
        <v>171.3730594391768</v>
      </c>
      <c r="S15" s="97">
        <f t="shared" si="9"/>
        <v>258.64723212385104</v>
      </c>
      <c r="T15" s="97">
        <f t="shared" si="9"/>
        <v>345.93202497262325</v>
      </c>
      <c r="U15" s="97">
        <f t="shared" si="9"/>
        <v>347.7739268114509</v>
      </c>
      <c r="V15" s="97">
        <f t="shared" si="9"/>
        <v>435.08014620267176</v>
      </c>
      <c r="W15" s="97">
        <f t="shared" si="9"/>
        <v>436.9435995721122</v>
      </c>
      <c r="X15" s="97">
        <f t="shared" si="9"/>
        <v>438.8179230862077</v>
      </c>
      <c r="Y15" s="97">
        <f t="shared" si="9"/>
        <v>526.1567532791354</v>
      </c>
      <c r="Z15" s="97">
        <f t="shared" si="9"/>
        <v>613.5065808049596</v>
      </c>
      <c r="AA15" s="97">
        <f t="shared" si="9"/>
        <v>615.4138966897884</v>
      </c>
      <c r="AB15" s="97">
        <f t="shared" si="9"/>
        <v>617.3323385839453</v>
      </c>
      <c r="AC15" s="95">
        <f t="shared" si="7"/>
        <v>4893.973797942148</v>
      </c>
      <c r="AD15" s="97">
        <f aca="true" t="shared" si="10" ref="AD15:AI15">AD11-AD12-AD14-AD13</f>
        <v>7169.9703370489415</v>
      </c>
      <c r="AE15" s="97">
        <f t="shared" si="10"/>
        <v>8211.929533349798</v>
      </c>
      <c r="AF15" s="97">
        <f t="shared" si="10"/>
        <v>9262.818439712737</v>
      </c>
      <c r="AG15" s="97">
        <f t="shared" si="10"/>
        <v>10112.797521814697</v>
      </c>
      <c r="AH15" s="97">
        <f t="shared" si="10"/>
        <v>10824.3604389422</v>
      </c>
      <c r="AI15" s="97">
        <f t="shared" si="10"/>
        <v>11524.054448051076</v>
      </c>
      <c r="AJ15" s="97">
        <f>AJ11-AJ12-AJ14-AJ13</f>
        <v>12211.286103740389</v>
      </c>
    </row>
    <row r="16" spans="1:36" ht="15" customHeight="1">
      <c r="A16" s="99" t="s">
        <v>245</v>
      </c>
      <c r="B16" s="94">
        <f>P16+AC16+AD16+AE16+AF16+AG16+AH16+AI16+AJ16</f>
        <v>9996.2352</v>
      </c>
      <c r="C16" s="95"/>
      <c r="D16" s="97"/>
      <c r="E16" s="130">
        <f>IF(E15+D18&lt;0,0,IF(D18&lt;0,(D18+E15)*Исх!$C$22,E15*Исх!$C$22))</f>
        <v>0</v>
      </c>
      <c r="F16" s="130">
        <f>IF(F15+E18&lt;0,0,IF(E18&lt;0,(E18+F15)*Исх!$C$22,F15*Исх!$C$22))</f>
        <v>0</v>
      </c>
      <c r="G16" s="130">
        <f>IF(G15+F18&lt;0,0,IF(F18&lt;0,(F18+G15)*Исх!$C$22,G15*Исх!$C$22))</f>
        <v>0</v>
      </c>
      <c r="H16" s="130">
        <f>IF(H15+G18&lt;0,0,IF(G18&lt;0,(G18+H15)*Исх!$C$22,H15*Исх!$C$22))</f>
        <v>0</v>
      </c>
      <c r="I16" s="130">
        <f>IF(I15+H18&lt;0,0,IF(H18&lt;0,(H18+I15)*Исх!$C$22,I15*Исх!$C$22))</f>
        <v>0</v>
      </c>
      <c r="J16" s="130">
        <f>IF(J15+I18&lt;0,0,IF(I18&lt;0,(I18+J15)*Исх!$C$22,J15*Исх!$C$22))</f>
        <v>0</v>
      </c>
      <c r="K16" s="130">
        <f>IF(K15+J18&lt;0,0,IF(J18&lt;0,(J18+K15)*Исх!$C$22,K15*Исх!$C$22))</f>
        <v>0</v>
      </c>
      <c r="L16" s="130">
        <f>IF(L15+K18&lt;0,0,IF(K18&lt;0,(K18+L15)*Исх!$C$22,L15*Исх!$C$22))</f>
        <v>0</v>
      </c>
      <c r="M16" s="130">
        <f>IF(M15+L18&lt;0,0,IF(L18&lt;0,(L18+M15)*Исх!$C$22,M15*Исх!$C$22))</f>
        <v>0</v>
      </c>
      <c r="N16" s="130">
        <f>N5*Исх!$C$22</f>
        <v>0</v>
      </c>
      <c r="O16" s="130">
        <f>O5*Исх!$C$22</f>
        <v>0</v>
      </c>
      <c r="P16" s="95">
        <f t="shared" si="6"/>
        <v>0</v>
      </c>
      <c r="Q16" s="130">
        <f>Q5*Исх!$C$22</f>
        <v>51.0012</v>
      </c>
      <c r="R16" s="130">
        <f>R5*Исх!$C$22</f>
        <v>57.37635</v>
      </c>
      <c r="S16" s="130">
        <f>S5*Исх!$C$22</f>
        <v>63.7515</v>
      </c>
      <c r="T16" s="130">
        <f>T5*Исх!$C$22</f>
        <v>70.12665</v>
      </c>
      <c r="U16" s="130">
        <f>U5*Исх!$C$22</f>
        <v>70.12665</v>
      </c>
      <c r="V16" s="130">
        <f>V5*Исх!$C$22</f>
        <v>76.50179999999999</v>
      </c>
      <c r="W16" s="130">
        <f>W5*Исх!$C$22</f>
        <v>76.50179999999999</v>
      </c>
      <c r="X16" s="130">
        <f>X5*Исх!$C$22</f>
        <v>76.50179999999999</v>
      </c>
      <c r="Y16" s="130">
        <f>Y5*Исх!$C$22</f>
        <v>82.87695</v>
      </c>
      <c r="Z16" s="130">
        <f>Z5*Исх!$C$22</f>
        <v>89.2521</v>
      </c>
      <c r="AA16" s="130">
        <f>AA5*Исх!$C$22</f>
        <v>89.2521</v>
      </c>
      <c r="AB16" s="130">
        <f>AB5*Исх!$C$22</f>
        <v>89.2521</v>
      </c>
      <c r="AC16" s="95">
        <f t="shared" si="7"/>
        <v>892.5210000000001</v>
      </c>
      <c r="AD16" s="130">
        <f>AD5*Исх!$C$22</f>
        <v>1071.0251999999998</v>
      </c>
      <c r="AE16" s="130">
        <f>AE5*Исх!$C$22</f>
        <v>1147.527</v>
      </c>
      <c r="AF16" s="130">
        <f>AF5*Исх!$C$22</f>
        <v>1224.0287999999998</v>
      </c>
      <c r="AG16" s="130">
        <f>AG5*Исх!$C$22</f>
        <v>1300.5305999999998</v>
      </c>
      <c r="AH16" s="130">
        <f>AH5*Исх!$C$22</f>
        <v>1377.0324</v>
      </c>
      <c r="AI16" s="130">
        <f>AI5*Исх!$C$22</f>
        <v>1453.5341999999998</v>
      </c>
      <c r="AJ16" s="130">
        <f>AJ5*Исх!$C$22</f>
        <v>1530.0359999999998</v>
      </c>
    </row>
    <row r="17" spans="1:36" ht="15" customHeight="1">
      <c r="A17" s="99" t="s">
        <v>214</v>
      </c>
      <c r="B17" s="94">
        <f>B15-B16</f>
        <v>64122.65570099784</v>
      </c>
      <c r="C17" s="98"/>
      <c r="D17" s="97">
        <f aca="true" t="shared" si="11" ref="D17:Q17">D15-D16</f>
        <v>0</v>
      </c>
      <c r="E17" s="97">
        <f>E15-E16</f>
        <v>0</v>
      </c>
      <c r="F17" s="97">
        <f t="shared" si="11"/>
        <v>0</v>
      </c>
      <c r="G17" s="97">
        <f t="shared" si="11"/>
        <v>0</v>
      </c>
      <c r="H17" s="97">
        <f t="shared" si="11"/>
        <v>0</v>
      </c>
      <c r="I17" s="97">
        <f t="shared" si="11"/>
        <v>0</v>
      </c>
      <c r="J17" s="97">
        <f t="shared" si="11"/>
        <v>0</v>
      </c>
      <c r="K17" s="97">
        <f t="shared" si="11"/>
        <v>0</v>
      </c>
      <c r="L17" s="97">
        <f t="shared" si="11"/>
        <v>0</v>
      </c>
      <c r="M17" s="97">
        <f t="shared" si="11"/>
        <v>0</v>
      </c>
      <c r="N17" s="97">
        <f t="shared" si="11"/>
        <v>0</v>
      </c>
      <c r="O17" s="97">
        <f t="shared" si="11"/>
        <v>-92.29971960416668</v>
      </c>
      <c r="P17" s="95">
        <f t="shared" si="6"/>
        <v>-92.29971960416668</v>
      </c>
      <c r="Q17" s="97">
        <f t="shared" si="11"/>
        <v>35.995116376225354</v>
      </c>
      <c r="R17" s="97">
        <f aca="true" t="shared" si="12" ref="R17:AF17">R15-R16</f>
        <v>113.99670943917681</v>
      </c>
      <c r="S17" s="97">
        <f t="shared" si="12"/>
        <v>194.89573212385105</v>
      </c>
      <c r="T17" s="97">
        <f t="shared" si="12"/>
        <v>275.80537497262327</v>
      </c>
      <c r="U17" s="97">
        <f t="shared" si="12"/>
        <v>277.6472768114509</v>
      </c>
      <c r="V17" s="97">
        <f t="shared" si="12"/>
        <v>358.57834620267175</v>
      </c>
      <c r="W17" s="97">
        <f t="shared" si="12"/>
        <v>360.4417995721122</v>
      </c>
      <c r="X17" s="97">
        <f t="shared" si="12"/>
        <v>362.3161230862077</v>
      </c>
      <c r="Y17" s="97">
        <f t="shared" si="12"/>
        <v>443.2798032791354</v>
      </c>
      <c r="Z17" s="97">
        <f t="shared" si="12"/>
        <v>524.2544808049596</v>
      </c>
      <c r="AA17" s="97">
        <f t="shared" si="12"/>
        <v>526.1617966897884</v>
      </c>
      <c r="AB17" s="97">
        <f t="shared" si="12"/>
        <v>528.0802385839453</v>
      </c>
      <c r="AC17" s="95">
        <f t="shared" si="7"/>
        <v>4001.4527979421478</v>
      </c>
      <c r="AD17" s="97">
        <f t="shared" si="12"/>
        <v>6098.945137048941</v>
      </c>
      <c r="AE17" s="97">
        <f t="shared" si="12"/>
        <v>7064.4025333497975</v>
      </c>
      <c r="AF17" s="97">
        <f t="shared" si="12"/>
        <v>8038.789639712737</v>
      </c>
      <c r="AG17" s="97">
        <f>AG15-AG16</f>
        <v>8812.266921814697</v>
      </c>
      <c r="AH17" s="97">
        <f>AH15-AH16</f>
        <v>9447.3280389422</v>
      </c>
      <c r="AI17" s="97">
        <f>AI15-AI16</f>
        <v>10070.520248051076</v>
      </c>
      <c r="AJ17" s="97">
        <f>AJ15-AJ16</f>
        <v>10681.250103740389</v>
      </c>
    </row>
    <row r="18" spans="1:36" ht="15" customHeight="1">
      <c r="A18" s="99" t="s">
        <v>215</v>
      </c>
      <c r="B18" s="100">
        <f>AJ18</f>
        <v>64122.65570099781</v>
      </c>
      <c r="C18" s="101"/>
      <c r="D18" s="97">
        <f>C18+D17</f>
        <v>0</v>
      </c>
      <c r="E18" s="97">
        <f>D18+E17</f>
        <v>0</v>
      </c>
      <c r="F18" s="97">
        <f aca="true" t="shared" si="13" ref="F18:O18">E18+F17</f>
        <v>0</v>
      </c>
      <c r="G18" s="97">
        <f t="shared" si="13"/>
        <v>0</v>
      </c>
      <c r="H18" s="97">
        <f t="shared" si="13"/>
        <v>0</v>
      </c>
      <c r="I18" s="97">
        <f t="shared" si="13"/>
        <v>0</v>
      </c>
      <c r="J18" s="97">
        <f t="shared" si="13"/>
        <v>0</v>
      </c>
      <c r="K18" s="97">
        <f t="shared" si="13"/>
        <v>0</v>
      </c>
      <c r="L18" s="97">
        <f t="shared" si="13"/>
        <v>0</v>
      </c>
      <c r="M18" s="97">
        <f t="shared" si="13"/>
        <v>0</v>
      </c>
      <c r="N18" s="97">
        <f t="shared" si="13"/>
        <v>0</v>
      </c>
      <c r="O18" s="97">
        <f t="shared" si="13"/>
        <v>-92.29971960416668</v>
      </c>
      <c r="P18" s="95">
        <f>O18</f>
        <v>-92.29971960416668</v>
      </c>
      <c r="Q18" s="97">
        <f>P18+Q17</f>
        <v>-56.30460322794133</v>
      </c>
      <c r="R18" s="97">
        <f aca="true" t="shared" si="14" ref="R18:AA18">Q18+R17</f>
        <v>57.69210621123548</v>
      </c>
      <c r="S18" s="97">
        <f t="shared" si="14"/>
        <v>252.58783833508653</v>
      </c>
      <c r="T18" s="97">
        <f t="shared" si="14"/>
        <v>528.3932133077099</v>
      </c>
      <c r="U18" s="97">
        <f t="shared" si="14"/>
        <v>806.0404901191607</v>
      </c>
      <c r="V18" s="97">
        <f t="shared" si="14"/>
        <v>1164.6188363218325</v>
      </c>
      <c r="W18" s="97">
        <f t="shared" si="14"/>
        <v>1525.0606358939447</v>
      </c>
      <c r="X18" s="97">
        <f t="shared" si="14"/>
        <v>1887.3767589801523</v>
      </c>
      <c r="Y18" s="97">
        <f t="shared" si="14"/>
        <v>2330.656562259288</v>
      </c>
      <c r="Z18" s="97">
        <f t="shared" si="14"/>
        <v>2854.9110430642477</v>
      </c>
      <c r="AA18" s="97">
        <f t="shared" si="14"/>
        <v>3381.072839754036</v>
      </c>
      <c r="AB18" s="97">
        <f>AA18+AB17</f>
        <v>3909.1530783379812</v>
      </c>
      <c r="AC18" s="95">
        <f>AB18</f>
        <v>3909.1530783379812</v>
      </c>
      <c r="AD18" s="97">
        <f aca="true" t="shared" si="15" ref="AD18:AI18">AC18+AD17</f>
        <v>10008.098215386923</v>
      </c>
      <c r="AE18" s="97">
        <f t="shared" si="15"/>
        <v>17072.50074873672</v>
      </c>
      <c r="AF18" s="97">
        <f t="shared" si="15"/>
        <v>25111.290388449455</v>
      </c>
      <c r="AG18" s="97">
        <f t="shared" si="15"/>
        <v>33923.55731026415</v>
      </c>
      <c r="AH18" s="97">
        <f t="shared" si="15"/>
        <v>43370.88534920635</v>
      </c>
      <c r="AI18" s="97">
        <f t="shared" si="15"/>
        <v>53441.40559725743</v>
      </c>
      <c r="AJ18" s="97">
        <f>AI18+AJ17</f>
        <v>64122.65570099781</v>
      </c>
    </row>
    <row r="19" spans="1:175" ht="15" customHeight="1">
      <c r="A19" s="102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</row>
    <row r="20" spans="1:36" ht="12.75" hidden="1">
      <c r="A20" s="104" t="s">
        <v>47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45" s="108" customFormat="1" ht="12.75" hidden="1">
      <c r="A21" s="332" t="s">
        <v>2</v>
      </c>
      <c r="B21" s="335" t="s">
        <v>0</v>
      </c>
      <c r="C21" s="105"/>
      <c r="D21" s="326">
        <f>D3</f>
        <v>2013</v>
      </c>
      <c r="E21" s="32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8"/>
      <c r="Q21" s="326">
        <f>Q3</f>
        <v>2014</v>
      </c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8"/>
      <c r="AD21" s="106">
        <f aca="true" t="shared" si="16" ref="AD21:AJ21">AD3</f>
        <v>2015</v>
      </c>
      <c r="AE21" s="106">
        <f t="shared" si="16"/>
        <v>2016</v>
      </c>
      <c r="AF21" s="106">
        <f t="shared" si="16"/>
        <v>2017</v>
      </c>
      <c r="AG21" s="106">
        <f t="shared" si="16"/>
        <v>2018</v>
      </c>
      <c r="AH21" s="106">
        <f t="shared" si="16"/>
        <v>2019</v>
      </c>
      <c r="AI21" s="106">
        <f t="shared" si="16"/>
        <v>2020</v>
      </c>
      <c r="AJ21" s="106">
        <f t="shared" si="16"/>
        <v>2021</v>
      </c>
      <c r="AK21" s="107"/>
      <c r="AL21" s="107"/>
      <c r="AM21" s="107"/>
      <c r="AN21" s="107"/>
      <c r="AO21" s="107"/>
      <c r="AP21" s="107"/>
      <c r="AQ21" s="107"/>
      <c r="AR21" s="107"/>
      <c r="AS21" s="107"/>
    </row>
    <row r="22" spans="1:45" s="108" customFormat="1" ht="19.5" customHeight="1" hidden="1">
      <c r="A22" s="333"/>
      <c r="B22" s="336"/>
      <c r="C22" s="109"/>
      <c r="D22" s="110">
        <f>D4</f>
        <v>1</v>
      </c>
      <c r="E22" s="110">
        <f aca="true" t="shared" si="17" ref="E22:O22">E4</f>
        <v>2</v>
      </c>
      <c r="F22" s="110">
        <f t="shared" si="17"/>
        <v>3</v>
      </c>
      <c r="G22" s="110">
        <f t="shared" si="17"/>
        <v>4</v>
      </c>
      <c r="H22" s="110">
        <f t="shared" si="17"/>
        <v>5</v>
      </c>
      <c r="I22" s="110">
        <f t="shared" si="17"/>
        <v>6</v>
      </c>
      <c r="J22" s="110">
        <f t="shared" si="17"/>
        <v>7</v>
      </c>
      <c r="K22" s="110">
        <f t="shared" si="17"/>
        <v>8</v>
      </c>
      <c r="L22" s="110">
        <f t="shared" si="17"/>
        <v>9</v>
      </c>
      <c r="M22" s="110">
        <f t="shared" si="17"/>
        <v>10</v>
      </c>
      <c r="N22" s="110">
        <f t="shared" si="17"/>
        <v>11</v>
      </c>
      <c r="O22" s="110">
        <f t="shared" si="17"/>
        <v>12</v>
      </c>
      <c r="P22" s="111" t="s">
        <v>0</v>
      </c>
      <c r="Q22" s="110">
        <f>Q4</f>
        <v>1</v>
      </c>
      <c r="R22" s="110">
        <f aca="true" t="shared" si="18" ref="R22:AB22">R4</f>
        <v>2</v>
      </c>
      <c r="S22" s="110">
        <f t="shared" si="18"/>
        <v>3</v>
      </c>
      <c r="T22" s="110">
        <f t="shared" si="18"/>
        <v>4</v>
      </c>
      <c r="U22" s="110">
        <f t="shared" si="18"/>
        <v>5</v>
      </c>
      <c r="V22" s="110">
        <f t="shared" si="18"/>
        <v>6</v>
      </c>
      <c r="W22" s="110">
        <f t="shared" si="18"/>
        <v>7</v>
      </c>
      <c r="X22" s="110">
        <f t="shared" si="18"/>
        <v>8</v>
      </c>
      <c r="Y22" s="110">
        <f t="shared" si="18"/>
        <v>9</v>
      </c>
      <c r="Z22" s="110">
        <f t="shared" si="18"/>
        <v>10</v>
      </c>
      <c r="AA22" s="110">
        <f t="shared" si="18"/>
        <v>11</v>
      </c>
      <c r="AB22" s="110">
        <f t="shared" si="18"/>
        <v>12</v>
      </c>
      <c r="AC22" s="111" t="s">
        <v>0</v>
      </c>
      <c r="AD22" s="111"/>
      <c r="AE22" s="111"/>
      <c r="AF22" s="111"/>
      <c r="AG22" s="111"/>
      <c r="AH22" s="111"/>
      <c r="AI22" s="111"/>
      <c r="AJ22" s="111"/>
      <c r="AK22" s="107"/>
      <c r="AL22" s="107"/>
      <c r="AM22" s="107"/>
      <c r="AN22" s="107"/>
      <c r="AO22" s="107"/>
      <c r="AP22" s="107"/>
      <c r="AQ22" s="107"/>
      <c r="AR22" s="107"/>
      <c r="AS22" s="107"/>
    </row>
    <row r="23" spans="1:45" s="108" customFormat="1" ht="12.75" hidden="1">
      <c r="A23" s="112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07"/>
      <c r="AL23" s="107"/>
      <c r="AM23" s="107"/>
      <c r="AN23" s="107"/>
      <c r="AO23" s="107"/>
      <c r="AP23" s="107"/>
      <c r="AQ23" s="107"/>
      <c r="AR23" s="107"/>
      <c r="AS23" s="107"/>
    </row>
    <row r="24" spans="1:45" s="108" customFormat="1" ht="12.75" hidden="1">
      <c r="A24" s="112" t="s">
        <v>149</v>
      </c>
      <c r="B24" s="94">
        <f>P24+AC24+AD24+AE24+AF24+AG24+AH24+AI24+AJ24</f>
        <v>0</v>
      </c>
      <c r="C24" s="114"/>
      <c r="D24" s="114">
        <f aca="true" t="shared" si="19" ref="D24:O24">D5*ндс</f>
        <v>0</v>
      </c>
      <c r="E24" s="114">
        <f t="shared" si="19"/>
        <v>0</v>
      </c>
      <c r="F24" s="114">
        <f t="shared" si="19"/>
        <v>0</v>
      </c>
      <c r="G24" s="114">
        <f t="shared" si="19"/>
        <v>0</v>
      </c>
      <c r="H24" s="114">
        <f t="shared" si="19"/>
        <v>0</v>
      </c>
      <c r="I24" s="114">
        <f t="shared" si="19"/>
        <v>0</v>
      </c>
      <c r="J24" s="114">
        <f t="shared" si="19"/>
        <v>0</v>
      </c>
      <c r="K24" s="114">
        <f t="shared" si="19"/>
        <v>0</v>
      </c>
      <c r="L24" s="114">
        <f t="shared" si="19"/>
        <v>0</v>
      </c>
      <c r="M24" s="114">
        <f t="shared" si="19"/>
        <v>0</v>
      </c>
      <c r="N24" s="114">
        <f t="shared" si="19"/>
        <v>0</v>
      </c>
      <c r="O24" s="114">
        <f t="shared" si="19"/>
        <v>0</v>
      </c>
      <c r="P24" s="115">
        <f>SUM(D24:O24)</f>
        <v>0</v>
      </c>
      <c r="Q24" s="114">
        <f aca="true" t="shared" si="20" ref="Q24:AB24">Q5*ндс</f>
        <v>0</v>
      </c>
      <c r="R24" s="114">
        <f t="shared" si="20"/>
        <v>0</v>
      </c>
      <c r="S24" s="114">
        <f t="shared" si="20"/>
        <v>0</v>
      </c>
      <c r="T24" s="114">
        <f t="shared" si="20"/>
        <v>0</v>
      </c>
      <c r="U24" s="114">
        <f t="shared" si="20"/>
        <v>0</v>
      </c>
      <c r="V24" s="114">
        <f t="shared" si="20"/>
        <v>0</v>
      </c>
      <c r="W24" s="114">
        <f t="shared" si="20"/>
        <v>0</v>
      </c>
      <c r="X24" s="114">
        <f t="shared" si="20"/>
        <v>0</v>
      </c>
      <c r="Y24" s="114">
        <f t="shared" si="20"/>
        <v>0</v>
      </c>
      <c r="Z24" s="114">
        <f t="shared" si="20"/>
        <v>0</v>
      </c>
      <c r="AA24" s="114">
        <f t="shared" si="20"/>
        <v>0</v>
      </c>
      <c r="AB24" s="114">
        <f t="shared" si="20"/>
        <v>0</v>
      </c>
      <c r="AC24" s="115">
        <f>SUM(Q24:AB24)</f>
        <v>0</v>
      </c>
      <c r="AD24" s="114">
        <f aca="true" t="shared" si="21" ref="AD24:AJ24">AD5*ндс</f>
        <v>0</v>
      </c>
      <c r="AE24" s="114">
        <f t="shared" si="21"/>
        <v>0</v>
      </c>
      <c r="AF24" s="114">
        <f t="shared" si="21"/>
        <v>0</v>
      </c>
      <c r="AG24" s="114">
        <f t="shared" si="21"/>
        <v>0</v>
      </c>
      <c r="AH24" s="114">
        <f t="shared" si="21"/>
        <v>0</v>
      </c>
      <c r="AI24" s="114">
        <f t="shared" si="21"/>
        <v>0</v>
      </c>
      <c r="AJ24" s="114">
        <f t="shared" si="21"/>
        <v>0</v>
      </c>
      <c r="AK24" s="107"/>
      <c r="AL24" s="107"/>
      <c r="AM24" s="107"/>
      <c r="AN24" s="107"/>
      <c r="AO24" s="107"/>
      <c r="AP24" s="107"/>
      <c r="AQ24" s="107"/>
      <c r="AR24" s="107"/>
      <c r="AS24" s="107"/>
    </row>
    <row r="25" spans="1:45" s="108" customFormat="1" ht="12.75" hidden="1">
      <c r="A25" s="112" t="s">
        <v>150</v>
      </c>
      <c r="B25" s="94">
        <f>P25+AC25+AD25+AE25+AF25+AG25+AH25+AI25+AJ25</f>
        <v>0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5">
        <f>SUM(D25:O25)</f>
        <v>0</v>
      </c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5">
        <f>SUM(Q25:AB25)</f>
        <v>0</v>
      </c>
      <c r="AD25" s="114"/>
      <c r="AE25" s="114"/>
      <c r="AF25" s="114"/>
      <c r="AG25" s="114"/>
      <c r="AH25" s="114"/>
      <c r="AI25" s="114"/>
      <c r="AJ25" s="114"/>
      <c r="AK25" s="107"/>
      <c r="AL25" s="107"/>
      <c r="AM25" s="107"/>
      <c r="AN25" s="107"/>
      <c r="AO25" s="107"/>
      <c r="AP25" s="107"/>
      <c r="AQ25" s="107"/>
      <c r="AR25" s="107"/>
      <c r="AS25" s="107"/>
    </row>
    <row r="26" spans="1:45" s="108" customFormat="1" ht="12.75" hidden="1">
      <c r="A26" s="112" t="s">
        <v>151</v>
      </c>
      <c r="B26" s="94">
        <f>P26+AC26+AD26+AE26+AF26+AG26+AH26+AI26+AJ26</f>
        <v>0</v>
      </c>
      <c r="C26" s="114"/>
      <c r="D26" s="114">
        <f>Инв!E17/Исх!$C$20*ндс</f>
        <v>0</v>
      </c>
      <c r="E26" s="114">
        <f>Инв!F17/Исх!$C$20*ндс</f>
        <v>0</v>
      </c>
      <c r="F26" s="114">
        <f>Инв!G17/Исх!$C$20*ндс</f>
        <v>0</v>
      </c>
      <c r="G26" s="114">
        <f>Инв!H17/Исх!$C$20*ндс</f>
        <v>0</v>
      </c>
      <c r="H26" s="114">
        <f>Инв!I17/Исх!$C$20*ндс</f>
        <v>0</v>
      </c>
      <c r="I26" s="114">
        <f>Инв!J17/Исх!$C$20*ндс</f>
        <v>0</v>
      </c>
      <c r="J26" s="114">
        <f>Инв!K17/Исх!$C$20*ндс</f>
        <v>0</v>
      </c>
      <c r="K26" s="114">
        <f>Инв!L17/Исх!$C$20*ндс</f>
        <v>0</v>
      </c>
      <c r="L26" s="114">
        <f>Инв!M17/Исх!$C$20*ндс</f>
        <v>0</v>
      </c>
      <c r="M26" s="114">
        <f>Инв!N17/Исх!$C$20*ндс</f>
        <v>0</v>
      </c>
      <c r="N26" s="114">
        <f>Инв!O17/Исх!$C$20*ндс</f>
        <v>0</v>
      </c>
      <c r="O26" s="114">
        <f>Инв!P17/Исх!$C$20*ндс</f>
        <v>0</v>
      </c>
      <c r="P26" s="115">
        <f>SUM(D26:O26)</f>
        <v>0</v>
      </c>
      <c r="Q26" s="114">
        <f>Инв!R17/Исх!$C$20*ндс</f>
        <v>0</v>
      </c>
      <c r="R26" s="114">
        <f>Инв!S17/Исх!$C$20*ндс</f>
        <v>0</v>
      </c>
      <c r="S26" s="114">
        <f>Инв!T17/Исх!$C$20*ндс</f>
        <v>0</v>
      </c>
      <c r="T26" s="114">
        <f>Инв!U17/Исх!$C$20*ндс</f>
        <v>0</v>
      </c>
      <c r="U26" s="114">
        <f>Инв!V17/Исх!$C$20*ндс</f>
        <v>0</v>
      </c>
      <c r="V26" s="114">
        <f>Инв!W17/Исх!$C$20*ндс</f>
        <v>0</v>
      </c>
      <c r="W26" s="114">
        <f>Инв!X17/Исх!$C$20*ндс</f>
        <v>0</v>
      </c>
      <c r="X26" s="114">
        <f>Инв!Y17/Исх!$C$20*ндс</f>
        <v>0</v>
      </c>
      <c r="Y26" s="114">
        <f>Инв!Z17/Исх!$C$20*ндс</f>
        <v>0</v>
      </c>
      <c r="Z26" s="114">
        <f>Инв!AA17/Исх!$C$20*ндс</f>
        <v>0</v>
      </c>
      <c r="AA26" s="114">
        <f>Инв!AB17/Исх!$C$20*ндс</f>
        <v>0</v>
      </c>
      <c r="AB26" s="114">
        <f>Инв!AC17/Исх!$C$20*ндс</f>
        <v>0</v>
      </c>
      <c r="AC26" s="115"/>
      <c r="AD26" s="115"/>
      <c r="AE26" s="115"/>
      <c r="AF26" s="115"/>
      <c r="AG26" s="115"/>
      <c r="AH26" s="115"/>
      <c r="AI26" s="115"/>
      <c r="AJ26" s="115"/>
      <c r="AK26" s="107"/>
      <c r="AL26" s="107"/>
      <c r="AM26" s="107"/>
      <c r="AN26" s="107"/>
      <c r="AO26" s="107"/>
      <c r="AP26" s="107"/>
      <c r="AQ26" s="107"/>
      <c r="AR26" s="107"/>
      <c r="AS26" s="107"/>
    </row>
    <row r="27" spans="1:45" s="108" customFormat="1" ht="12.75" hidden="1">
      <c r="A27" s="112" t="s">
        <v>26</v>
      </c>
      <c r="B27" s="94">
        <f>P27+AC27+AD27+AE27+AF27+AG27+AH27+AI27+AJ27</f>
        <v>0</v>
      </c>
      <c r="C27" s="114"/>
      <c r="D27" s="114">
        <f>D24-D25-D26</f>
        <v>0</v>
      </c>
      <c r="E27" s="114">
        <f aca="true" t="shared" si="22" ref="E27:O27">E24-E25-E26</f>
        <v>0</v>
      </c>
      <c r="F27" s="114">
        <f t="shared" si="22"/>
        <v>0</v>
      </c>
      <c r="G27" s="114">
        <f t="shared" si="22"/>
        <v>0</v>
      </c>
      <c r="H27" s="114">
        <f t="shared" si="22"/>
        <v>0</v>
      </c>
      <c r="I27" s="114">
        <f t="shared" si="22"/>
        <v>0</v>
      </c>
      <c r="J27" s="114">
        <f t="shared" si="22"/>
        <v>0</v>
      </c>
      <c r="K27" s="114">
        <f t="shared" si="22"/>
        <v>0</v>
      </c>
      <c r="L27" s="114">
        <f t="shared" si="22"/>
        <v>0</v>
      </c>
      <c r="M27" s="114">
        <f t="shared" si="22"/>
        <v>0</v>
      </c>
      <c r="N27" s="114">
        <f t="shared" si="22"/>
        <v>0</v>
      </c>
      <c r="O27" s="114">
        <f t="shared" si="22"/>
        <v>0</v>
      </c>
      <c r="P27" s="115">
        <f>SUM(D27:O27)</f>
        <v>0</v>
      </c>
      <c r="Q27" s="114">
        <f aca="true" t="shared" si="23" ref="Q27:AB27">Q24-Q25-Q26</f>
        <v>0</v>
      </c>
      <c r="R27" s="114">
        <f t="shared" si="23"/>
        <v>0</v>
      </c>
      <c r="S27" s="114">
        <f t="shared" si="23"/>
        <v>0</v>
      </c>
      <c r="T27" s="114">
        <f t="shared" si="23"/>
        <v>0</v>
      </c>
      <c r="U27" s="114">
        <f t="shared" si="23"/>
        <v>0</v>
      </c>
      <c r="V27" s="114">
        <f t="shared" si="23"/>
        <v>0</v>
      </c>
      <c r="W27" s="114">
        <f t="shared" si="23"/>
        <v>0</v>
      </c>
      <c r="X27" s="114">
        <f t="shared" si="23"/>
        <v>0</v>
      </c>
      <c r="Y27" s="114">
        <f t="shared" si="23"/>
        <v>0</v>
      </c>
      <c r="Z27" s="114">
        <f t="shared" si="23"/>
        <v>0</v>
      </c>
      <c r="AA27" s="114">
        <f t="shared" si="23"/>
        <v>0</v>
      </c>
      <c r="AB27" s="114">
        <f t="shared" si="23"/>
        <v>0</v>
      </c>
      <c r="AC27" s="115">
        <f>SUM(Q27:AB27)</f>
        <v>0</v>
      </c>
      <c r="AD27" s="114">
        <f aca="true" t="shared" si="24" ref="AD27:AI27">AD24-AD25-AD26</f>
        <v>0</v>
      </c>
      <c r="AE27" s="114">
        <f t="shared" si="24"/>
        <v>0</v>
      </c>
      <c r="AF27" s="114">
        <f t="shared" si="24"/>
        <v>0</v>
      </c>
      <c r="AG27" s="114">
        <f t="shared" si="24"/>
        <v>0</v>
      </c>
      <c r="AH27" s="114">
        <f t="shared" si="24"/>
        <v>0</v>
      </c>
      <c r="AI27" s="114">
        <f t="shared" si="24"/>
        <v>0</v>
      </c>
      <c r="AJ27" s="114">
        <f>AJ24-AJ25-AJ26</f>
        <v>0</v>
      </c>
      <c r="AK27" s="107"/>
      <c r="AL27" s="107"/>
      <c r="AM27" s="107"/>
      <c r="AN27" s="107"/>
      <c r="AO27" s="107"/>
      <c r="AP27" s="107"/>
      <c r="AQ27" s="107"/>
      <c r="AR27" s="107"/>
      <c r="AS27" s="107"/>
    </row>
    <row r="28" spans="1:45" s="108" customFormat="1" ht="12.75" hidden="1">
      <c r="A28" s="112" t="s">
        <v>152</v>
      </c>
      <c r="B28" s="100">
        <f>AJ28</f>
        <v>0</v>
      </c>
      <c r="C28" s="114"/>
      <c r="D28" s="114">
        <f>D27</f>
        <v>0</v>
      </c>
      <c r="E28" s="114">
        <f>D28+E27</f>
        <v>0</v>
      </c>
      <c r="F28" s="114">
        <f aca="true" t="shared" si="25" ref="F28:O28">E28+F27</f>
        <v>0</v>
      </c>
      <c r="G28" s="114">
        <f t="shared" si="25"/>
        <v>0</v>
      </c>
      <c r="H28" s="114">
        <f t="shared" si="25"/>
        <v>0</v>
      </c>
      <c r="I28" s="114">
        <f t="shared" si="25"/>
        <v>0</v>
      </c>
      <c r="J28" s="114">
        <f t="shared" si="25"/>
        <v>0</v>
      </c>
      <c r="K28" s="114">
        <f t="shared" si="25"/>
        <v>0</v>
      </c>
      <c r="L28" s="114">
        <f t="shared" si="25"/>
        <v>0</v>
      </c>
      <c r="M28" s="114">
        <f t="shared" si="25"/>
        <v>0</v>
      </c>
      <c r="N28" s="114">
        <f t="shared" si="25"/>
        <v>0</v>
      </c>
      <c r="O28" s="114">
        <f t="shared" si="25"/>
        <v>0</v>
      </c>
      <c r="P28" s="115">
        <f>O28</f>
        <v>0</v>
      </c>
      <c r="Q28" s="114">
        <f aca="true" t="shared" si="26" ref="Q28:AB28">P28+Q27</f>
        <v>0</v>
      </c>
      <c r="R28" s="114">
        <f t="shared" si="26"/>
        <v>0</v>
      </c>
      <c r="S28" s="114">
        <f t="shared" si="26"/>
        <v>0</v>
      </c>
      <c r="T28" s="114">
        <f t="shared" si="26"/>
        <v>0</v>
      </c>
      <c r="U28" s="114">
        <f t="shared" si="26"/>
        <v>0</v>
      </c>
      <c r="V28" s="114">
        <f t="shared" si="26"/>
        <v>0</v>
      </c>
      <c r="W28" s="114">
        <f t="shared" si="26"/>
        <v>0</v>
      </c>
      <c r="X28" s="114">
        <f t="shared" si="26"/>
        <v>0</v>
      </c>
      <c r="Y28" s="114">
        <f t="shared" si="26"/>
        <v>0</v>
      </c>
      <c r="Z28" s="114">
        <f t="shared" si="26"/>
        <v>0</v>
      </c>
      <c r="AA28" s="114">
        <f t="shared" si="26"/>
        <v>0</v>
      </c>
      <c r="AB28" s="114">
        <f t="shared" si="26"/>
        <v>0</v>
      </c>
      <c r="AC28" s="115">
        <f>AB28</f>
        <v>0</v>
      </c>
      <c r="AD28" s="114">
        <f aca="true" t="shared" si="27" ref="AD28:AI28">AC28+AD27</f>
        <v>0</v>
      </c>
      <c r="AE28" s="114">
        <f t="shared" si="27"/>
        <v>0</v>
      </c>
      <c r="AF28" s="114">
        <f t="shared" si="27"/>
        <v>0</v>
      </c>
      <c r="AG28" s="114">
        <f t="shared" si="27"/>
        <v>0</v>
      </c>
      <c r="AH28" s="114">
        <f t="shared" si="27"/>
        <v>0</v>
      </c>
      <c r="AI28" s="114">
        <f t="shared" si="27"/>
        <v>0</v>
      </c>
      <c r="AJ28" s="114">
        <f>AI28+AJ27</f>
        <v>0</v>
      </c>
      <c r="AK28" s="107"/>
      <c r="AL28" s="107"/>
      <c r="AM28" s="107"/>
      <c r="AN28" s="107"/>
      <c r="AO28" s="107"/>
      <c r="AP28" s="107"/>
      <c r="AQ28" s="107"/>
      <c r="AR28" s="107"/>
      <c r="AS28" s="107"/>
    </row>
    <row r="29" spans="1:45" s="108" customFormat="1" ht="12.75" hidden="1">
      <c r="A29" s="112" t="s">
        <v>153</v>
      </c>
      <c r="B29" s="94">
        <f>P29+AC29+AD29+AE29+AF29+AG29+AH29+AI29+AJ29</f>
        <v>0</v>
      </c>
      <c r="C29" s="114"/>
      <c r="D29" s="114">
        <f>IF(C28+D27&gt;=0,IF(C28&lt;0,C28+D27,D27),0)</f>
        <v>0</v>
      </c>
      <c r="E29" s="114">
        <f aca="true" t="shared" si="28" ref="E29:AI29">IF(D28+E27&gt;=0,IF(D28&lt;0,D28+E27,E27),0)</f>
        <v>0</v>
      </c>
      <c r="F29" s="114">
        <f t="shared" si="28"/>
        <v>0</v>
      </c>
      <c r="G29" s="114">
        <f t="shared" si="28"/>
        <v>0</v>
      </c>
      <c r="H29" s="114">
        <f t="shared" si="28"/>
        <v>0</v>
      </c>
      <c r="I29" s="114">
        <f t="shared" si="28"/>
        <v>0</v>
      </c>
      <c r="J29" s="114">
        <f t="shared" si="28"/>
        <v>0</v>
      </c>
      <c r="K29" s="114">
        <f t="shared" si="28"/>
        <v>0</v>
      </c>
      <c r="L29" s="114">
        <f t="shared" si="28"/>
        <v>0</v>
      </c>
      <c r="M29" s="114">
        <f t="shared" si="28"/>
        <v>0</v>
      </c>
      <c r="N29" s="114">
        <f t="shared" si="28"/>
        <v>0</v>
      </c>
      <c r="O29" s="114">
        <f t="shared" si="28"/>
        <v>0</v>
      </c>
      <c r="P29" s="115">
        <f>SUM(D29:O29)</f>
        <v>0</v>
      </c>
      <c r="Q29" s="114">
        <f t="shared" si="28"/>
        <v>0</v>
      </c>
      <c r="R29" s="114">
        <f t="shared" si="28"/>
        <v>0</v>
      </c>
      <c r="S29" s="114">
        <f t="shared" si="28"/>
        <v>0</v>
      </c>
      <c r="T29" s="114">
        <f t="shared" si="28"/>
        <v>0</v>
      </c>
      <c r="U29" s="114">
        <f t="shared" si="28"/>
        <v>0</v>
      </c>
      <c r="V29" s="114">
        <f t="shared" si="28"/>
        <v>0</v>
      </c>
      <c r="W29" s="114">
        <f t="shared" si="28"/>
        <v>0</v>
      </c>
      <c r="X29" s="114">
        <f t="shared" si="28"/>
        <v>0</v>
      </c>
      <c r="Y29" s="114">
        <f t="shared" si="28"/>
        <v>0</v>
      </c>
      <c r="Z29" s="114">
        <f t="shared" si="28"/>
        <v>0</v>
      </c>
      <c r="AA29" s="114">
        <f t="shared" si="28"/>
        <v>0</v>
      </c>
      <c r="AB29" s="114">
        <f t="shared" si="28"/>
        <v>0</v>
      </c>
      <c r="AC29" s="115">
        <f>SUM(Q29:AB29)</f>
        <v>0</v>
      </c>
      <c r="AD29" s="114">
        <f t="shared" si="28"/>
        <v>0</v>
      </c>
      <c r="AE29" s="114">
        <f t="shared" si="28"/>
        <v>0</v>
      </c>
      <c r="AF29" s="114">
        <f t="shared" si="28"/>
        <v>0</v>
      </c>
      <c r="AG29" s="114">
        <f t="shared" si="28"/>
        <v>0</v>
      </c>
      <c r="AH29" s="114">
        <f t="shared" si="28"/>
        <v>0</v>
      </c>
      <c r="AI29" s="114">
        <f t="shared" si="28"/>
        <v>0</v>
      </c>
      <c r="AJ29" s="114">
        <f>IF(AI28+AJ27&gt;=0,IF(AI28&lt;0,AI28+AJ27,AJ27),0)</f>
        <v>0</v>
      </c>
      <c r="AK29" s="107"/>
      <c r="AL29" s="107"/>
      <c r="AM29" s="107"/>
      <c r="AN29" s="107"/>
      <c r="AO29" s="107"/>
      <c r="AP29" s="107"/>
      <c r="AQ29" s="107"/>
      <c r="AR29" s="107"/>
      <c r="AS29" s="107"/>
    </row>
    <row r="31" ht="12.75">
      <c r="B31" s="242">
        <f>B24-B25-B26</f>
        <v>0</v>
      </c>
    </row>
  </sheetData>
  <sheetProtection/>
  <mergeCells count="8">
    <mergeCell ref="Q21:AC21"/>
    <mergeCell ref="Q3:AC3"/>
    <mergeCell ref="A3:A4"/>
    <mergeCell ref="A21:A22"/>
    <mergeCell ref="B3:B4"/>
    <mergeCell ref="D21:P21"/>
    <mergeCell ref="B21:B22"/>
    <mergeCell ref="D3:P3"/>
  </mergeCells>
  <printOptions/>
  <pageMargins left="0.35433070866141736" right="0.2362204724409449" top="0.7480314960629921" bottom="0.2362204724409449" header="0.4724409448818898" footer="0.15748031496062992"/>
  <pageSetup horizontalDpi="600" verticalDpi="600" orientation="landscape" paperSize="9" r:id="rId1"/>
  <headerFooter alignWithMargins="0">
    <oddHeader>&amp;RПриложение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/>
  </sheetPr>
  <dimension ref="A1:GB41"/>
  <sheetViews>
    <sheetView showGridLines="0" showZeros="0" zoomScalePageLayoutView="0" workbookViewId="0" topLeftCell="A1">
      <pane xSplit="3" ySplit="4" topLeftCell="P5" activePane="bottomRight" state="frozen"/>
      <selection pane="topLeft" activeCell="G35" sqref="G35"/>
      <selection pane="topRight" activeCell="G35" sqref="G35"/>
      <selection pane="bottomLeft" activeCell="G35" sqref="G35"/>
      <selection pane="bottomRight" activeCell="AD9" sqref="AD9:AJ9"/>
    </sheetView>
  </sheetViews>
  <sheetFormatPr defaultColWidth="10.125" defaultRowHeight="12.75" outlineLevelCol="1"/>
  <cols>
    <col min="1" max="1" width="38.125" style="117" customWidth="1"/>
    <col min="2" max="2" width="2.375" style="117" customWidth="1"/>
    <col min="3" max="3" width="7.125" style="117" customWidth="1"/>
    <col min="4" max="4" width="11.375" style="117" hidden="1" customWidth="1" outlineLevel="1"/>
    <col min="5" max="11" width="7.375" style="117" hidden="1" customWidth="1" outlineLevel="1"/>
    <col min="12" max="12" width="8.00390625" style="117" hidden="1" customWidth="1" outlineLevel="1"/>
    <col min="13" max="13" width="7.875" style="117" hidden="1" customWidth="1" outlineLevel="1"/>
    <col min="14" max="15" width="8.125" style="117" hidden="1" customWidth="1" outlineLevel="1"/>
    <col min="16" max="16" width="9.875" style="117" customWidth="1" collapsed="1"/>
    <col min="17" max="23" width="8.375" style="117" hidden="1" customWidth="1" outlineLevel="1"/>
    <col min="24" max="25" width="8.75390625" style="117" hidden="1" customWidth="1" outlineLevel="1"/>
    <col min="26" max="26" width="8.625" style="117" hidden="1" customWidth="1" outlineLevel="1"/>
    <col min="27" max="27" width="9.00390625" style="117" hidden="1" customWidth="1" outlineLevel="1"/>
    <col min="28" max="28" width="9.125" style="117" hidden="1" customWidth="1" outlineLevel="1"/>
    <col min="29" max="29" width="10.125" style="117" customWidth="1" collapsed="1"/>
    <col min="30" max="31" width="8.125" style="117" bestFit="1" customWidth="1"/>
    <col min="32" max="35" width="7.625" style="117" bestFit="1" customWidth="1"/>
    <col min="36" max="36" width="9.125" style="117" customWidth="1"/>
    <col min="37" max="16384" width="10.125" style="117" customWidth="1"/>
  </cols>
  <sheetData>
    <row r="1" spans="1:3" ht="12.75">
      <c r="A1" s="60" t="s">
        <v>105</v>
      </c>
      <c r="B1" s="116"/>
      <c r="C1" s="116"/>
    </row>
    <row r="2" spans="1:34" ht="17.25" customHeight="1">
      <c r="A2" s="60"/>
      <c r="C2" s="12" t="str">
        <f>Исх!$C$11</f>
        <v>тыс.тг.</v>
      </c>
      <c r="P2" s="118"/>
      <c r="AC2" s="118"/>
      <c r="AD2" s="118"/>
      <c r="AE2" s="118"/>
      <c r="AF2" s="118"/>
      <c r="AG2" s="118"/>
      <c r="AH2" s="118"/>
    </row>
    <row r="3" spans="1:36" ht="12.75" customHeight="1">
      <c r="A3" s="337" t="s">
        <v>2</v>
      </c>
      <c r="B3" s="339"/>
      <c r="C3" s="120"/>
      <c r="D3" s="340">
        <v>2013</v>
      </c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>
        <v>2014</v>
      </c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121">
        <v>2015</v>
      </c>
      <c r="AE3" s="121">
        <f aca="true" t="shared" si="0" ref="AE3:AJ3">AD3+1</f>
        <v>2016</v>
      </c>
      <c r="AF3" s="121">
        <f t="shared" si="0"/>
        <v>2017</v>
      </c>
      <c r="AG3" s="121">
        <f t="shared" si="0"/>
        <v>2018</v>
      </c>
      <c r="AH3" s="121">
        <f t="shared" si="0"/>
        <v>2019</v>
      </c>
      <c r="AI3" s="121">
        <f t="shared" si="0"/>
        <v>2020</v>
      </c>
      <c r="AJ3" s="121">
        <f t="shared" si="0"/>
        <v>2021</v>
      </c>
    </row>
    <row r="4" spans="1:36" ht="12.75">
      <c r="A4" s="338"/>
      <c r="B4" s="339"/>
      <c r="C4" s="122"/>
      <c r="D4" s="123">
        <v>1</v>
      </c>
      <c r="E4" s="123">
        <f>D4+1</f>
        <v>2</v>
      </c>
      <c r="F4" s="123">
        <f aca="true" t="shared" si="1" ref="F4:O4">E4+1</f>
        <v>3</v>
      </c>
      <c r="G4" s="123">
        <f t="shared" si="1"/>
        <v>4</v>
      </c>
      <c r="H4" s="123">
        <f t="shared" si="1"/>
        <v>5</v>
      </c>
      <c r="I4" s="123">
        <f t="shared" si="1"/>
        <v>6</v>
      </c>
      <c r="J4" s="123">
        <f t="shared" si="1"/>
        <v>7</v>
      </c>
      <c r="K4" s="123">
        <f t="shared" si="1"/>
        <v>8</v>
      </c>
      <c r="L4" s="123">
        <f t="shared" si="1"/>
        <v>9</v>
      </c>
      <c r="M4" s="123">
        <f t="shared" si="1"/>
        <v>10</v>
      </c>
      <c r="N4" s="123">
        <f t="shared" si="1"/>
        <v>11</v>
      </c>
      <c r="O4" s="123">
        <f t="shared" si="1"/>
        <v>12</v>
      </c>
      <c r="P4" s="119" t="s">
        <v>0</v>
      </c>
      <c r="Q4" s="123">
        <v>1</v>
      </c>
      <c r="R4" s="123">
        <f aca="true" t="shared" si="2" ref="R4:AB4">Q4+1</f>
        <v>2</v>
      </c>
      <c r="S4" s="123">
        <f t="shared" si="2"/>
        <v>3</v>
      </c>
      <c r="T4" s="123">
        <f t="shared" si="2"/>
        <v>4</v>
      </c>
      <c r="U4" s="123">
        <f t="shared" si="2"/>
        <v>5</v>
      </c>
      <c r="V4" s="123">
        <f t="shared" si="2"/>
        <v>6</v>
      </c>
      <c r="W4" s="123">
        <f t="shared" si="2"/>
        <v>7</v>
      </c>
      <c r="X4" s="123">
        <f t="shared" si="2"/>
        <v>8</v>
      </c>
      <c r="Y4" s="123">
        <f t="shared" si="2"/>
        <v>9</v>
      </c>
      <c r="Z4" s="123">
        <f t="shared" si="2"/>
        <v>10</v>
      </c>
      <c r="AA4" s="123">
        <f t="shared" si="2"/>
        <v>11</v>
      </c>
      <c r="AB4" s="123">
        <f t="shared" si="2"/>
        <v>12</v>
      </c>
      <c r="AC4" s="119" t="s">
        <v>0</v>
      </c>
      <c r="AD4" s="119" t="s">
        <v>239</v>
      </c>
      <c r="AE4" s="119" t="s">
        <v>239</v>
      </c>
      <c r="AF4" s="119" t="s">
        <v>239</v>
      </c>
      <c r="AG4" s="119" t="s">
        <v>239</v>
      </c>
      <c r="AH4" s="119" t="s">
        <v>239</v>
      </c>
      <c r="AI4" s="119" t="s">
        <v>239</v>
      </c>
      <c r="AJ4" s="119" t="s">
        <v>239</v>
      </c>
    </row>
    <row r="5" spans="1:42" s="128" customFormat="1" ht="15" customHeight="1">
      <c r="A5" s="124" t="s">
        <v>106</v>
      </c>
      <c r="B5" s="125"/>
      <c r="C5" s="126">
        <f>C11+C6</f>
        <v>0</v>
      </c>
      <c r="D5" s="126">
        <f>D11+D6</f>
        <v>0</v>
      </c>
      <c r="E5" s="126">
        <f aca="true" t="shared" si="3" ref="E5:AH5">E11+E6</f>
        <v>0</v>
      </c>
      <c r="F5" s="126">
        <f t="shared" si="3"/>
        <v>0</v>
      </c>
      <c r="G5" s="126">
        <f t="shared" si="3"/>
        <v>0</v>
      </c>
      <c r="H5" s="126">
        <f t="shared" si="3"/>
        <v>0</v>
      </c>
      <c r="I5" s="126">
        <f t="shared" si="3"/>
        <v>0</v>
      </c>
      <c r="J5" s="126">
        <f t="shared" si="3"/>
        <v>0</v>
      </c>
      <c r="K5" s="126">
        <f t="shared" si="3"/>
        <v>0</v>
      </c>
      <c r="L5" s="126">
        <f t="shared" si="3"/>
        <v>0</v>
      </c>
      <c r="M5" s="126">
        <f t="shared" si="3"/>
        <v>0</v>
      </c>
      <c r="N5" s="126">
        <f t="shared" si="3"/>
        <v>18615.0695</v>
      </c>
      <c r="O5" s="126">
        <f t="shared" si="3"/>
        <v>19206.470915</v>
      </c>
      <c r="P5" s="126">
        <f t="shared" si="3"/>
        <v>19206.470915</v>
      </c>
      <c r="Q5" s="126">
        <f t="shared" si="3"/>
        <v>19733.128500980394</v>
      </c>
      <c r="R5" s="126">
        <f t="shared" si="3"/>
        <v>19933.385178761135</v>
      </c>
      <c r="S5" s="126">
        <f t="shared" si="3"/>
        <v>19814.35752966688</v>
      </c>
      <c r="T5" s="126">
        <f t="shared" si="3"/>
        <v>19774.40830369762</v>
      </c>
      <c r="U5" s="126">
        <f t="shared" si="3"/>
        <v>19734.459077728363</v>
      </c>
      <c r="V5" s="126">
        <f t="shared" si="3"/>
        <v>19773.588274884103</v>
      </c>
      <c r="W5" s="126">
        <f t="shared" si="3"/>
        <v>19812.717472039847</v>
      </c>
      <c r="X5" s="126">
        <f t="shared" si="3"/>
        <v>19851.846669195587</v>
      </c>
      <c r="Y5" s="126">
        <f t="shared" si="3"/>
        <v>19970.054289476328</v>
      </c>
      <c r="Z5" s="126">
        <f t="shared" si="3"/>
        <v>20167.34033288207</v>
      </c>
      <c r="AA5" s="126">
        <f t="shared" si="3"/>
        <v>20364.62637628781</v>
      </c>
      <c r="AB5" s="126">
        <f t="shared" si="3"/>
        <v>20561.912419693555</v>
      </c>
      <c r="AC5" s="126">
        <f t="shared" si="3"/>
        <v>20561.912419693555</v>
      </c>
      <c r="AD5" s="126">
        <f t="shared" si="3"/>
        <v>22537.54914056245</v>
      </c>
      <c r="AE5" s="126">
        <f t="shared" si="3"/>
        <v>25180.568958931337</v>
      </c>
      <c r="AF5" s="126">
        <f t="shared" si="3"/>
        <v>29291.67772844953</v>
      </c>
      <c r="AG5" s="126">
        <f t="shared" si="3"/>
        <v>38103.944650264224</v>
      </c>
      <c r="AH5" s="126">
        <f t="shared" si="3"/>
        <v>47551.27268920641</v>
      </c>
      <c r="AI5" s="126">
        <f>AI11+AI6</f>
        <v>57621.79293725749</v>
      </c>
      <c r="AJ5" s="126">
        <f>AJ11+AJ6</f>
        <v>68303.04304099787</v>
      </c>
      <c r="AK5" s="127"/>
      <c r="AL5" s="127"/>
      <c r="AM5" s="127"/>
      <c r="AN5" s="127"/>
      <c r="AO5" s="127"/>
      <c r="AP5" s="127"/>
    </row>
    <row r="6" spans="1:36" s="128" customFormat="1" ht="15" customHeight="1">
      <c r="A6" s="124" t="s">
        <v>107</v>
      </c>
      <c r="B6" s="125"/>
      <c r="C6" s="126">
        <f>SUM(C7:C10)</f>
        <v>0</v>
      </c>
      <c r="D6" s="126">
        <f>SUM(D7:D10)</f>
        <v>0</v>
      </c>
      <c r="E6" s="126">
        <f aca="true" t="shared" si="4" ref="E6:AH6">SUM(E7:E10)</f>
        <v>0</v>
      </c>
      <c r="F6" s="126">
        <f t="shared" si="4"/>
        <v>0</v>
      </c>
      <c r="G6" s="126">
        <f t="shared" si="4"/>
        <v>0</v>
      </c>
      <c r="H6" s="126">
        <f t="shared" si="4"/>
        <v>0</v>
      </c>
      <c r="I6" s="126">
        <f t="shared" si="4"/>
        <v>0</v>
      </c>
      <c r="J6" s="126">
        <f t="shared" si="4"/>
        <v>0</v>
      </c>
      <c r="K6" s="126">
        <f t="shared" si="4"/>
        <v>0</v>
      </c>
      <c r="L6" s="126">
        <f t="shared" si="4"/>
        <v>0</v>
      </c>
      <c r="M6" s="126">
        <f t="shared" si="4"/>
        <v>0</v>
      </c>
      <c r="N6" s="126">
        <f t="shared" si="4"/>
        <v>0</v>
      </c>
      <c r="O6" s="126">
        <f t="shared" si="4"/>
        <v>591.401415</v>
      </c>
      <c r="P6" s="126">
        <f t="shared" si="4"/>
        <v>591.401415</v>
      </c>
      <c r="Q6" s="126">
        <f t="shared" si="4"/>
        <v>1224.0288</v>
      </c>
      <c r="R6" s="126">
        <f t="shared" si="4"/>
        <v>1530.2552768003493</v>
      </c>
      <c r="S6" s="126">
        <f t="shared" si="4"/>
        <v>1517.1974267256987</v>
      </c>
      <c r="T6" s="126">
        <f t="shared" si="4"/>
        <v>1583.2179997760477</v>
      </c>
      <c r="U6" s="126">
        <f t="shared" si="4"/>
        <v>1649.238572826397</v>
      </c>
      <c r="V6" s="126">
        <f t="shared" si="4"/>
        <v>1794.3375690017465</v>
      </c>
      <c r="W6" s="126">
        <f t="shared" si="4"/>
        <v>1939.4365651770954</v>
      </c>
      <c r="X6" s="126">
        <f t="shared" si="4"/>
        <v>2084.535561352445</v>
      </c>
      <c r="Y6" s="126">
        <f t="shared" si="4"/>
        <v>2308.7129806527937</v>
      </c>
      <c r="Z6" s="126">
        <f t="shared" si="4"/>
        <v>2611.9688230781426</v>
      </c>
      <c r="AA6" s="126">
        <f t="shared" si="4"/>
        <v>2915.2246655034915</v>
      </c>
      <c r="AB6" s="126">
        <f t="shared" si="4"/>
        <v>3218.480507928841</v>
      </c>
      <c r="AC6" s="126">
        <f t="shared" si="4"/>
        <v>3218.480507928841</v>
      </c>
      <c r="AD6" s="126">
        <f t="shared" si="4"/>
        <v>6465.754817033028</v>
      </c>
      <c r="AE6" s="126">
        <f t="shared" si="4"/>
        <v>10380.412223637213</v>
      </c>
      <c r="AF6" s="126">
        <f t="shared" si="4"/>
        <v>15763.1585813907</v>
      </c>
      <c r="AG6" s="126">
        <f t="shared" si="4"/>
        <v>25847.063091440687</v>
      </c>
      <c r="AH6" s="126">
        <f t="shared" si="4"/>
        <v>36566.028718618174</v>
      </c>
      <c r="AI6" s="126">
        <f>SUM(AI7:AI10)</f>
        <v>47908.18655490454</v>
      </c>
      <c r="AJ6" s="126">
        <f>SUM(AJ7:AJ10)</f>
        <v>59861.07424688022</v>
      </c>
    </row>
    <row r="7" spans="1:36" ht="15" customHeight="1">
      <c r="A7" s="129" t="s">
        <v>108</v>
      </c>
      <c r="B7" s="125"/>
      <c r="C7" s="130"/>
      <c r="D7" s="130">
        <f>'1-Ф3'!D36</f>
        <v>0</v>
      </c>
      <c r="E7" s="130">
        <f>'1-Ф3'!E36</f>
        <v>0</v>
      </c>
      <c r="F7" s="130">
        <f>'1-Ф3'!F36</f>
        <v>0</v>
      </c>
      <c r="G7" s="130">
        <f>'1-Ф3'!G36</f>
        <v>0</v>
      </c>
      <c r="H7" s="130">
        <f>'1-Ф3'!H36</f>
        <v>0</v>
      </c>
      <c r="I7" s="130">
        <f>'1-Ф3'!I36</f>
        <v>0</v>
      </c>
      <c r="J7" s="130">
        <f>'1-Ф3'!J36</f>
        <v>0</v>
      </c>
      <c r="K7" s="130">
        <f>'1-Ф3'!K36</f>
        <v>0</v>
      </c>
      <c r="L7" s="130">
        <f>'1-Ф3'!L36</f>
        <v>0</v>
      </c>
      <c r="M7" s="130">
        <f>'1-Ф3'!M36</f>
        <v>0</v>
      </c>
      <c r="N7" s="130">
        <f>'1-Ф3'!N36</f>
        <v>0</v>
      </c>
      <c r="O7" s="130">
        <f>'1-Ф3'!O36</f>
        <v>0</v>
      </c>
      <c r="P7" s="130">
        <f>'1-Ф3'!P36</f>
        <v>0</v>
      </c>
      <c r="Q7" s="130">
        <f>'1-Ф3'!Q36</f>
        <v>632.627385</v>
      </c>
      <c r="R7" s="130">
        <f>'1-Ф3'!R36</f>
        <v>938.8538618003491</v>
      </c>
      <c r="S7" s="130">
        <f>'1-Ф3'!S36</f>
        <v>925.7960117256985</v>
      </c>
      <c r="T7" s="130">
        <f>'1-Ф3'!T36</f>
        <v>991.8165847760476</v>
      </c>
      <c r="U7" s="130">
        <f>'1-Ф3'!U36</f>
        <v>1057.8371578263968</v>
      </c>
      <c r="V7" s="130">
        <f>'1-Ф3'!V36</f>
        <v>1202.9361540017462</v>
      </c>
      <c r="W7" s="130">
        <f>'1-Ф3'!W36</f>
        <v>1348.0351501770954</v>
      </c>
      <c r="X7" s="130">
        <f>'1-Ф3'!X36</f>
        <v>1493.1341463524445</v>
      </c>
      <c r="Y7" s="130">
        <f>'1-Ф3'!Y36</f>
        <v>1717.3115656527934</v>
      </c>
      <c r="Z7" s="130">
        <f>'1-Ф3'!Z36</f>
        <v>2020.5674080781423</v>
      </c>
      <c r="AA7" s="130">
        <f>'1-Ф3'!AA36</f>
        <v>2323.823250503491</v>
      </c>
      <c r="AB7" s="130">
        <f>'1-Ф3'!AB36</f>
        <v>2627.0790929288405</v>
      </c>
      <c r="AC7" s="130">
        <f>'1-Ф3'!AC36</f>
        <v>2627.0790929288405</v>
      </c>
      <c r="AD7" s="130">
        <f>'1-Ф3'!AD36</f>
        <v>5874.353402033028</v>
      </c>
      <c r="AE7" s="130">
        <f>'1-Ф3'!AE36</f>
        <v>9789.010808637213</v>
      </c>
      <c r="AF7" s="130">
        <f>'1-Ф3'!AF36</f>
        <v>15171.7571663907</v>
      </c>
      <c r="AG7" s="130">
        <f>'1-Ф3'!AG36</f>
        <v>25255.661676440686</v>
      </c>
      <c r="AH7" s="130">
        <f>'1-Ф3'!AH36</f>
        <v>35974.627303618174</v>
      </c>
      <c r="AI7" s="130">
        <f>'1-Ф3'!AI36</f>
        <v>47316.78513990454</v>
      </c>
      <c r="AJ7" s="130">
        <f>'1-Ф3'!AJ36</f>
        <v>59269.67283188022</v>
      </c>
    </row>
    <row r="8" spans="1:36" ht="15" customHeight="1">
      <c r="A8" s="129" t="s">
        <v>109</v>
      </c>
      <c r="B8" s="125"/>
      <c r="C8" s="130"/>
      <c r="D8" s="130">
        <f>C8+'2-ф2'!D5-'1-Ф3'!D9/Исх!$C$20</f>
        <v>0</v>
      </c>
      <c r="E8" s="130">
        <f>D8+'2-ф2'!E5-'1-Ф3'!E9/Исх!$C$20</f>
        <v>0</v>
      </c>
      <c r="F8" s="130">
        <f>E8+'2-ф2'!F5-'1-Ф3'!F9/Исх!$C$20</f>
        <v>0</v>
      </c>
      <c r="G8" s="130">
        <f>F8+'2-ф2'!G5-'1-Ф3'!G9/Исх!$C$20</f>
        <v>0</v>
      </c>
      <c r="H8" s="130">
        <f>G8+'2-ф2'!H5-'1-Ф3'!H9/Исх!$C$20</f>
        <v>0</v>
      </c>
      <c r="I8" s="130">
        <f>H8+'2-ф2'!I5-'1-Ф3'!I9/Исх!$C$20</f>
        <v>0</v>
      </c>
      <c r="J8" s="130">
        <f>I8+'2-ф2'!J5-'1-Ф3'!J9/Исх!$C$20</f>
        <v>0</v>
      </c>
      <c r="K8" s="130">
        <f>J8+'2-ф2'!K5-'1-Ф3'!K9/Исх!$C$20</f>
        <v>0</v>
      </c>
      <c r="L8" s="130">
        <f>K8+'2-ф2'!L5-'1-Ф3'!L9/Исх!$C$20</f>
        <v>0</v>
      </c>
      <c r="M8" s="130">
        <f>L8+'2-ф2'!M5-'1-Ф3'!M9/Исх!$C$20</f>
        <v>0</v>
      </c>
      <c r="N8" s="130">
        <f>M8+'2-ф2'!N5-'1-Ф3'!N9/Исх!$C$20</f>
        <v>0</v>
      </c>
      <c r="O8" s="130">
        <f>N8+'2-ф2'!O5-'1-Ф3'!O9/Исх!$C$20</f>
        <v>0</v>
      </c>
      <c r="P8" s="130">
        <f>O8</f>
        <v>0</v>
      </c>
      <c r="Q8" s="130">
        <f>P8+'2-ф2'!Q5-'1-Ф3'!Q9/Исх!$C$20</f>
        <v>0</v>
      </c>
      <c r="R8" s="130">
        <f>Q8+'2-ф2'!R5-'1-Ф3'!R9/Исх!$C$20</f>
        <v>0</v>
      </c>
      <c r="S8" s="130">
        <f>R8+'2-ф2'!S5-'1-Ф3'!S9/Исх!$C$20</f>
        <v>0</v>
      </c>
      <c r="T8" s="130">
        <f>S8+'2-ф2'!T5-'1-Ф3'!T9/Исх!$C$20</f>
        <v>0</v>
      </c>
      <c r="U8" s="130">
        <f>T8+'2-ф2'!U5-'1-Ф3'!U9/Исх!$C$20</f>
        <v>0</v>
      </c>
      <c r="V8" s="130">
        <f>U8+'2-ф2'!V5-'1-Ф3'!V9/Исх!$C$20</f>
        <v>0</v>
      </c>
      <c r="W8" s="130">
        <f>V8+'2-ф2'!W5-'1-Ф3'!W9/Исх!$C$20</f>
        <v>0</v>
      </c>
      <c r="X8" s="130">
        <f>W8+'2-ф2'!X5-'1-Ф3'!X9/Исх!$C$20</f>
        <v>0</v>
      </c>
      <c r="Y8" s="130">
        <f>X8+'2-ф2'!Y5-'1-Ф3'!Y9/Исх!$C$20</f>
        <v>0</v>
      </c>
      <c r="Z8" s="130">
        <f>Y8+'2-ф2'!Z5-'1-Ф3'!Z9/Исх!$C$20</f>
        <v>0</v>
      </c>
      <c r="AA8" s="130">
        <f>Z8+'2-ф2'!AA5-'1-Ф3'!AA9/Исх!$C$20</f>
        <v>0</v>
      </c>
      <c r="AB8" s="130">
        <f>AA8+'2-ф2'!AB5-'1-Ф3'!AB9/Исх!$C$20</f>
        <v>0</v>
      </c>
      <c r="AC8" s="130">
        <f>AB8</f>
        <v>0</v>
      </c>
      <c r="AD8" s="130">
        <f>AC8+'2-ф2'!AD5-'1-Ф3'!AD9/Исх!$C$20</f>
        <v>0</v>
      </c>
      <c r="AE8" s="130">
        <f>AD8+'2-ф2'!AE5-'1-Ф3'!AE9/Исх!$C$20</f>
        <v>0</v>
      </c>
      <c r="AF8" s="130">
        <f>AE8+'2-ф2'!AF5-'1-Ф3'!AF9/Исх!$C$20</f>
        <v>0</v>
      </c>
      <c r="AG8" s="130">
        <f>AF8+'2-ф2'!AG5-'1-Ф3'!AG9/Исх!$C$20</f>
        <v>0</v>
      </c>
      <c r="AH8" s="130">
        <f>AG8+'2-ф2'!AH5-'1-Ф3'!AH9/Исх!$C$20</f>
        <v>0</v>
      </c>
      <c r="AI8" s="130">
        <f>AH8+'2-ф2'!AI5-'1-Ф3'!AI9/Исх!$C$20</f>
        <v>0</v>
      </c>
      <c r="AJ8" s="130">
        <f>AI8+'2-ф2'!AJ5-'1-Ф3'!AJ9/Исх!$C$20</f>
        <v>0</v>
      </c>
    </row>
    <row r="9" spans="1:36" ht="12.75">
      <c r="A9" s="129" t="s">
        <v>110</v>
      </c>
      <c r="B9" s="125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>
        <f>M9+'1-Ф3'!N14-'2-ф2'!N10</f>
        <v>0</v>
      </c>
      <c r="O9" s="130">
        <f>N9+'1-Ф3'!O14-'2-ф2'!O10</f>
        <v>591.401415</v>
      </c>
      <c r="P9" s="130">
        <f>O9</f>
        <v>591.401415</v>
      </c>
      <c r="Q9" s="130">
        <f>P9+'1-Ф3'!Q14-'2-ф2'!Q10</f>
        <v>591.401415</v>
      </c>
      <c r="R9" s="130">
        <f>Q9+'1-Ф3'!R14-'2-ф2'!R10</f>
        <v>591.401415</v>
      </c>
      <c r="S9" s="130">
        <f>R9+'1-Ф3'!S14-'2-ф2'!S10</f>
        <v>591.4014150000002</v>
      </c>
      <c r="T9" s="130">
        <f>S9+'1-Ф3'!T14-'2-ф2'!T10</f>
        <v>591.4014150000002</v>
      </c>
      <c r="U9" s="130">
        <f>T9+'1-Ф3'!U14-'2-ф2'!U10</f>
        <v>591.4014150000002</v>
      </c>
      <c r="V9" s="130">
        <f>U9+'1-Ф3'!V14-'2-ф2'!V10</f>
        <v>591.4014150000002</v>
      </c>
      <c r="W9" s="130">
        <f>V9+'1-Ф3'!W14-'2-ф2'!W10</f>
        <v>591.4014150000002</v>
      </c>
      <c r="X9" s="130">
        <f>W9+'1-Ф3'!X14-'2-ф2'!X10</f>
        <v>591.4014150000002</v>
      </c>
      <c r="Y9" s="130">
        <f>X9+'1-Ф3'!Y14-'2-ф2'!Y10</f>
        <v>591.4014150000002</v>
      </c>
      <c r="Z9" s="130">
        <f>Y9+'1-Ф3'!Z14-'2-ф2'!Z10</f>
        <v>591.4014150000003</v>
      </c>
      <c r="AA9" s="130">
        <f>Z9+'1-Ф3'!AA14-'2-ф2'!AA10</f>
        <v>591.4014150000003</v>
      </c>
      <c r="AB9" s="130">
        <f>AA9+'1-Ф3'!AB14-'2-ф2'!AB10</f>
        <v>591.4014150000003</v>
      </c>
      <c r="AC9" s="130">
        <f>AB9</f>
        <v>591.4014150000003</v>
      </c>
      <c r="AD9" s="130">
        <f>AC9+'1-Ф3'!AD14-'2-ф2'!AD10</f>
        <v>591.4014150000003</v>
      </c>
      <c r="AE9" s="130">
        <f>AD9+'1-Ф3'!AE14-'2-ф2'!AE10</f>
        <v>591.4014150000003</v>
      </c>
      <c r="AF9" s="130">
        <f>AE9+'1-Ф3'!AF14-'2-ф2'!AF10</f>
        <v>591.4014150000003</v>
      </c>
      <c r="AG9" s="130">
        <f>AF9+'1-Ф3'!AG14-'2-ф2'!AG10</f>
        <v>591.4014150000003</v>
      </c>
      <c r="AH9" s="130">
        <f>AG9+'1-Ф3'!AH14-'2-ф2'!AH10</f>
        <v>591.4014149999985</v>
      </c>
      <c r="AI9" s="130">
        <f>AH9+'1-Ф3'!AI14-'2-ф2'!AI10</f>
        <v>591.4014150000003</v>
      </c>
      <c r="AJ9" s="130">
        <f>AI9+'1-Ф3'!AJ14-'2-ф2'!AJ10</f>
        <v>591.4014150000003</v>
      </c>
    </row>
    <row r="10" spans="1:36" ht="15" customHeight="1">
      <c r="A10" s="129" t="s">
        <v>111</v>
      </c>
      <c r="B10" s="125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>
        <f>O10</f>
        <v>0</v>
      </c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>
        <f>AB10</f>
        <v>0</v>
      </c>
      <c r="AD10" s="130"/>
      <c r="AE10" s="130"/>
      <c r="AF10" s="130"/>
      <c r="AG10" s="130"/>
      <c r="AH10" s="130"/>
      <c r="AI10" s="130"/>
      <c r="AJ10" s="130"/>
    </row>
    <row r="11" spans="1:36" ht="15" customHeight="1">
      <c r="A11" s="124" t="s">
        <v>112</v>
      </c>
      <c r="B11" s="125"/>
      <c r="C11" s="126">
        <f aca="true" t="shared" si="5" ref="C11:AH11">SUM(C12:C14)</f>
        <v>0</v>
      </c>
      <c r="D11" s="126">
        <f t="shared" si="5"/>
        <v>0</v>
      </c>
      <c r="E11" s="126">
        <f t="shared" si="5"/>
        <v>0</v>
      </c>
      <c r="F11" s="126">
        <f t="shared" si="5"/>
        <v>0</v>
      </c>
      <c r="G11" s="126">
        <f t="shared" si="5"/>
        <v>0</v>
      </c>
      <c r="H11" s="126">
        <f t="shared" si="5"/>
        <v>0</v>
      </c>
      <c r="I11" s="126">
        <f t="shared" si="5"/>
        <v>0</v>
      </c>
      <c r="J11" s="126">
        <f t="shared" si="5"/>
        <v>0</v>
      </c>
      <c r="K11" s="126">
        <f t="shared" si="5"/>
        <v>0</v>
      </c>
      <c r="L11" s="126">
        <f t="shared" si="5"/>
        <v>0</v>
      </c>
      <c r="M11" s="126">
        <f t="shared" si="5"/>
        <v>0</v>
      </c>
      <c r="N11" s="126">
        <f t="shared" si="5"/>
        <v>18615.0695</v>
      </c>
      <c r="O11" s="126">
        <f t="shared" si="5"/>
        <v>18615.0695</v>
      </c>
      <c r="P11" s="126">
        <f t="shared" si="5"/>
        <v>18615.0695</v>
      </c>
      <c r="Q11" s="126">
        <f t="shared" si="5"/>
        <v>18509.099700980394</v>
      </c>
      <c r="R11" s="126">
        <f t="shared" si="5"/>
        <v>18403.129901960787</v>
      </c>
      <c r="S11" s="126">
        <f t="shared" si="5"/>
        <v>18297.16010294118</v>
      </c>
      <c r="T11" s="126">
        <f t="shared" si="5"/>
        <v>18191.190303921572</v>
      </c>
      <c r="U11" s="126">
        <f t="shared" si="5"/>
        <v>18085.220504901965</v>
      </c>
      <c r="V11" s="126">
        <f t="shared" si="5"/>
        <v>17979.250705882358</v>
      </c>
      <c r="W11" s="126">
        <f t="shared" si="5"/>
        <v>17873.28090686275</v>
      </c>
      <c r="X11" s="126">
        <f t="shared" si="5"/>
        <v>17767.311107843143</v>
      </c>
      <c r="Y11" s="126">
        <f t="shared" si="5"/>
        <v>17661.341308823536</v>
      </c>
      <c r="Z11" s="126">
        <f t="shared" si="5"/>
        <v>17555.37150980393</v>
      </c>
      <c r="AA11" s="126">
        <f t="shared" si="5"/>
        <v>17449.40171078432</v>
      </c>
      <c r="AB11" s="126">
        <f t="shared" si="5"/>
        <v>17343.431911764714</v>
      </c>
      <c r="AC11" s="126">
        <f t="shared" si="5"/>
        <v>17343.431911764714</v>
      </c>
      <c r="AD11" s="126">
        <f t="shared" si="5"/>
        <v>16071.794323529419</v>
      </c>
      <c r="AE11" s="126">
        <f t="shared" si="5"/>
        <v>14800.156735294124</v>
      </c>
      <c r="AF11" s="126">
        <f t="shared" si="5"/>
        <v>13528.519147058829</v>
      </c>
      <c r="AG11" s="126">
        <f t="shared" si="5"/>
        <v>12256.881558823534</v>
      </c>
      <c r="AH11" s="126">
        <f t="shared" si="5"/>
        <v>10985.243970588239</v>
      </c>
      <c r="AI11" s="126">
        <f>SUM(AI12:AI14)</f>
        <v>9713.606382352944</v>
      </c>
      <c r="AJ11" s="126">
        <f>SUM(AJ12:AJ14)</f>
        <v>8441.968794117649</v>
      </c>
    </row>
    <row r="12" spans="1:36" ht="12.75">
      <c r="A12" s="129" t="s">
        <v>113</v>
      </c>
      <c r="B12" s="131"/>
      <c r="C12" s="130"/>
      <c r="D12" s="130"/>
      <c r="E12" s="130">
        <f>D12+'1-Ф3'!E22/Исх!$C$20-'2-ф2'!E13</f>
        <v>0</v>
      </c>
      <c r="F12" s="130">
        <f>E12+'1-Ф3'!F22/Исх!$C$20-'2-ф2'!F13</f>
        <v>0</v>
      </c>
      <c r="G12" s="130">
        <f>F12+'1-Ф3'!G22/Исх!$C$20-'2-ф2'!G13</f>
        <v>0</v>
      </c>
      <c r="H12" s="130">
        <f>G12+'1-Ф3'!H22/Исх!$C$20-'2-ф2'!H13</f>
        <v>0</v>
      </c>
      <c r="I12" s="130">
        <f>H12+'1-Ф3'!I22/Исх!$C$20-'2-ф2'!I13</f>
        <v>0</v>
      </c>
      <c r="J12" s="130"/>
      <c r="K12" s="130"/>
      <c r="L12" s="130"/>
      <c r="M12" s="130"/>
      <c r="N12" s="130">
        <f>M13+'1-Ф3'!N22/Исх!$C$20-'2-ф2'!N13</f>
        <v>18615.0695</v>
      </c>
      <c r="O12" s="130">
        <f>N12+'1-Ф3'!O22/Исх!$C$20-'2-ф2'!O13</f>
        <v>18615.0695</v>
      </c>
      <c r="P12" s="130">
        <f>O12</f>
        <v>18615.0695</v>
      </c>
      <c r="Q12" s="130">
        <f>P12+'1-Ф3'!Q22/Исх!$C$20-'2-ф2'!Q13</f>
        <v>18509.099700980394</v>
      </c>
      <c r="R12" s="130">
        <f>Q12+'1-Ф3'!R22/Исх!$C$20-'2-ф2'!R13</f>
        <v>18403.129901960787</v>
      </c>
      <c r="S12" s="130">
        <f>R12+'1-Ф3'!S22/Исх!$C$20-'2-ф2'!S13</f>
        <v>18297.16010294118</v>
      </c>
      <c r="T12" s="130">
        <f>S12+'1-Ф3'!T22/Исх!$C$20-'2-ф2'!T13</f>
        <v>18191.190303921572</v>
      </c>
      <c r="U12" s="130">
        <f>T12+'1-Ф3'!U22/Исх!$C$20-'2-ф2'!U13</f>
        <v>18085.220504901965</v>
      </c>
      <c r="V12" s="130">
        <f>U12+'1-Ф3'!V22/Исх!$C$20-'2-ф2'!V13</f>
        <v>17979.250705882358</v>
      </c>
      <c r="W12" s="130">
        <f>V12+'1-Ф3'!W22/Исх!$C$20-'2-ф2'!W13</f>
        <v>17873.28090686275</v>
      </c>
      <c r="X12" s="130">
        <f>W12+'1-Ф3'!X22/Исх!$C$20-'2-ф2'!X13</f>
        <v>17767.311107843143</v>
      </c>
      <c r="Y12" s="130">
        <f>X12+'1-Ф3'!Y22/Исх!$C$20-'2-ф2'!Y13</f>
        <v>17661.341308823536</v>
      </c>
      <c r="Z12" s="130">
        <f>Y12+'1-Ф3'!Z22/Исх!$C$20-'2-ф2'!Z13</f>
        <v>17555.37150980393</v>
      </c>
      <c r="AA12" s="130">
        <f>Z12+'1-Ф3'!AA22/Исх!$C$20-'2-ф2'!AA13</f>
        <v>17449.40171078432</v>
      </c>
      <c r="AB12" s="130">
        <f>AA12+'1-Ф3'!AB22/Исх!$C$20-'2-ф2'!AB13</f>
        <v>17343.431911764714</v>
      </c>
      <c r="AC12" s="130">
        <f>AB12</f>
        <v>17343.431911764714</v>
      </c>
      <c r="AD12" s="130">
        <f>AC12+'1-Ф3'!AD22/Исх!$C$20-'2-ф2'!AD13</f>
        <v>16071.794323529419</v>
      </c>
      <c r="AE12" s="130">
        <f>AD12+'1-Ф3'!AE22/Исх!$C$20-'2-ф2'!AE13</f>
        <v>14800.156735294124</v>
      </c>
      <c r="AF12" s="130">
        <f>AE12+'1-Ф3'!AF22/Исх!$C$20-'2-ф2'!AF13</f>
        <v>13528.519147058829</v>
      </c>
      <c r="AG12" s="130">
        <f>AF12+'1-Ф3'!AG22/Исх!$C$20-'2-ф2'!AG13</f>
        <v>12256.881558823534</v>
      </c>
      <c r="AH12" s="130">
        <f>AG12+'1-Ф3'!AH22/Исх!$C$20-'2-ф2'!AH13</f>
        <v>10985.243970588239</v>
      </c>
      <c r="AI12" s="130">
        <f>AH12+'1-Ф3'!AI22/Исх!$C$20-'2-ф2'!AI13</f>
        <v>9713.606382352944</v>
      </c>
      <c r="AJ12" s="130">
        <f>AI12+'1-Ф3'!AJ22/Исх!$C$20-'2-ф2'!AJ13</f>
        <v>8441.968794117649</v>
      </c>
    </row>
    <row r="13" spans="1:36" ht="12.75">
      <c r="A13" s="129" t="s">
        <v>212</v>
      </c>
      <c r="B13" s="131"/>
      <c r="C13" s="130"/>
      <c r="D13" s="130">
        <f>C13+'1-Ф3'!D22/Исх!$C$20-'2-ф2'!D13</f>
        <v>0</v>
      </c>
      <c r="E13" s="130">
        <f>D13+'1-Ф3'!E22/Исх!$C$20-'2-ф2'!E13</f>
        <v>0</v>
      </c>
      <c r="F13" s="130">
        <f>E13+'1-Ф3'!F22/Исх!$C$20-'2-ф2'!F13</f>
        <v>0</v>
      </c>
      <c r="G13" s="130">
        <f>F13+'1-Ф3'!G22/Исх!$C$20-'2-ф2'!G13</f>
        <v>0</v>
      </c>
      <c r="H13" s="130">
        <f>G13+'1-Ф3'!H22/Исх!$C$20-'2-ф2'!H13</f>
        <v>0</v>
      </c>
      <c r="I13" s="130">
        <f>H13+'1-Ф3'!I22/Исх!$C$20-'2-ф2'!I13</f>
        <v>0</v>
      </c>
      <c r="J13" s="130">
        <f>I13+'1-Ф3'!J22/Исх!$C$20-'2-ф2'!J13</f>
        <v>0</v>
      </c>
      <c r="K13" s="130">
        <f>J13+'1-Ф3'!K22/Исх!$C$20-'2-ф2'!K13</f>
        <v>0</v>
      </c>
      <c r="L13" s="130">
        <f>K13+'1-Ф3'!L22/Исх!$C$20-'2-ф2'!L13</f>
        <v>0</v>
      </c>
      <c r="M13" s="130">
        <f>L13+'1-Ф3'!M22/Исх!$C$20-'2-ф2'!M13</f>
        <v>0</v>
      </c>
      <c r="N13" s="130"/>
      <c r="O13" s="130"/>
      <c r="P13" s="130">
        <f>O13</f>
        <v>0</v>
      </c>
      <c r="Q13" s="130"/>
      <c r="R13" s="130"/>
      <c r="S13" s="130"/>
      <c r="T13" s="130"/>
      <c r="U13" s="130"/>
      <c r="V13" s="130"/>
      <c r="W13" s="130"/>
      <c r="X13" s="130"/>
      <c r="Y13" s="130"/>
      <c r="Z13" s="130">
        <f>Y13</f>
        <v>0</v>
      </c>
      <c r="AA13" s="130">
        <f>Z13</f>
        <v>0</v>
      </c>
      <c r="AB13" s="130">
        <f>AA13</f>
        <v>0</v>
      </c>
      <c r="AC13" s="130">
        <f>AB13</f>
        <v>0</v>
      </c>
      <c r="AD13" s="130">
        <f aca="true" t="shared" si="6" ref="AD13:AJ13">AC13</f>
        <v>0</v>
      </c>
      <c r="AE13" s="130">
        <f t="shared" si="6"/>
        <v>0</v>
      </c>
      <c r="AF13" s="130">
        <f t="shared" si="6"/>
        <v>0</v>
      </c>
      <c r="AG13" s="130">
        <f t="shared" si="6"/>
        <v>0</v>
      </c>
      <c r="AH13" s="130">
        <f t="shared" si="6"/>
        <v>0</v>
      </c>
      <c r="AI13" s="130">
        <f t="shared" si="6"/>
        <v>0</v>
      </c>
      <c r="AJ13" s="130">
        <f t="shared" si="6"/>
        <v>0</v>
      </c>
    </row>
    <row r="14" spans="1:36" ht="12.75">
      <c r="A14" s="129" t="s">
        <v>114</v>
      </c>
      <c r="B14" s="131"/>
      <c r="C14" s="130"/>
      <c r="D14" s="130">
        <f>IF('2-ф2'!D28&lt;0,-'2-ф2'!D28,0)</f>
        <v>0</v>
      </c>
      <c r="E14" s="130">
        <f>IF('2-ф2'!E28&lt;0,-'2-ф2'!E28,0)</f>
        <v>0</v>
      </c>
      <c r="F14" s="130">
        <f>IF('2-ф2'!F28&lt;0,-'2-ф2'!F28,0)</f>
        <v>0</v>
      </c>
      <c r="G14" s="130">
        <f>IF('2-ф2'!G28&lt;0,-'2-ф2'!G28,0)</f>
        <v>0</v>
      </c>
      <c r="H14" s="130">
        <f>IF('2-ф2'!H28&lt;0,-'2-ф2'!H28,0)</f>
        <v>0</v>
      </c>
      <c r="I14" s="130">
        <f>IF('2-ф2'!I28&lt;0,-'2-ф2'!I28,0)</f>
        <v>0</v>
      </c>
      <c r="J14" s="130">
        <f>IF('2-ф2'!J28&lt;0,-'2-ф2'!J28,0)</f>
        <v>0</v>
      </c>
      <c r="K14" s="130">
        <f>IF('2-ф2'!K28&lt;0,-'2-ф2'!K28,0)</f>
        <v>0</v>
      </c>
      <c r="L14" s="130">
        <f>IF('2-ф2'!L28&lt;0,-'2-ф2'!L28,0)</f>
        <v>0</v>
      </c>
      <c r="M14" s="130">
        <f>IF('2-ф2'!M28&lt;0,-'2-ф2'!M28,0)</f>
        <v>0</v>
      </c>
      <c r="N14" s="130">
        <f>IF('2-ф2'!N28&lt;0,-'2-ф2'!N28,0)</f>
        <v>0</v>
      </c>
      <c r="O14" s="130">
        <f>IF('2-ф2'!O28&lt;0,-'2-ф2'!O28,0)</f>
        <v>0</v>
      </c>
      <c r="P14" s="130">
        <f>O14</f>
        <v>0</v>
      </c>
      <c r="Q14" s="130">
        <f>IF('2-ф2'!Q28&lt;0,-'2-ф2'!Q28,0)</f>
        <v>0</v>
      </c>
      <c r="R14" s="130">
        <f>IF('2-ф2'!R28&lt;0,-'2-ф2'!R28,0)</f>
        <v>0</v>
      </c>
      <c r="S14" s="130">
        <f>IF('2-ф2'!S28&lt;0,-'2-ф2'!S28,0)</f>
        <v>0</v>
      </c>
      <c r="T14" s="130">
        <f>IF('2-ф2'!T28&lt;0,-'2-ф2'!T28,0)</f>
        <v>0</v>
      </c>
      <c r="U14" s="130">
        <f>IF('2-ф2'!U28&lt;0,-'2-ф2'!U28,0)</f>
        <v>0</v>
      </c>
      <c r="V14" s="130">
        <f>IF('2-ф2'!V28&lt;0,-'2-ф2'!V28,0)</f>
        <v>0</v>
      </c>
      <c r="W14" s="130">
        <f>IF('2-ф2'!W28&lt;0,-'2-ф2'!W28,0)</f>
        <v>0</v>
      </c>
      <c r="X14" s="130">
        <f>IF('2-ф2'!X28&lt;0,-'2-ф2'!X28,0)</f>
        <v>0</v>
      </c>
      <c r="Y14" s="130">
        <f>IF('2-ф2'!Y28&lt;0,-'2-ф2'!Y28,0)</f>
        <v>0</v>
      </c>
      <c r="Z14" s="130">
        <f>IF('2-ф2'!Z28&lt;0,-'2-ф2'!Z28,0)</f>
        <v>0</v>
      </c>
      <c r="AA14" s="130">
        <f>IF('2-ф2'!AA28&lt;0,-'2-ф2'!AA28,0)</f>
        <v>0</v>
      </c>
      <c r="AB14" s="130">
        <f>IF('2-ф2'!AB28&lt;0,-'2-ф2'!AB28,0)</f>
        <v>0</v>
      </c>
      <c r="AC14" s="130">
        <f>AB14</f>
        <v>0</v>
      </c>
      <c r="AD14" s="130">
        <f>IF('2-ф2'!AD28&lt;0,-'2-ф2'!AD28,0)</f>
        <v>0</v>
      </c>
      <c r="AE14" s="130">
        <f>IF('2-ф2'!AE28&lt;0,-'2-ф2'!AE28,0)</f>
        <v>0</v>
      </c>
      <c r="AF14" s="130">
        <f>IF('2-ф2'!AF28&lt;0,-'2-ф2'!AF28,0)</f>
        <v>0</v>
      </c>
      <c r="AG14" s="130">
        <f>IF('2-ф2'!AG28&lt;0,-'2-ф2'!AG28,0)</f>
        <v>0</v>
      </c>
      <c r="AH14" s="130">
        <f>IF('2-ф2'!AH28&lt;0,-'2-ф2'!AH28,0)</f>
        <v>0</v>
      </c>
      <c r="AI14" s="130">
        <f>IF('2-ф2'!AI28&lt;0,-'2-ф2'!AI28,0)</f>
        <v>0</v>
      </c>
      <c r="AJ14" s="130">
        <f>IF('2-ф2'!AJ28&lt;0,-'2-ф2'!AJ28,0)</f>
        <v>0</v>
      </c>
    </row>
    <row r="15" spans="1:184" ht="12.75">
      <c r="A15" s="132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</row>
    <row r="16" spans="1:42" s="128" customFormat="1" ht="15" customHeight="1">
      <c r="A16" s="124" t="s">
        <v>115</v>
      </c>
      <c r="B16" s="125"/>
      <c r="C16" s="125">
        <f aca="true" t="shared" si="7" ref="C16:AH16">C21+C24+C17</f>
        <v>0</v>
      </c>
      <c r="D16" s="125">
        <f t="shared" si="7"/>
        <v>0</v>
      </c>
      <c r="E16" s="125">
        <f t="shared" si="7"/>
        <v>0</v>
      </c>
      <c r="F16" s="125">
        <f t="shared" si="7"/>
        <v>0</v>
      </c>
      <c r="G16" s="125">
        <f t="shared" si="7"/>
        <v>0</v>
      </c>
      <c r="H16" s="125">
        <f t="shared" si="7"/>
        <v>0</v>
      </c>
      <c r="I16" s="125">
        <f t="shared" si="7"/>
        <v>0</v>
      </c>
      <c r="J16" s="125">
        <f t="shared" si="7"/>
        <v>0</v>
      </c>
      <c r="K16" s="125">
        <f t="shared" si="7"/>
        <v>0</v>
      </c>
      <c r="L16" s="125">
        <f t="shared" si="7"/>
        <v>0</v>
      </c>
      <c r="M16" s="125">
        <f t="shared" si="7"/>
        <v>0</v>
      </c>
      <c r="N16" s="125">
        <f t="shared" si="7"/>
        <v>18615.0695</v>
      </c>
      <c r="O16" s="125">
        <f t="shared" si="7"/>
        <v>19206.470914999998</v>
      </c>
      <c r="P16" s="125">
        <f t="shared" si="7"/>
        <v>19206.470914999998</v>
      </c>
      <c r="Q16" s="125">
        <f t="shared" si="7"/>
        <v>19733.128500980394</v>
      </c>
      <c r="R16" s="125">
        <f t="shared" si="7"/>
        <v>19933.385178761135</v>
      </c>
      <c r="S16" s="125">
        <f t="shared" si="7"/>
        <v>19814.357529666875</v>
      </c>
      <c r="T16" s="125">
        <f t="shared" si="7"/>
        <v>19774.408303697615</v>
      </c>
      <c r="U16" s="125">
        <f t="shared" si="7"/>
        <v>19734.45907772836</v>
      </c>
      <c r="V16" s="125">
        <f t="shared" si="7"/>
        <v>19773.5882748841</v>
      </c>
      <c r="W16" s="125">
        <f t="shared" si="7"/>
        <v>19812.71747203984</v>
      </c>
      <c r="X16" s="125">
        <f t="shared" si="7"/>
        <v>19851.846669195584</v>
      </c>
      <c r="Y16" s="125">
        <f t="shared" si="7"/>
        <v>19970.054289476324</v>
      </c>
      <c r="Z16" s="125">
        <f t="shared" si="7"/>
        <v>20167.340332882064</v>
      </c>
      <c r="AA16" s="125">
        <f t="shared" si="7"/>
        <v>20364.626376287808</v>
      </c>
      <c r="AB16" s="125">
        <f t="shared" si="7"/>
        <v>20561.91241969355</v>
      </c>
      <c r="AC16" s="125">
        <f t="shared" si="7"/>
        <v>20561.91241969355</v>
      </c>
      <c r="AD16" s="125">
        <f t="shared" si="7"/>
        <v>22537.54914056245</v>
      </c>
      <c r="AE16" s="125">
        <f t="shared" si="7"/>
        <v>25180.56895893134</v>
      </c>
      <c r="AF16" s="125">
        <f t="shared" si="7"/>
        <v>29291.677728449537</v>
      </c>
      <c r="AG16" s="125">
        <f t="shared" si="7"/>
        <v>38103.94465026423</v>
      </c>
      <c r="AH16" s="125">
        <f t="shared" si="7"/>
        <v>47551.27268920643</v>
      </c>
      <c r="AI16" s="125">
        <f>AI21+AI24+AI17</f>
        <v>57621.79293725751</v>
      </c>
      <c r="AJ16" s="125">
        <f>AJ21+AJ24+AJ17</f>
        <v>68303.04304099789</v>
      </c>
      <c r="AK16" s="127"/>
      <c r="AL16" s="127"/>
      <c r="AM16" s="127"/>
      <c r="AN16" s="127"/>
      <c r="AO16" s="127"/>
      <c r="AP16" s="127"/>
    </row>
    <row r="17" spans="1:36" ht="15" customHeight="1">
      <c r="A17" s="124" t="s">
        <v>116</v>
      </c>
      <c r="B17" s="125"/>
      <c r="C17" s="125">
        <f aca="true" t="shared" si="8" ref="C17:AH17">SUM(C18:C20)</f>
        <v>0</v>
      </c>
      <c r="D17" s="125">
        <f t="shared" si="8"/>
        <v>0</v>
      </c>
      <c r="E17" s="125">
        <f t="shared" si="8"/>
        <v>0</v>
      </c>
      <c r="F17" s="125">
        <f t="shared" si="8"/>
        <v>0</v>
      </c>
      <c r="G17" s="125">
        <f t="shared" si="8"/>
        <v>0</v>
      </c>
      <c r="H17" s="125">
        <f t="shared" si="8"/>
        <v>0</v>
      </c>
      <c r="I17" s="125">
        <f t="shared" si="8"/>
        <v>0</v>
      </c>
      <c r="J17" s="125">
        <f t="shared" si="8"/>
        <v>0</v>
      </c>
      <c r="K17" s="125">
        <f t="shared" si="8"/>
        <v>0</v>
      </c>
      <c r="L17" s="125">
        <f t="shared" si="8"/>
        <v>0</v>
      </c>
      <c r="M17" s="125">
        <f t="shared" si="8"/>
        <v>0</v>
      </c>
      <c r="N17" s="125">
        <f t="shared" si="8"/>
        <v>0</v>
      </c>
      <c r="O17" s="125">
        <f t="shared" si="8"/>
        <v>92.29971960416668</v>
      </c>
      <c r="P17" s="125">
        <f t="shared" si="8"/>
        <v>92.29971960416668</v>
      </c>
      <c r="Q17" s="125">
        <f t="shared" si="8"/>
        <v>0</v>
      </c>
      <c r="R17" s="125">
        <f t="shared" si="8"/>
        <v>0</v>
      </c>
      <c r="S17" s="125">
        <f t="shared" si="8"/>
        <v>0</v>
      </c>
      <c r="T17" s="125">
        <f t="shared" si="8"/>
        <v>0</v>
      </c>
      <c r="U17" s="125">
        <f t="shared" si="8"/>
        <v>0</v>
      </c>
      <c r="V17" s="125">
        <f t="shared" si="8"/>
        <v>0</v>
      </c>
      <c r="W17" s="125">
        <f t="shared" si="8"/>
        <v>0</v>
      </c>
      <c r="X17" s="125">
        <f t="shared" si="8"/>
        <v>0</v>
      </c>
      <c r="Y17" s="125">
        <f t="shared" si="8"/>
        <v>0</v>
      </c>
      <c r="Z17" s="125">
        <f t="shared" si="8"/>
        <v>0</v>
      </c>
      <c r="AA17" s="125">
        <f t="shared" si="8"/>
        <v>0</v>
      </c>
      <c r="AB17" s="125">
        <f t="shared" si="8"/>
        <v>0</v>
      </c>
      <c r="AC17" s="125">
        <f t="shared" si="8"/>
        <v>0</v>
      </c>
      <c r="AD17" s="125">
        <f t="shared" si="8"/>
        <v>0</v>
      </c>
      <c r="AE17" s="125">
        <f t="shared" si="8"/>
        <v>0</v>
      </c>
      <c r="AF17" s="125">
        <f t="shared" si="8"/>
        <v>0</v>
      </c>
      <c r="AG17" s="125">
        <f t="shared" si="8"/>
        <v>0</v>
      </c>
      <c r="AH17" s="125">
        <f t="shared" si="8"/>
        <v>0</v>
      </c>
      <c r="AI17" s="125">
        <f>SUM(AI18:AI20)</f>
        <v>0</v>
      </c>
      <c r="AJ17" s="125">
        <f>SUM(AJ18:AJ20)</f>
        <v>0</v>
      </c>
    </row>
    <row r="18" spans="1:36" ht="12.75">
      <c r="A18" s="129" t="s">
        <v>117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>
        <f>O18</f>
        <v>0</v>
      </c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>
        <f>AB18</f>
        <v>0</v>
      </c>
      <c r="AD18" s="131"/>
      <c r="AE18" s="131"/>
      <c r="AF18" s="131"/>
      <c r="AG18" s="131"/>
      <c r="AH18" s="131"/>
      <c r="AI18" s="131"/>
      <c r="AJ18" s="131"/>
    </row>
    <row r="19" spans="1:36" ht="12.75">
      <c r="A19" s="129" t="s">
        <v>184</v>
      </c>
      <c r="B19" s="131"/>
      <c r="C19" s="131"/>
      <c r="D19" s="131">
        <f>C19+'2-ф2'!D14-'1-Ф3'!D16-кр!C8</f>
        <v>0</v>
      </c>
      <c r="E19" s="131">
        <f>D19+'2-ф2'!E14-'1-Ф3'!E16-кр!D8</f>
        <v>0</v>
      </c>
      <c r="F19" s="131">
        <f>E19+'2-ф2'!F14-'1-Ф3'!F16-кр!E8</f>
        <v>0</v>
      </c>
      <c r="G19" s="131">
        <f>F19+'2-ф2'!G14-'1-Ф3'!G16-кр!F8</f>
        <v>0</v>
      </c>
      <c r="H19" s="131">
        <f>G19+'2-ф2'!H14-'1-Ф3'!H16-кр!G8</f>
        <v>0</v>
      </c>
      <c r="I19" s="131">
        <f>H19+'2-ф2'!I14-'1-Ф3'!I16-кр!H8</f>
        <v>0</v>
      </c>
      <c r="J19" s="131">
        <f>I19+'2-ф2'!J14-'1-Ф3'!J16-кр!I8</f>
        <v>0</v>
      </c>
      <c r="K19" s="131">
        <f>J19+'2-ф2'!K14-'1-Ф3'!K16-кр!J8</f>
        <v>0</v>
      </c>
      <c r="L19" s="131">
        <f>K19+'2-ф2'!L14-'1-Ф3'!L16-кр!K8</f>
        <v>0</v>
      </c>
      <c r="M19" s="131">
        <f>L19+'2-ф2'!M14-'1-Ф3'!M16-кр!L8</f>
        <v>0</v>
      </c>
      <c r="N19" s="131">
        <f>M19+'2-ф2'!N14-'1-Ф3'!N16-кр!M8</f>
        <v>0</v>
      </c>
      <c r="O19" s="131">
        <f>N19+'2-ф2'!O14-'1-Ф3'!O16-кр!N8</f>
        <v>92.29971960416668</v>
      </c>
      <c r="P19" s="131">
        <f>O19</f>
        <v>92.29971960416668</v>
      </c>
      <c r="Q19" s="131">
        <f>P19+'2-ф2'!Q14-'1-Ф3'!Q16-кр!P8</f>
        <v>0</v>
      </c>
      <c r="R19" s="131">
        <f>Q19+'2-ф2'!R14-'1-Ф3'!R16-кр!Q8</f>
        <v>0</v>
      </c>
      <c r="S19" s="131">
        <f>R19+'2-ф2'!S14-'1-Ф3'!S16-кр!R8</f>
        <v>0</v>
      </c>
      <c r="T19" s="131">
        <f>S19+'2-ф2'!T14-'1-Ф3'!T16-кр!S8</f>
        <v>0</v>
      </c>
      <c r="U19" s="131">
        <f>T19+'2-ф2'!U14-'1-Ф3'!U16-кр!T8</f>
        <v>0</v>
      </c>
      <c r="V19" s="131">
        <f>U19+'2-ф2'!V14-'1-Ф3'!V16-кр!U8</f>
        <v>0</v>
      </c>
      <c r="W19" s="131">
        <f>V19+'2-ф2'!W14-'1-Ф3'!W16-кр!V8</f>
        <v>0</v>
      </c>
      <c r="X19" s="131">
        <f>W19+'2-ф2'!X14-'1-Ф3'!X16-кр!W8</f>
        <v>0</v>
      </c>
      <c r="Y19" s="131">
        <f>X19+'2-ф2'!Y14-'1-Ф3'!Y16-кр!X8</f>
        <v>0</v>
      </c>
      <c r="Z19" s="131">
        <f>Y19+'2-ф2'!Z14-'1-Ф3'!Z16-кр!Y8</f>
        <v>0</v>
      </c>
      <c r="AA19" s="131">
        <f>Z19+'2-ф2'!AA14-'1-Ф3'!AA16-кр!Z8</f>
        <v>0</v>
      </c>
      <c r="AB19" s="131">
        <f>AA19+'2-ф2'!AB14-'1-Ф3'!AB16-кр!AA8</f>
        <v>0</v>
      </c>
      <c r="AC19" s="131">
        <f>AB19</f>
        <v>0</v>
      </c>
      <c r="AD19" s="131">
        <f>AC19+'2-ф2'!AD14-'1-Ф3'!AD16</f>
        <v>0</v>
      </c>
      <c r="AE19" s="131">
        <f>AD19+'2-ф2'!AE14-'1-Ф3'!AE16</f>
        <v>0</v>
      </c>
      <c r="AF19" s="131">
        <f>AE19+'2-ф2'!AF14-'1-Ф3'!AF16</f>
        <v>0</v>
      </c>
      <c r="AG19" s="131">
        <f>AF19+'2-ф2'!AG14-'1-Ф3'!AG16</f>
        <v>0</v>
      </c>
      <c r="AH19" s="131">
        <f>AG19+'2-ф2'!AH14-'1-Ф3'!AH16</f>
        <v>0</v>
      </c>
      <c r="AI19" s="131">
        <f>AH19+'2-ф2'!AI14-'1-Ф3'!AI16</f>
        <v>0</v>
      </c>
      <c r="AJ19" s="131">
        <f>AI19+'2-ф2'!AJ14-'1-Ф3'!AJ16</f>
        <v>0</v>
      </c>
    </row>
    <row r="20" spans="1:36" ht="12.75">
      <c r="A20" s="129" t="s">
        <v>185</v>
      </c>
      <c r="B20" s="131"/>
      <c r="C20" s="131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31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31">
        <f>AB20</f>
        <v>0</v>
      </c>
      <c r="AD20" s="131"/>
      <c r="AE20" s="131"/>
      <c r="AF20" s="131"/>
      <c r="AG20" s="131"/>
      <c r="AH20" s="131"/>
      <c r="AI20" s="131"/>
      <c r="AJ20" s="131"/>
    </row>
    <row r="21" spans="1:36" ht="15" customHeight="1">
      <c r="A21" s="124" t="s">
        <v>118</v>
      </c>
      <c r="B21" s="125"/>
      <c r="C21" s="125">
        <f aca="true" t="shared" si="9" ref="C21:AH21">SUM(C22:C23)</f>
        <v>0</v>
      </c>
      <c r="D21" s="125">
        <f t="shared" si="9"/>
        <v>0</v>
      </c>
      <c r="E21" s="125">
        <f t="shared" si="9"/>
        <v>0</v>
      </c>
      <c r="F21" s="125">
        <f t="shared" si="9"/>
        <v>0</v>
      </c>
      <c r="G21" s="125">
        <f t="shared" si="9"/>
        <v>0</v>
      </c>
      <c r="H21" s="125">
        <f t="shared" si="9"/>
        <v>0</v>
      </c>
      <c r="I21" s="125">
        <f t="shared" si="9"/>
        <v>0</v>
      </c>
      <c r="J21" s="125">
        <f t="shared" si="9"/>
        <v>0</v>
      </c>
      <c r="K21" s="125">
        <f t="shared" si="9"/>
        <v>0</v>
      </c>
      <c r="L21" s="125">
        <f t="shared" si="9"/>
        <v>0</v>
      </c>
      <c r="M21" s="125">
        <f t="shared" si="9"/>
        <v>0</v>
      </c>
      <c r="N21" s="125">
        <f t="shared" si="9"/>
        <v>15822.809075000001</v>
      </c>
      <c r="O21" s="125">
        <f t="shared" si="9"/>
        <v>15822.809075000001</v>
      </c>
      <c r="P21" s="125">
        <f t="shared" si="9"/>
        <v>15822.809075000001</v>
      </c>
      <c r="Q21" s="125">
        <f t="shared" si="9"/>
        <v>16007.408514208335</v>
      </c>
      <c r="R21" s="125">
        <f t="shared" si="9"/>
        <v>15695.3057325499</v>
      </c>
      <c r="S21" s="125">
        <f t="shared" si="9"/>
        <v>15381.38235133179</v>
      </c>
      <c r="T21" s="125">
        <f t="shared" si="9"/>
        <v>15065.627750389907</v>
      </c>
      <c r="U21" s="125">
        <f t="shared" si="9"/>
        <v>14748.031247609197</v>
      </c>
      <c r="V21" s="125">
        <f t="shared" si="9"/>
        <v>14428.582098562267</v>
      </c>
      <c r="W21" s="125">
        <f t="shared" si="9"/>
        <v>14107.269496145896</v>
      </c>
      <c r="X21" s="125">
        <f t="shared" si="9"/>
        <v>13784.08257021543</v>
      </c>
      <c r="Y21" s="125">
        <f t="shared" si="9"/>
        <v>13459.010387217037</v>
      </c>
      <c r="Z21" s="125">
        <f t="shared" si="9"/>
        <v>13132.041949817818</v>
      </c>
      <c r="AA21" s="125">
        <f t="shared" si="9"/>
        <v>12803.166196533772</v>
      </c>
      <c r="AB21" s="125">
        <f t="shared" si="9"/>
        <v>12472.372001355569</v>
      </c>
      <c r="AC21" s="125">
        <f t="shared" si="9"/>
        <v>12472.372001355569</v>
      </c>
      <c r="AD21" s="125">
        <f t="shared" si="9"/>
        <v>8349.063585175523</v>
      </c>
      <c r="AE21" s="125">
        <f t="shared" si="9"/>
        <v>3927.6808701946193</v>
      </c>
      <c r="AF21" s="125">
        <f t="shared" si="9"/>
        <v>7.906919563538395E-11</v>
      </c>
      <c r="AG21" s="125">
        <f t="shared" si="9"/>
        <v>7.906919563538395E-11</v>
      </c>
      <c r="AH21" s="125">
        <f t="shared" si="9"/>
        <v>7.906919563538395E-11</v>
      </c>
      <c r="AI21" s="125">
        <f>SUM(AI22:AI23)</f>
        <v>7.906919563538395E-11</v>
      </c>
      <c r="AJ21" s="125">
        <f>SUM(AJ22:AJ23)</f>
        <v>7.906919563538395E-11</v>
      </c>
    </row>
    <row r="22" spans="1:36" ht="12.75">
      <c r="A22" s="129" t="s">
        <v>117</v>
      </c>
      <c r="B22" s="131"/>
      <c r="C22" s="125"/>
      <c r="D22" s="131">
        <f>кр!C12</f>
        <v>0</v>
      </c>
      <c r="E22" s="131">
        <f>кр!D12</f>
        <v>0</v>
      </c>
      <c r="F22" s="131">
        <f>кр!E12</f>
        <v>0</v>
      </c>
      <c r="G22" s="131">
        <f>кр!F12</f>
        <v>0</v>
      </c>
      <c r="H22" s="131">
        <f>кр!G12</f>
        <v>0</v>
      </c>
      <c r="I22" s="131">
        <f>кр!H12</f>
        <v>0</v>
      </c>
      <c r="J22" s="131">
        <f>кр!I12</f>
        <v>0</v>
      </c>
      <c r="K22" s="131">
        <f>кр!J12</f>
        <v>0</v>
      </c>
      <c r="L22" s="131">
        <f>кр!K12</f>
        <v>0</v>
      </c>
      <c r="M22" s="131">
        <f>кр!L12</f>
        <v>0</v>
      </c>
      <c r="N22" s="131">
        <f>кр!M12</f>
        <v>15822.809075000001</v>
      </c>
      <c r="O22" s="131">
        <f>кр!N12</f>
        <v>15822.809075000001</v>
      </c>
      <c r="P22" s="131">
        <f>кр!O12</f>
        <v>15822.809075000001</v>
      </c>
      <c r="Q22" s="131">
        <f>кр!P12</f>
        <v>16007.408514208335</v>
      </c>
      <c r="R22" s="131">
        <f>кр!Q12</f>
        <v>15695.3057325499</v>
      </c>
      <c r="S22" s="131">
        <f>кр!R12</f>
        <v>15381.38235133179</v>
      </c>
      <c r="T22" s="131">
        <f>кр!S12</f>
        <v>15065.627750389907</v>
      </c>
      <c r="U22" s="131">
        <f>кр!T12</f>
        <v>14748.031247609197</v>
      </c>
      <c r="V22" s="131">
        <f>кр!U12</f>
        <v>14428.582098562267</v>
      </c>
      <c r="W22" s="131">
        <f>кр!V12</f>
        <v>14107.269496145896</v>
      </c>
      <c r="X22" s="131">
        <f>кр!W12</f>
        <v>13784.08257021543</v>
      </c>
      <c r="Y22" s="131">
        <f>кр!X12</f>
        <v>13459.010387217037</v>
      </c>
      <c r="Z22" s="131">
        <f>кр!Y12</f>
        <v>13132.041949817818</v>
      </c>
      <c r="AA22" s="131">
        <f>кр!Z12</f>
        <v>12803.166196533772</v>
      </c>
      <c r="AB22" s="131">
        <f>кр!AA12</f>
        <v>12472.372001355569</v>
      </c>
      <c r="AC22" s="131">
        <f>кр!AB12</f>
        <v>12472.372001355569</v>
      </c>
      <c r="AD22" s="131">
        <f>кр!AO12</f>
        <v>8349.063585175523</v>
      </c>
      <c r="AE22" s="131">
        <f>кр!BB12</f>
        <v>3927.6808701946193</v>
      </c>
      <c r="AF22" s="131">
        <f>кр!BO12</f>
        <v>7.906919563538395E-11</v>
      </c>
      <c r="AG22" s="131">
        <f>кр!CB12</f>
        <v>7.906919563538395E-11</v>
      </c>
      <c r="AH22" s="131">
        <f>кр!CO12</f>
        <v>7.906919563538395E-11</v>
      </c>
      <c r="AI22" s="131">
        <f>кр!DB12</f>
        <v>7.906919563538395E-11</v>
      </c>
      <c r="AJ22" s="131">
        <f>кр!DO12</f>
        <v>7.906919563538395E-11</v>
      </c>
    </row>
    <row r="23" spans="1:36" ht="15" customHeight="1" hidden="1">
      <c r="A23" s="129" t="s">
        <v>119</v>
      </c>
      <c r="B23" s="131"/>
      <c r="C23" s="131"/>
      <c r="D23" s="131">
        <f>C23</f>
        <v>0</v>
      </c>
      <c r="E23" s="131">
        <f>D23</f>
        <v>0</v>
      </c>
      <c r="F23" s="131">
        <f aca="true" t="shared" si="10" ref="F23:AJ23">E23</f>
        <v>0</v>
      </c>
      <c r="G23" s="131">
        <f t="shared" si="10"/>
        <v>0</v>
      </c>
      <c r="H23" s="131">
        <f t="shared" si="10"/>
        <v>0</v>
      </c>
      <c r="I23" s="131">
        <f t="shared" si="10"/>
        <v>0</v>
      </c>
      <c r="J23" s="131">
        <f t="shared" si="10"/>
        <v>0</v>
      </c>
      <c r="K23" s="131">
        <f t="shared" si="10"/>
        <v>0</v>
      </c>
      <c r="L23" s="131">
        <f t="shared" si="10"/>
        <v>0</v>
      </c>
      <c r="M23" s="131">
        <f t="shared" si="10"/>
        <v>0</v>
      </c>
      <c r="N23" s="131">
        <f t="shared" si="10"/>
        <v>0</v>
      </c>
      <c r="O23" s="131">
        <f t="shared" si="10"/>
        <v>0</v>
      </c>
      <c r="P23" s="131">
        <f t="shared" si="10"/>
        <v>0</v>
      </c>
      <c r="Q23" s="131">
        <f t="shared" si="10"/>
        <v>0</v>
      </c>
      <c r="R23" s="131">
        <f t="shared" si="10"/>
        <v>0</v>
      </c>
      <c r="S23" s="131">
        <f t="shared" si="10"/>
        <v>0</v>
      </c>
      <c r="T23" s="131">
        <f t="shared" si="10"/>
        <v>0</v>
      </c>
      <c r="U23" s="131">
        <f t="shared" si="10"/>
        <v>0</v>
      </c>
      <c r="V23" s="131">
        <f t="shared" si="10"/>
        <v>0</v>
      </c>
      <c r="W23" s="131">
        <f t="shared" si="10"/>
        <v>0</v>
      </c>
      <c r="X23" s="131">
        <f t="shared" si="10"/>
        <v>0</v>
      </c>
      <c r="Y23" s="131">
        <f t="shared" si="10"/>
        <v>0</v>
      </c>
      <c r="Z23" s="131">
        <f t="shared" si="10"/>
        <v>0</v>
      </c>
      <c r="AA23" s="131">
        <f t="shared" si="10"/>
        <v>0</v>
      </c>
      <c r="AB23" s="131">
        <f t="shared" si="10"/>
        <v>0</v>
      </c>
      <c r="AC23" s="125">
        <f>AB23</f>
        <v>0</v>
      </c>
      <c r="AD23" s="131">
        <f t="shared" si="10"/>
        <v>0</v>
      </c>
      <c r="AE23" s="131">
        <f t="shared" si="10"/>
        <v>0</v>
      </c>
      <c r="AF23" s="131">
        <f t="shared" si="10"/>
        <v>0</v>
      </c>
      <c r="AG23" s="131">
        <f t="shared" si="10"/>
        <v>0</v>
      </c>
      <c r="AH23" s="131">
        <f t="shared" si="10"/>
        <v>0</v>
      </c>
      <c r="AI23" s="131">
        <f t="shared" si="10"/>
        <v>0</v>
      </c>
      <c r="AJ23" s="131">
        <f t="shared" si="10"/>
        <v>0</v>
      </c>
    </row>
    <row r="24" spans="1:36" s="128" customFormat="1" ht="15" customHeight="1">
      <c r="A24" s="124" t="s">
        <v>120</v>
      </c>
      <c r="B24" s="125"/>
      <c r="C24" s="125">
        <f aca="true" t="shared" si="11" ref="C24:AH24">SUM(C25:C26)</f>
        <v>0</v>
      </c>
      <c r="D24" s="125">
        <f t="shared" si="11"/>
        <v>0</v>
      </c>
      <c r="E24" s="125">
        <f t="shared" si="11"/>
        <v>0</v>
      </c>
      <c r="F24" s="125">
        <f t="shared" si="11"/>
        <v>0</v>
      </c>
      <c r="G24" s="125">
        <f t="shared" si="11"/>
        <v>0</v>
      </c>
      <c r="H24" s="125">
        <f t="shared" si="11"/>
        <v>0</v>
      </c>
      <c r="I24" s="125">
        <f t="shared" si="11"/>
        <v>0</v>
      </c>
      <c r="J24" s="125">
        <f t="shared" si="11"/>
        <v>0</v>
      </c>
      <c r="K24" s="125">
        <f t="shared" si="11"/>
        <v>0</v>
      </c>
      <c r="L24" s="125">
        <f t="shared" si="11"/>
        <v>0</v>
      </c>
      <c r="M24" s="125">
        <f t="shared" si="11"/>
        <v>0</v>
      </c>
      <c r="N24" s="125">
        <f t="shared" si="11"/>
        <v>2792.260425</v>
      </c>
      <c r="O24" s="125">
        <f t="shared" si="11"/>
        <v>3291.3621203958332</v>
      </c>
      <c r="P24" s="125">
        <f t="shared" si="11"/>
        <v>3291.3621203958332</v>
      </c>
      <c r="Q24" s="125">
        <f t="shared" si="11"/>
        <v>3725.7199867720587</v>
      </c>
      <c r="R24" s="125">
        <f t="shared" si="11"/>
        <v>4238.079446211235</v>
      </c>
      <c r="S24" s="125">
        <f t="shared" si="11"/>
        <v>4432.975178335087</v>
      </c>
      <c r="T24" s="125">
        <f t="shared" si="11"/>
        <v>4708.78055330771</v>
      </c>
      <c r="U24" s="125">
        <f t="shared" si="11"/>
        <v>4986.427830119161</v>
      </c>
      <c r="V24" s="125">
        <f t="shared" si="11"/>
        <v>5345.006176321833</v>
      </c>
      <c r="W24" s="125">
        <f t="shared" si="11"/>
        <v>5705.447975893945</v>
      </c>
      <c r="X24" s="125">
        <f t="shared" si="11"/>
        <v>6067.764098980153</v>
      </c>
      <c r="Y24" s="125">
        <f t="shared" si="11"/>
        <v>6511.043902259288</v>
      </c>
      <c r="Z24" s="125">
        <f t="shared" si="11"/>
        <v>7035.298383064248</v>
      </c>
      <c r="AA24" s="125">
        <f t="shared" si="11"/>
        <v>7561.460179754036</v>
      </c>
      <c r="AB24" s="125">
        <f t="shared" si="11"/>
        <v>8089.5404183379815</v>
      </c>
      <c r="AC24" s="125">
        <f t="shared" si="11"/>
        <v>8089.5404183379815</v>
      </c>
      <c r="AD24" s="125">
        <f t="shared" si="11"/>
        <v>14188.485555386924</v>
      </c>
      <c r="AE24" s="125">
        <f t="shared" si="11"/>
        <v>21252.88808873672</v>
      </c>
      <c r="AF24" s="125">
        <f t="shared" si="11"/>
        <v>29291.677728449456</v>
      </c>
      <c r="AG24" s="125">
        <f t="shared" si="11"/>
        <v>38103.94465026415</v>
      </c>
      <c r="AH24" s="125">
        <f t="shared" si="11"/>
        <v>47551.27268920635</v>
      </c>
      <c r="AI24" s="125">
        <f>SUM(AI25:AI26)</f>
        <v>57621.79293725743</v>
      </c>
      <c r="AJ24" s="125">
        <f>SUM(AJ25:AJ26)</f>
        <v>68303.04304099781</v>
      </c>
    </row>
    <row r="25" spans="1:36" ht="15" customHeight="1">
      <c r="A25" s="129" t="s">
        <v>121</v>
      </c>
      <c r="B25" s="125"/>
      <c r="C25" s="131"/>
      <c r="D25" s="131">
        <f>C25+'1-Ф3'!D29</f>
        <v>0</v>
      </c>
      <c r="E25" s="131">
        <f>D25+'1-Ф3'!E29</f>
        <v>0</v>
      </c>
      <c r="F25" s="131">
        <f>E25+'1-Ф3'!F29</f>
        <v>0</v>
      </c>
      <c r="G25" s="131">
        <f>F25+'1-Ф3'!G29</f>
        <v>0</v>
      </c>
      <c r="H25" s="131">
        <f>G25+'1-Ф3'!H29</f>
        <v>0</v>
      </c>
      <c r="I25" s="131">
        <f>H25+'1-Ф3'!I29</f>
        <v>0</v>
      </c>
      <c r="J25" s="131">
        <f>I25+'1-Ф3'!J29</f>
        <v>0</v>
      </c>
      <c r="K25" s="131">
        <f>J25+'1-Ф3'!K29</f>
        <v>0</v>
      </c>
      <c r="L25" s="131">
        <f>K25+'1-Ф3'!L29</f>
        <v>0</v>
      </c>
      <c r="M25" s="131">
        <f>L25+'1-Ф3'!M29</f>
        <v>0</v>
      </c>
      <c r="N25" s="131">
        <f>M25+'1-Ф3'!N29</f>
        <v>2792.260425</v>
      </c>
      <c r="O25" s="131">
        <f>N25+'1-Ф3'!O29</f>
        <v>3383.6618399999998</v>
      </c>
      <c r="P25" s="131">
        <f>O25</f>
        <v>3383.6618399999998</v>
      </c>
      <c r="Q25" s="131">
        <f>P25+'1-Ф3'!Q29</f>
        <v>3782.02459</v>
      </c>
      <c r="R25" s="131">
        <f>Q25+'1-Ф3'!R29</f>
        <v>4180.38734</v>
      </c>
      <c r="S25" s="131">
        <f>R25+'1-Ф3'!S29</f>
        <v>4180.38734</v>
      </c>
      <c r="T25" s="131">
        <f>S25+'1-Ф3'!T29</f>
        <v>4180.38734</v>
      </c>
      <c r="U25" s="131">
        <f>T25+'1-Ф3'!U29</f>
        <v>4180.38734</v>
      </c>
      <c r="V25" s="131">
        <f>U25+'1-Ф3'!V29</f>
        <v>4180.38734</v>
      </c>
      <c r="W25" s="131">
        <f>V25+'1-Ф3'!W29</f>
        <v>4180.38734</v>
      </c>
      <c r="X25" s="131">
        <f>W25+'1-Ф3'!X29</f>
        <v>4180.38734</v>
      </c>
      <c r="Y25" s="131">
        <f>X25+'1-Ф3'!Y29</f>
        <v>4180.38734</v>
      </c>
      <c r="Z25" s="131">
        <f>Y25+'1-Ф3'!Z29</f>
        <v>4180.38734</v>
      </c>
      <c r="AA25" s="131">
        <f>Z25+'1-Ф3'!AA29</f>
        <v>4180.38734</v>
      </c>
      <c r="AB25" s="131">
        <f>AA25+'1-Ф3'!AB29</f>
        <v>4180.38734</v>
      </c>
      <c r="AC25" s="131">
        <f>AB25</f>
        <v>4180.38734</v>
      </c>
      <c r="AD25" s="131">
        <f>AC25+'1-Ф3'!AD29</f>
        <v>4180.38734</v>
      </c>
      <c r="AE25" s="131">
        <f>AD25+'1-Ф3'!AE29</f>
        <v>4180.38734</v>
      </c>
      <c r="AF25" s="131">
        <f>AE25+'1-Ф3'!AF29</f>
        <v>4180.38734</v>
      </c>
      <c r="AG25" s="131">
        <f>AF25+'1-Ф3'!AG29</f>
        <v>4180.38734</v>
      </c>
      <c r="AH25" s="131">
        <f>AG25+'1-Ф3'!AH29</f>
        <v>4180.38734</v>
      </c>
      <c r="AI25" s="131">
        <f>AH25+'1-Ф3'!AI29</f>
        <v>4180.38734</v>
      </c>
      <c r="AJ25" s="131">
        <f>AI25+'1-Ф3'!AJ29</f>
        <v>4180.38734</v>
      </c>
    </row>
    <row r="26" spans="1:36" ht="15" customHeight="1">
      <c r="A26" s="129" t="s">
        <v>122</v>
      </c>
      <c r="B26" s="125"/>
      <c r="C26" s="131"/>
      <c r="D26" s="131">
        <f>'2-ф2'!D18</f>
        <v>0</v>
      </c>
      <c r="E26" s="131">
        <f>'2-ф2'!E18</f>
        <v>0</v>
      </c>
      <c r="F26" s="131">
        <f>'2-ф2'!F18</f>
        <v>0</v>
      </c>
      <c r="G26" s="131">
        <f>'2-ф2'!G18</f>
        <v>0</v>
      </c>
      <c r="H26" s="131">
        <f>'2-ф2'!H18</f>
        <v>0</v>
      </c>
      <c r="I26" s="131">
        <f>'2-ф2'!I18</f>
        <v>0</v>
      </c>
      <c r="J26" s="131">
        <f>'2-ф2'!J18</f>
        <v>0</v>
      </c>
      <c r="K26" s="131">
        <f>'2-ф2'!K18</f>
        <v>0</v>
      </c>
      <c r="L26" s="131">
        <f>'2-ф2'!L18</f>
        <v>0</v>
      </c>
      <c r="M26" s="131">
        <f>'2-ф2'!M18</f>
        <v>0</v>
      </c>
      <c r="N26" s="131">
        <f>'2-ф2'!N18</f>
        <v>0</v>
      </c>
      <c r="O26" s="131">
        <f>'2-ф2'!O18</f>
        <v>-92.29971960416668</v>
      </c>
      <c r="P26" s="131">
        <f>'2-ф2'!P18</f>
        <v>-92.29971960416668</v>
      </c>
      <c r="Q26" s="131">
        <f>'2-ф2'!Q18</f>
        <v>-56.30460322794133</v>
      </c>
      <c r="R26" s="131">
        <f>'2-ф2'!R18</f>
        <v>57.69210621123548</v>
      </c>
      <c r="S26" s="131">
        <f>'2-ф2'!S18</f>
        <v>252.58783833508653</v>
      </c>
      <c r="T26" s="131">
        <f>'2-ф2'!T18</f>
        <v>528.3932133077099</v>
      </c>
      <c r="U26" s="131">
        <f>'2-ф2'!U18</f>
        <v>806.0404901191607</v>
      </c>
      <c r="V26" s="131">
        <f>'2-ф2'!V18</f>
        <v>1164.6188363218325</v>
      </c>
      <c r="W26" s="131">
        <f>'2-ф2'!W18</f>
        <v>1525.0606358939447</v>
      </c>
      <c r="X26" s="131">
        <f>'2-ф2'!X18</f>
        <v>1887.3767589801523</v>
      </c>
      <c r="Y26" s="131">
        <f>'2-ф2'!Y18</f>
        <v>2330.656562259288</v>
      </c>
      <c r="Z26" s="131">
        <f>'2-ф2'!Z18</f>
        <v>2854.9110430642477</v>
      </c>
      <c r="AA26" s="131">
        <f>'2-ф2'!AA18</f>
        <v>3381.072839754036</v>
      </c>
      <c r="AB26" s="131">
        <f>'2-ф2'!AB18</f>
        <v>3909.1530783379812</v>
      </c>
      <c r="AC26" s="131">
        <f>'2-ф2'!AC18</f>
        <v>3909.1530783379812</v>
      </c>
      <c r="AD26" s="131">
        <f>'2-ф2'!AD18</f>
        <v>10008.098215386923</v>
      </c>
      <c r="AE26" s="131">
        <f>'2-ф2'!AE18</f>
        <v>17072.50074873672</v>
      </c>
      <c r="AF26" s="131">
        <f>'2-ф2'!AF18</f>
        <v>25111.290388449455</v>
      </c>
      <c r="AG26" s="131">
        <f>'2-ф2'!AG18</f>
        <v>33923.55731026415</v>
      </c>
      <c r="AH26" s="131">
        <f>'2-ф2'!AH18</f>
        <v>43370.88534920635</v>
      </c>
      <c r="AI26" s="131">
        <f>'2-ф2'!AI18</f>
        <v>53441.40559725743</v>
      </c>
      <c r="AJ26" s="131">
        <f>'2-ф2'!AJ18</f>
        <v>64122.65570099781</v>
      </c>
    </row>
    <row r="28" spans="1:36" ht="12.75">
      <c r="A28" s="134" t="s">
        <v>123</v>
      </c>
      <c r="B28" s="135"/>
      <c r="C28" s="136">
        <f aca="true" t="shared" si="12" ref="C28:AH28">C5-C16</f>
        <v>0</v>
      </c>
      <c r="D28" s="247">
        <f t="shared" si="12"/>
        <v>0</v>
      </c>
      <c r="E28" s="247">
        <f t="shared" si="12"/>
        <v>0</v>
      </c>
      <c r="F28" s="247">
        <f t="shared" si="12"/>
        <v>0</v>
      </c>
      <c r="G28" s="247">
        <f t="shared" si="12"/>
        <v>0</v>
      </c>
      <c r="H28" s="247">
        <f t="shared" si="12"/>
        <v>0</v>
      </c>
      <c r="I28" s="247">
        <f t="shared" si="12"/>
        <v>0</v>
      </c>
      <c r="J28" s="247">
        <f t="shared" si="12"/>
        <v>0</v>
      </c>
      <c r="K28" s="247">
        <f t="shared" si="12"/>
        <v>0</v>
      </c>
      <c r="L28" s="247">
        <f t="shared" si="12"/>
        <v>0</v>
      </c>
      <c r="M28" s="247">
        <f t="shared" si="12"/>
        <v>0</v>
      </c>
      <c r="N28" s="247">
        <f t="shared" si="12"/>
        <v>0</v>
      </c>
      <c r="O28" s="247">
        <f t="shared" si="12"/>
        <v>0</v>
      </c>
      <c r="P28" s="247">
        <f>P5-P16</f>
        <v>0</v>
      </c>
      <c r="Q28" s="247">
        <f t="shared" si="12"/>
        <v>0</v>
      </c>
      <c r="R28" s="247">
        <f t="shared" si="12"/>
        <v>0</v>
      </c>
      <c r="S28" s="247">
        <f t="shared" si="12"/>
        <v>0</v>
      </c>
      <c r="T28" s="247">
        <f t="shared" si="12"/>
        <v>0</v>
      </c>
      <c r="U28" s="247">
        <f t="shared" si="12"/>
        <v>0</v>
      </c>
      <c r="V28" s="247">
        <f t="shared" si="12"/>
        <v>0</v>
      </c>
      <c r="W28" s="247">
        <f t="shared" si="12"/>
        <v>0</v>
      </c>
      <c r="X28" s="247">
        <f t="shared" si="12"/>
        <v>0</v>
      </c>
      <c r="Y28" s="247">
        <f t="shared" si="12"/>
        <v>0</v>
      </c>
      <c r="Z28" s="247">
        <f t="shared" si="12"/>
        <v>0</v>
      </c>
      <c r="AA28" s="247">
        <f t="shared" si="12"/>
        <v>0</v>
      </c>
      <c r="AB28" s="247">
        <f t="shared" si="12"/>
        <v>0</v>
      </c>
      <c r="AC28" s="247">
        <f t="shared" si="12"/>
        <v>0</v>
      </c>
      <c r="AD28" s="247">
        <f t="shared" si="12"/>
        <v>0</v>
      </c>
      <c r="AE28" s="247">
        <f t="shared" si="12"/>
        <v>0</v>
      </c>
      <c r="AF28" s="247">
        <f t="shared" si="12"/>
        <v>0</v>
      </c>
      <c r="AG28" s="247">
        <f t="shared" si="12"/>
        <v>0</v>
      </c>
      <c r="AH28" s="247">
        <f t="shared" si="12"/>
        <v>0</v>
      </c>
      <c r="AI28" s="247">
        <f>AI5-AI16</f>
        <v>0</v>
      </c>
      <c r="AJ28" s="247">
        <f>AJ5-AJ16</f>
        <v>0</v>
      </c>
    </row>
    <row r="29" spans="4:36" ht="12.75" hidden="1"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</row>
    <row r="30" spans="1:36" ht="12.75" hidden="1">
      <c r="A30" s="117" t="s">
        <v>122</v>
      </c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>
        <f>P26</f>
        <v>-92.29971960416668</v>
      </c>
      <c r="Q30" s="257">
        <f>'[45]ф2'!Q32</f>
        <v>109.48954266069855</v>
      </c>
      <c r="R30" s="257">
        <f>'[45]ф2'!R32</f>
        <v>109.48954266069855</v>
      </c>
      <c r="S30" s="257">
        <f>'[45]ф2'!S32</f>
        <v>108.45296951069854</v>
      </c>
      <c r="T30" s="257">
        <f>'[45]ф2'!T32</f>
        <v>106.37982321069852</v>
      </c>
      <c r="U30" s="257">
        <f>'[45]ф2'!U32</f>
        <v>103.27010376069849</v>
      </c>
      <c r="V30" s="257">
        <f>'[45]ф2'!V32</f>
        <v>103.27010376069849</v>
      </c>
      <c r="W30" s="257">
        <f>'[45]ф2'!W32</f>
        <v>103.27010376069849</v>
      </c>
      <c r="X30" s="257">
        <f>'[45]ф2'!X32</f>
        <v>99.20125340855881</v>
      </c>
      <c r="Y30" s="257">
        <f>'[45]ф2'!Y32</f>
        <v>99.20125340855881</v>
      </c>
      <c r="Z30" s="257">
        <f>'[45]ф2'!Z32</f>
        <v>99.20125340855881</v>
      </c>
      <c r="AA30" s="257">
        <f>'[45]ф2'!AA32</f>
        <v>99.20125340855881</v>
      </c>
      <c r="AB30" s="257">
        <f>'[45]ф2'!AB32</f>
        <v>82.61608300855879</v>
      </c>
      <c r="AC30" s="257">
        <f>AC26-P26</f>
        <v>4001.4527979421478</v>
      </c>
      <c r="AD30" s="257">
        <f>AD26-AC26</f>
        <v>6098.945137048941</v>
      </c>
      <c r="AE30" s="257">
        <f>AE26-AD26</f>
        <v>7064.402533349796</v>
      </c>
      <c r="AF30" s="257">
        <f>AF26-AE26</f>
        <v>8038.789639712737</v>
      </c>
      <c r="AG30" s="257">
        <f>AG26-AF26</f>
        <v>8812.266921814695</v>
      </c>
      <c r="AH30" s="257">
        <f>AH26-AG26</f>
        <v>9447.3280389422</v>
      </c>
      <c r="AI30" s="257"/>
      <c r="AJ30" s="257"/>
    </row>
    <row r="31" spans="1:36" ht="12.75" hidden="1">
      <c r="A31" s="117" t="s">
        <v>124</v>
      </c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>
        <f>(P8+P10+P13+P14)-(C8+C10+C13+C14)</f>
        <v>0</v>
      </c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>
        <f>(AC8+AC10+AC13+AC14)-(P8+P10+P13+P14)</f>
        <v>0</v>
      </c>
      <c r="AD31" s="257">
        <f>(AD8+AD10+AD13+AD14)-(AC8+AC10+AC13+AC14)</f>
        <v>0</v>
      </c>
      <c r="AE31" s="257">
        <f>(AE8+AE10+AE13+AE14)-(AD8+AD10+AD13+AD14)</f>
        <v>0</v>
      </c>
      <c r="AF31" s="257">
        <f>(AF8+AF10+AF13+AF14)-(AE8+AE10+AE13+AE14)</f>
        <v>0</v>
      </c>
      <c r="AG31" s="257">
        <f>(AG8+AG10+AG13+AG14)-(AF8+AF10+AF13+AF14)</f>
        <v>0</v>
      </c>
      <c r="AH31" s="257">
        <f>(AH8+AH10+AH13+AH14)-(AG8+AG10+AG13+AG14)</f>
        <v>0</v>
      </c>
      <c r="AI31" s="257"/>
      <c r="AJ31" s="257"/>
    </row>
    <row r="32" spans="1:36" ht="12.75" hidden="1">
      <c r="A32" s="117" t="s">
        <v>125</v>
      </c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>
        <f>P9-C9</f>
        <v>591.401415</v>
      </c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>
        <f>AC9-P9</f>
        <v>0</v>
      </c>
      <c r="AD32" s="257">
        <f>AD9-AC9</f>
        <v>0</v>
      </c>
      <c r="AE32" s="257">
        <f>AE9-AD9</f>
        <v>0</v>
      </c>
      <c r="AF32" s="257">
        <f>AF9-AE9</f>
        <v>0</v>
      </c>
      <c r="AG32" s="257">
        <f>AG9-AF9</f>
        <v>0</v>
      </c>
      <c r="AH32" s="257">
        <f>AH9-AG9</f>
        <v>-1.8189894035458565E-12</v>
      </c>
      <c r="AI32" s="257"/>
      <c r="AJ32" s="257"/>
    </row>
    <row r="33" spans="1:36" ht="12.75" hidden="1">
      <c r="A33" s="117" t="s">
        <v>126</v>
      </c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>
        <f>(P21+P17)-(C21+C17)</f>
        <v>15915.108794604168</v>
      </c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>
        <f>(AC21+AC17)-(P21+P17)</f>
        <v>-3442.7367932485995</v>
      </c>
      <c r="AD33" s="257">
        <f>(AD21+AD17)-(AC21+AC17)</f>
        <v>-4123.308416180045</v>
      </c>
      <c r="AE33" s="257">
        <f>(AE21+AE17)-(AD21+AD17)</f>
        <v>-4421.382714980904</v>
      </c>
      <c r="AF33" s="257">
        <f>(AF21+AF17)-(AE21+AE17)</f>
        <v>-3927.68087019454</v>
      </c>
      <c r="AG33" s="257">
        <f>(AG21+AG17)-(AF21+AF17)</f>
        <v>0</v>
      </c>
      <c r="AH33" s="257">
        <f>(AH21+AH17)-(AG21+AG17)</f>
        <v>0</v>
      </c>
      <c r="AI33" s="257"/>
      <c r="AJ33" s="257"/>
    </row>
    <row r="34" spans="1:36" ht="12.75" hidden="1">
      <c r="A34" s="117" t="s">
        <v>127</v>
      </c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>
        <f>-P31+P32+P33</f>
        <v>16506.510209604166</v>
      </c>
      <c r="Q34" s="257">
        <f aca="true" t="shared" si="13" ref="Q34:AB34">Q31+Q32+Q33</f>
        <v>0</v>
      </c>
      <c r="R34" s="257">
        <f t="shared" si="13"/>
        <v>0</v>
      </c>
      <c r="S34" s="257">
        <f t="shared" si="13"/>
        <v>0</v>
      </c>
      <c r="T34" s="257">
        <f t="shared" si="13"/>
        <v>0</v>
      </c>
      <c r="U34" s="257">
        <f t="shared" si="13"/>
        <v>0</v>
      </c>
      <c r="V34" s="257">
        <f t="shared" si="13"/>
        <v>0</v>
      </c>
      <c r="W34" s="257">
        <f t="shared" si="13"/>
        <v>0</v>
      </c>
      <c r="X34" s="257">
        <f t="shared" si="13"/>
        <v>0</v>
      </c>
      <c r="Y34" s="257">
        <f t="shared" si="13"/>
        <v>0</v>
      </c>
      <c r="Z34" s="257">
        <f t="shared" si="13"/>
        <v>0</v>
      </c>
      <c r="AA34" s="257">
        <f t="shared" si="13"/>
        <v>0</v>
      </c>
      <c r="AB34" s="257">
        <f t="shared" si="13"/>
        <v>0</v>
      </c>
      <c r="AC34" s="257">
        <f aca="true" t="shared" si="14" ref="AC34:AH34">-AC31+AC32+AC33</f>
        <v>-3442.7367932485995</v>
      </c>
      <c r="AD34" s="257">
        <f t="shared" si="14"/>
        <v>-4123.308416180045</v>
      </c>
      <c r="AE34" s="257">
        <f t="shared" si="14"/>
        <v>-4421.382714980904</v>
      </c>
      <c r="AF34" s="257">
        <f t="shared" si="14"/>
        <v>-3927.68087019454</v>
      </c>
      <c r="AG34" s="257">
        <f t="shared" si="14"/>
        <v>0</v>
      </c>
      <c r="AH34" s="257">
        <f t="shared" si="14"/>
        <v>-1.8189894035458565E-12</v>
      </c>
      <c r="AI34" s="257"/>
      <c r="AJ34" s="257"/>
    </row>
    <row r="35" spans="1:36" ht="12.75" hidden="1">
      <c r="A35" s="117" t="s">
        <v>69</v>
      </c>
      <c r="D35" s="257"/>
      <c r="E35" s="257"/>
      <c r="F35" s="257"/>
      <c r="G35" s="257"/>
      <c r="H35" s="257"/>
      <c r="I35" s="257"/>
      <c r="J35" s="257"/>
      <c r="K35" s="257"/>
      <c r="L35" s="257"/>
      <c r="M35" s="257"/>
      <c r="N35" s="257"/>
      <c r="O35" s="257"/>
      <c r="P35" s="257">
        <f>'2-ф2'!P13</f>
        <v>0</v>
      </c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>
        <f>'2-ф2'!AC13</f>
        <v>1271.637588235294</v>
      </c>
      <c r="AD35" s="257">
        <f>'2-ф2'!AD13</f>
        <v>1271.637588235294</v>
      </c>
      <c r="AE35" s="257">
        <f>'2-ф2'!AE13</f>
        <v>1271.637588235294</v>
      </c>
      <c r="AF35" s="257">
        <f>'2-ф2'!AF13</f>
        <v>1271.637588235294</v>
      </c>
      <c r="AG35" s="257">
        <f>'2-ф2'!AG13</f>
        <v>1271.637588235294</v>
      </c>
      <c r="AH35" s="257">
        <f>'2-ф2'!AH13</f>
        <v>1271.637588235294</v>
      </c>
      <c r="AI35" s="257"/>
      <c r="AJ35" s="257"/>
    </row>
    <row r="36" spans="1:36" ht="12.75" hidden="1">
      <c r="A36" s="117" t="s">
        <v>128</v>
      </c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>
        <f>-'1-Ф3'!P22</f>
        <v>-18615.0695</v>
      </c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  <c r="AC36" s="257">
        <f>-'1-Ф3'!AC22</f>
        <v>0</v>
      </c>
      <c r="AD36" s="257">
        <f>-'1-Ф3'!AD22</f>
        <v>0</v>
      </c>
      <c r="AE36" s="257">
        <f>-'1-Ф3'!AE22</f>
        <v>0</v>
      </c>
      <c r="AF36" s="257">
        <f>-'1-Ф3'!AF22</f>
        <v>0</v>
      </c>
      <c r="AG36" s="257">
        <f>-'1-Ф3'!AG22</f>
        <v>0</v>
      </c>
      <c r="AH36" s="257">
        <f>-'1-Ф3'!AH22</f>
        <v>0</v>
      </c>
      <c r="AI36" s="257"/>
      <c r="AJ36" s="257"/>
    </row>
    <row r="37" spans="1:36" ht="12.75" hidden="1">
      <c r="A37" s="117" t="s">
        <v>129</v>
      </c>
      <c r="D37" s="257"/>
      <c r="E37" s="257"/>
      <c r="F37" s="257"/>
      <c r="G37" s="257"/>
      <c r="H37" s="257"/>
      <c r="I37" s="257"/>
      <c r="J37" s="257"/>
      <c r="K37" s="257"/>
      <c r="L37" s="257"/>
      <c r="M37" s="257"/>
      <c r="N37" s="257"/>
      <c r="O37" s="257"/>
      <c r="P37" s="257">
        <f>P30+P34+P35+P36+P25</f>
        <v>1182.8028299999996</v>
      </c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7">
        <f aca="true" t="shared" si="15" ref="AC37:AH37">AC30+AC34+AC35+AC36</f>
        <v>1830.3535929288423</v>
      </c>
      <c r="AD37" s="257">
        <f t="shared" si="15"/>
        <v>3247.2743091041903</v>
      </c>
      <c r="AE37" s="257">
        <f t="shared" si="15"/>
        <v>3914.657406604186</v>
      </c>
      <c r="AF37" s="257">
        <f t="shared" si="15"/>
        <v>5382.746357753491</v>
      </c>
      <c r="AG37" s="257">
        <f t="shared" si="15"/>
        <v>10083.90451004999</v>
      </c>
      <c r="AH37" s="257">
        <f t="shared" si="15"/>
        <v>10718.965627177491</v>
      </c>
      <c r="AI37" s="257"/>
      <c r="AJ37" s="257"/>
    </row>
    <row r="38" spans="4:36" ht="12.75" hidden="1"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  <c r="AC38" s="257"/>
      <c r="AD38" s="257"/>
      <c r="AE38" s="257"/>
      <c r="AF38" s="257"/>
      <c r="AG38" s="257"/>
      <c r="AH38" s="257"/>
      <c r="AI38" s="257"/>
      <c r="AJ38" s="257"/>
    </row>
    <row r="39" spans="1:36" ht="12.75" hidden="1">
      <c r="A39" s="117" t="s">
        <v>135</v>
      </c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>
        <f>'1-Ф3'!P35</f>
        <v>0</v>
      </c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7">
        <f>'1-Ф3'!AC35</f>
        <v>2627.0790929288364</v>
      </c>
      <c r="AD39" s="257">
        <f>'1-Ф3'!AD35</f>
        <v>3247.2743091041866</v>
      </c>
      <c r="AE39" s="257">
        <f>'1-Ф3'!AE35</f>
        <v>3914.657406604185</v>
      </c>
      <c r="AF39" s="257">
        <f>'1-Ф3'!AF35</f>
        <v>5382.746357753488</v>
      </c>
      <c r="AG39" s="257">
        <f>'1-Ф3'!AG35</f>
        <v>10083.904510049986</v>
      </c>
      <c r="AH39" s="257">
        <f>'1-Ф3'!AH35</f>
        <v>10718.965627177487</v>
      </c>
      <c r="AI39" s="257"/>
      <c r="AJ39" s="257"/>
    </row>
    <row r="40" spans="1:36" ht="12.75" hidden="1">
      <c r="A40" s="134" t="s">
        <v>123</v>
      </c>
      <c r="B40" s="135"/>
      <c r="C40" s="136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>
        <f>P39-P37</f>
        <v>-1182.8028299999996</v>
      </c>
      <c r="Q40" s="247">
        <f aca="true" t="shared" si="16" ref="Q40:AB40">Q39-Q37</f>
        <v>0</v>
      </c>
      <c r="R40" s="247">
        <f t="shared" si="16"/>
        <v>0</v>
      </c>
      <c r="S40" s="247">
        <f t="shared" si="16"/>
        <v>0</v>
      </c>
      <c r="T40" s="247">
        <f t="shared" si="16"/>
        <v>0</v>
      </c>
      <c r="U40" s="247">
        <f t="shared" si="16"/>
        <v>0</v>
      </c>
      <c r="V40" s="247">
        <f t="shared" si="16"/>
        <v>0</v>
      </c>
      <c r="W40" s="247">
        <f t="shared" si="16"/>
        <v>0</v>
      </c>
      <c r="X40" s="247">
        <f t="shared" si="16"/>
        <v>0</v>
      </c>
      <c r="Y40" s="247">
        <f t="shared" si="16"/>
        <v>0</v>
      </c>
      <c r="Z40" s="247">
        <f t="shared" si="16"/>
        <v>0</v>
      </c>
      <c r="AA40" s="247">
        <f t="shared" si="16"/>
        <v>0</v>
      </c>
      <c r="AB40" s="247">
        <f t="shared" si="16"/>
        <v>0</v>
      </c>
      <c r="AC40" s="247">
        <f aca="true" t="shared" si="17" ref="AC40:AH40">AC39-AC37</f>
        <v>796.7254999999941</v>
      </c>
      <c r="AD40" s="247">
        <f t="shared" si="17"/>
        <v>-3.637978807091713E-12</v>
      </c>
      <c r="AE40" s="247">
        <f t="shared" si="17"/>
        <v>0</v>
      </c>
      <c r="AF40" s="247">
        <f t="shared" si="17"/>
        <v>0</v>
      </c>
      <c r="AG40" s="247">
        <f t="shared" si="17"/>
        <v>0</v>
      </c>
      <c r="AH40" s="247">
        <f t="shared" si="17"/>
        <v>0</v>
      </c>
      <c r="AI40" s="257"/>
      <c r="AJ40" s="257"/>
    </row>
    <row r="41" spans="4:36" ht="12.75">
      <c r="D41" s="257"/>
      <c r="E41" s="257"/>
      <c r="F41" s="257">
        <f aca="true" t="shared" si="18" ref="F41:AJ41">F28-E28</f>
        <v>0</v>
      </c>
      <c r="G41" s="257">
        <f t="shared" si="18"/>
        <v>0</v>
      </c>
      <c r="H41" s="257">
        <f t="shared" si="18"/>
        <v>0</v>
      </c>
      <c r="I41" s="257">
        <f t="shared" si="18"/>
        <v>0</v>
      </c>
      <c r="J41" s="257">
        <f t="shared" si="18"/>
        <v>0</v>
      </c>
      <c r="K41" s="257">
        <f t="shared" si="18"/>
        <v>0</v>
      </c>
      <c r="L41" s="257">
        <f t="shared" si="18"/>
        <v>0</v>
      </c>
      <c r="M41" s="257">
        <f t="shared" si="18"/>
        <v>0</v>
      </c>
      <c r="N41" s="257">
        <f t="shared" si="18"/>
        <v>0</v>
      </c>
      <c r="O41" s="257">
        <f t="shared" si="18"/>
        <v>0</v>
      </c>
      <c r="P41" s="257">
        <f t="shared" si="18"/>
        <v>0</v>
      </c>
      <c r="Q41" s="257">
        <f t="shared" si="18"/>
        <v>0</v>
      </c>
      <c r="R41" s="257">
        <f t="shared" si="18"/>
        <v>0</v>
      </c>
      <c r="S41" s="257">
        <f t="shared" si="18"/>
        <v>0</v>
      </c>
      <c r="T41" s="257">
        <f t="shared" si="18"/>
        <v>0</v>
      </c>
      <c r="U41" s="257">
        <f t="shared" si="18"/>
        <v>0</v>
      </c>
      <c r="V41" s="257">
        <f t="shared" si="18"/>
        <v>0</v>
      </c>
      <c r="W41" s="257">
        <f t="shared" si="18"/>
        <v>0</v>
      </c>
      <c r="X41" s="257">
        <f t="shared" si="18"/>
        <v>0</v>
      </c>
      <c r="Y41" s="257">
        <f t="shared" si="18"/>
        <v>0</v>
      </c>
      <c r="Z41" s="257">
        <f t="shared" si="18"/>
        <v>0</v>
      </c>
      <c r="AA41" s="257">
        <f t="shared" si="18"/>
        <v>0</v>
      </c>
      <c r="AB41" s="257">
        <f t="shared" si="18"/>
        <v>0</v>
      </c>
      <c r="AC41" s="257">
        <f t="shared" si="18"/>
        <v>0</v>
      </c>
      <c r="AD41" s="257">
        <f t="shared" si="18"/>
        <v>0</v>
      </c>
      <c r="AE41" s="257">
        <f t="shared" si="18"/>
        <v>0</v>
      </c>
      <c r="AF41" s="257">
        <f t="shared" si="18"/>
        <v>0</v>
      </c>
      <c r="AG41" s="257">
        <f t="shared" si="18"/>
        <v>0</v>
      </c>
      <c r="AH41" s="257">
        <f t="shared" si="18"/>
        <v>0</v>
      </c>
      <c r="AI41" s="257">
        <f t="shared" si="18"/>
        <v>0</v>
      </c>
      <c r="AJ41" s="257">
        <f t="shared" si="18"/>
        <v>0</v>
      </c>
    </row>
  </sheetData>
  <sheetProtection/>
  <mergeCells count="4">
    <mergeCell ref="A3:A4"/>
    <mergeCell ref="B3:B4"/>
    <mergeCell ref="D3:P3"/>
    <mergeCell ref="Q3:AC3"/>
  </mergeCells>
  <printOptions/>
  <pageMargins left="0.35433070866141736" right="0.2362204724409449" top="0.7874015748031497" bottom="0.2362204724409449" header="0.3937007874015748" footer="0.15748031496062992"/>
  <pageSetup horizontalDpi="600" verticalDpi="600" orientation="landscape" paperSize="9" r:id="rId1"/>
  <headerFooter alignWithMargins="0">
    <oddHeader>&amp;RПриложение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40"/>
  <sheetViews>
    <sheetView showGridLines="0" zoomScalePageLayoutView="0" workbookViewId="0" topLeftCell="A1">
      <pane ySplit="3" topLeftCell="A8" activePane="bottomLeft" state="frozen"/>
      <selection pane="topLeft" activeCell="A34" sqref="A34"/>
      <selection pane="bottomLeft" activeCell="C7" sqref="C7"/>
    </sheetView>
  </sheetViews>
  <sheetFormatPr defaultColWidth="9.00390625" defaultRowHeight="12.75"/>
  <cols>
    <col min="1" max="1" width="35.00390625" style="76" customWidth="1"/>
    <col min="2" max="2" width="18.75390625" style="76" customWidth="1"/>
    <col min="3" max="3" width="14.25390625" style="76" customWidth="1"/>
    <col min="4" max="4" width="68.625" style="76" customWidth="1"/>
    <col min="5" max="6" width="9.125" style="76" customWidth="1"/>
    <col min="7" max="7" width="3.75390625" style="76" customWidth="1"/>
    <col min="8" max="8" width="14.00390625" style="76" customWidth="1"/>
    <col min="9" max="9" width="14.875" style="76" customWidth="1"/>
    <col min="10" max="10" width="15.75390625" style="76" customWidth="1"/>
    <col min="11" max="12" width="9.125" style="76" customWidth="1"/>
    <col min="13" max="13" width="14.375" style="76" customWidth="1"/>
    <col min="14" max="16384" width="9.125" style="76" customWidth="1"/>
  </cols>
  <sheetData>
    <row r="1" spans="1:3" ht="12.75">
      <c r="A1" s="341" t="s">
        <v>34</v>
      </c>
      <c r="B1" s="341"/>
      <c r="C1" s="341"/>
    </row>
    <row r="2" ht="4.5" customHeight="1">
      <c r="A2" s="60"/>
    </row>
    <row r="3" spans="1:3" ht="12.75">
      <c r="A3" s="77" t="s">
        <v>24</v>
      </c>
      <c r="B3" s="78" t="s">
        <v>35</v>
      </c>
      <c r="C3" s="78" t="s">
        <v>6</v>
      </c>
    </row>
    <row r="4" ht="12.75">
      <c r="A4" s="60" t="s">
        <v>137</v>
      </c>
    </row>
    <row r="5" spans="1:3" ht="12.75">
      <c r="A5" s="79" t="s">
        <v>94</v>
      </c>
      <c r="B5" s="79"/>
      <c r="C5" s="226">
        <v>151.95</v>
      </c>
    </row>
    <row r="6" spans="1:3" ht="12.75">
      <c r="A6" s="79" t="s">
        <v>147</v>
      </c>
      <c r="B6" s="79"/>
      <c r="C6" s="226">
        <v>4.57</v>
      </c>
    </row>
    <row r="7" spans="1:4" ht="12.75">
      <c r="A7" s="79" t="s">
        <v>65</v>
      </c>
      <c r="B7" s="79"/>
      <c r="C7" s="154">
        <f>15%*C9+C37*(1-C22)*(1-C9)</f>
        <v>0.08505774786656765</v>
      </c>
      <c r="D7" s="76" t="s">
        <v>240</v>
      </c>
    </row>
    <row r="8" spans="1:4" ht="12.75">
      <c r="A8" s="150" t="s">
        <v>186</v>
      </c>
      <c r="B8" s="79"/>
      <c r="C8" s="154"/>
      <c r="D8" s="244"/>
    </row>
    <row r="9" spans="1:3" ht="12.75">
      <c r="A9" s="79" t="s">
        <v>197</v>
      </c>
      <c r="B9" s="79"/>
      <c r="C9" s="154">
        <f>'1-Ф3'!B29/'1-Ф3'!B28</f>
        <v>0.20898596670606154</v>
      </c>
    </row>
    <row r="10" spans="1:3" ht="12.75">
      <c r="A10" s="79" t="s">
        <v>96</v>
      </c>
      <c r="B10" s="79"/>
      <c r="C10" s="154">
        <f>'1-Ф3'!B30/'1-Ф3'!B28</f>
        <v>0.7910140332939384</v>
      </c>
    </row>
    <row r="11" spans="1:3" ht="12.75">
      <c r="A11" s="79" t="s">
        <v>130</v>
      </c>
      <c r="B11" s="79"/>
      <c r="C11" s="83" t="s">
        <v>51</v>
      </c>
    </row>
    <row r="12" ht="12.75">
      <c r="A12" s="60" t="s">
        <v>131</v>
      </c>
    </row>
    <row r="13" spans="1:4" ht="12.75">
      <c r="A13" s="79" t="s">
        <v>41</v>
      </c>
      <c r="B13" s="81" t="s">
        <v>37</v>
      </c>
      <c r="C13" s="82">
        <v>0.1</v>
      </c>
      <c r="D13" s="76" t="s">
        <v>211</v>
      </c>
    </row>
    <row r="14" spans="1:4" ht="12.75">
      <c r="A14" s="79" t="s">
        <v>46</v>
      </c>
      <c r="B14" s="81" t="s">
        <v>37</v>
      </c>
      <c r="C14" s="82">
        <v>0.05</v>
      </c>
      <c r="D14" s="76" t="s">
        <v>211</v>
      </c>
    </row>
    <row r="15" spans="1:3" ht="12.75">
      <c r="A15" s="79" t="s">
        <v>42</v>
      </c>
      <c r="B15" s="81" t="s">
        <v>37</v>
      </c>
      <c r="C15" s="82">
        <v>0.1</v>
      </c>
    </row>
    <row r="16" spans="1:3" ht="12.75" hidden="1">
      <c r="A16" s="79" t="s">
        <v>44</v>
      </c>
      <c r="B16" s="81" t="s">
        <v>37</v>
      </c>
      <c r="C16" s="82">
        <f>6%*0</f>
        <v>0</v>
      </c>
    </row>
    <row r="17" spans="1:3" ht="12.75">
      <c r="A17" s="79" t="s">
        <v>104</v>
      </c>
      <c r="B17" s="81" t="s">
        <v>51</v>
      </c>
      <c r="C17" s="84">
        <v>18.66</v>
      </c>
    </row>
    <row r="18" spans="1:3" ht="12.75" hidden="1">
      <c r="A18" s="79" t="s">
        <v>1</v>
      </c>
      <c r="B18" s="81"/>
      <c r="C18" s="234">
        <f>1.5%</f>
        <v>0.015</v>
      </c>
    </row>
    <row r="19" spans="1:4" s="291" customFormat="1" ht="25.5">
      <c r="A19" s="113" t="s">
        <v>36</v>
      </c>
      <c r="B19" s="240" t="s">
        <v>37</v>
      </c>
      <c r="C19" s="289">
        <v>0</v>
      </c>
      <c r="D19" s="290" t="s">
        <v>236</v>
      </c>
    </row>
    <row r="20" spans="1:3" ht="12.75">
      <c r="A20" s="79" t="s">
        <v>52</v>
      </c>
      <c r="B20" s="79"/>
      <c r="C20" s="80">
        <v>1</v>
      </c>
    </row>
    <row r="21" spans="1:3" ht="12.75" hidden="1">
      <c r="A21" s="79" t="s">
        <v>200</v>
      </c>
      <c r="B21" s="81" t="s">
        <v>37</v>
      </c>
      <c r="C21" s="82">
        <v>0.03</v>
      </c>
    </row>
    <row r="22" spans="1:4" ht="12.75">
      <c r="A22" s="79" t="s">
        <v>242</v>
      </c>
      <c r="B22" s="79"/>
      <c r="C22" s="82">
        <v>0.03</v>
      </c>
      <c r="D22" s="76" t="s">
        <v>241</v>
      </c>
    </row>
    <row r="23" ht="12.75">
      <c r="A23" s="60" t="s">
        <v>253</v>
      </c>
    </row>
    <row r="24" spans="1:3" ht="12.75" customHeight="1">
      <c r="A24" s="113" t="s">
        <v>288</v>
      </c>
      <c r="B24" s="240" t="s">
        <v>289</v>
      </c>
      <c r="C24" s="292">
        <f>(7+30)/2-3</f>
        <v>15.5</v>
      </c>
    </row>
    <row r="25" spans="1:3" ht="12.75" customHeight="1">
      <c r="A25" s="113" t="s">
        <v>291</v>
      </c>
      <c r="B25" s="240" t="s">
        <v>292</v>
      </c>
      <c r="C25" s="292">
        <v>5</v>
      </c>
    </row>
    <row r="26" spans="1:3" ht="12.75">
      <c r="A26" s="79" t="s">
        <v>255</v>
      </c>
      <c r="B26" s="81" t="s">
        <v>254</v>
      </c>
      <c r="C26" s="292">
        <v>20</v>
      </c>
    </row>
    <row r="27" spans="1:3" ht="12.75">
      <c r="A27" s="79" t="s">
        <v>293</v>
      </c>
      <c r="B27" s="81" t="s">
        <v>294</v>
      </c>
      <c r="C27" s="292">
        <v>3</v>
      </c>
    </row>
    <row r="28" spans="1:4" ht="12.75">
      <c r="A28" s="60" t="s">
        <v>217</v>
      </c>
      <c r="D28" s="305" t="s">
        <v>297</v>
      </c>
    </row>
    <row r="29" spans="1:4" ht="12.75" customHeight="1">
      <c r="A29" s="113" t="s">
        <v>295</v>
      </c>
      <c r="B29" s="240" t="s">
        <v>256</v>
      </c>
      <c r="C29" s="292">
        <f>200*$C$6</f>
        <v>914</v>
      </c>
      <c r="D29" s="305" t="s">
        <v>296</v>
      </c>
    </row>
    <row r="30" spans="1:3" ht="12.75" hidden="1">
      <c r="A30" s="79"/>
      <c r="B30" s="240"/>
      <c r="C30" s="292"/>
    </row>
    <row r="31" ht="12.75">
      <c r="A31" s="60" t="s">
        <v>218</v>
      </c>
    </row>
    <row r="32" spans="1:4" ht="12.75">
      <c r="A32" s="113" t="s">
        <v>219</v>
      </c>
      <c r="B32" s="240" t="s">
        <v>220</v>
      </c>
      <c r="C32" s="292">
        <f>17.5*2</f>
        <v>35</v>
      </c>
      <c r="D32" s="273" t="s">
        <v>298</v>
      </c>
    </row>
    <row r="33" spans="1:4" ht="25.5">
      <c r="A33" s="307" t="s">
        <v>299</v>
      </c>
      <c r="B33" s="81" t="s">
        <v>300</v>
      </c>
      <c r="C33" s="142">
        <f>23*1.1*$C$6</f>
        <v>115.62100000000001</v>
      </c>
      <c r="D33" s="305" t="s">
        <v>301</v>
      </c>
    </row>
    <row r="34" spans="1:4" ht="12.75">
      <c r="A34" s="79" t="s">
        <v>302</v>
      </c>
      <c r="B34" s="81" t="s">
        <v>303</v>
      </c>
      <c r="C34" s="306">
        <f>(0.5+5)/2</f>
        <v>2.75</v>
      </c>
      <c r="D34" s="305" t="s">
        <v>290</v>
      </c>
    </row>
    <row r="36" ht="12.75">
      <c r="A36" s="60" t="s">
        <v>138</v>
      </c>
    </row>
    <row r="37" spans="1:4" ht="12.75" customHeight="1">
      <c r="A37" s="113" t="s">
        <v>49</v>
      </c>
      <c r="B37" s="240" t="s">
        <v>37</v>
      </c>
      <c r="C37" s="259">
        <v>0.07</v>
      </c>
      <c r="D37" s="273" t="s">
        <v>257</v>
      </c>
    </row>
    <row r="38" spans="1:3" ht="12.75">
      <c r="A38" s="79" t="s">
        <v>139</v>
      </c>
      <c r="B38" s="81" t="s">
        <v>140</v>
      </c>
      <c r="C38" s="226">
        <v>4</v>
      </c>
    </row>
    <row r="39" spans="1:3" ht="12.75">
      <c r="A39" s="79" t="s">
        <v>142</v>
      </c>
      <c r="B39" s="81" t="s">
        <v>143</v>
      </c>
      <c r="C39" s="142">
        <v>0</v>
      </c>
    </row>
    <row r="40" spans="1:3" ht="12.75">
      <c r="A40" s="79" t="s">
        <v>141</v>
      </c>
      <c r="B40" s="81" t="s">
        <v>143</v>
      </c>
      <c r="C40" s="142">
        <v>3</v>
      </c>
    </row>
  </sheetData>
  <sheetProtection/>
  <mergeCells count="1">
    <mergeCell ref="A1:C1"/>
  </mergeCells>
  <hyperlinks>
    <hyperlink ref="D33" r:id="rId1" display="http://ist-vrn.ru/products/158/"/>
    <hyperlink ref="D29" r:id="rId2" display="http://volins.ru/usl/ochistka-promyshlennogo-oborudovaniya/"/>
    <hyperlink ref="D28" r:id="rId3" display="http://www.box-clean.ru/index.php?%20option=com_content&amp;view=article&amp;id=84&amp;Itemid=87"/>
    <hyperlink ref="D34" r:id="rId4" display="http://www.blasting-s.ru/images/pdf/sbs%20hv.pdf"/>
  </hyperlinks>
  <printOptions/>
  <pageMargins left="0.22" right="0.2" top="0.37" bottom="0.23" header="0.24" footer="0.2"/>
  <pageSetup horizontalDpi="600" verticalDpi="600" orientation="landscape" paperSize="9"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9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8.875" defaultRowHeight="12.75"/>
  <cols>
    <col min="1" max="1" width="38.375" style="76" customWidth="1"/>
    <col min="2" max="3" width="15.375" style="76" customWidth="1"/>
    <col min="4" max="4" width="16.25390625" style="76" customWidth="1"/>
    <col min="5" max="5" width="14.00390625" style="76" customWidth="1"/>
    <col min="6" max="6" width="15.25390625" style="76" customWidth="1"/>
    <col min="7" max="7" width="25.00390625" style="76" customWidth="1"/>
    <col min="8" max="10" width="8.875" style="76" customWidth="1"/>
    <col min="11" max="11" width="8.00390625" style="76" customWidth="1"/>
    <col min="12" max="12" width="8.25390625" style="76" customWidth="1"/>
    <col min="13" max="16384" width="8.875" style="76" customWidth="1"/>
  </cols>
  <sheetData>
    <row r="1" ht="12.75">
      <c r="A1" s="60" t="s">
        <v>193</v>
      </c>
    </row>
    <row r="2" ht="3" customHeight="1">
      <c r="A2" s="60"/>
    </row>
    <row r="3" spans="1:4" ht="12.75">
      <c r="A3" s="76" t="s">
        <v>224</v>
      </c>
      <c r="D3" s="238"/>
    </row>
    <row r="4" spans="1:6" ht="12.75" customHeight="1">
      <c r="A4" s="286" t="s">
        <v>222</v>
      </c>
      <c r="B4" s="285"/>
      <c r="C4" s="285" t="s">
        <v>176</v>
      </c>
      <c r="D4" s="285" t="s">
        <v>145</v>
      </c>
      <c r="E4" s="285" t="s">
        <v>223</v>
      </c>
      <c r="F4" s="235" t="s">
        <v>171</v>
      </c>
    </row>
    <row r="5" spans="1:7" ht="12.75">
      <c r="A5" s="342" t="str">
        <f>Исх!A24</f>
        <v>Чистка промышленного оборудования</v>
      </c>
      <c r="B5" s="293" t="s">
        <v>304</v>
      </c>
      <c r="C5" s="293" t="s">
        <v>258</v>
      </c>
      <c r="D5" s="143">
        <f>Исх!$C$24*Исх!$C$25*Исх!$C$26</f>
        <v>1550</v>
      </c>
      <c r="E5" s="303">
        <f>Исх!C29</f>
        <v>914</v>
      </c>
      <c r="F5" s="303">
        <f>D5*E5/1000</f>
        <v>1416.7</v>
      </c>
      <c r="G5" s="275"/>
    </row>
    <row r="6" spans="1:7" ht="12.75">
      <c r="A6" s="343"/>
      <c r="B6" s="293" t="s">
        <v>305</v>
      </c>
      <c r="C6" s="293" t="s">
        <v>258</v>
      </c>
      <c r="D6" s="143">
        <f>D5*Исх!$C$27</f>
        <v>4650</v>
      </c>
      <c r="E6" s="303">
        <f>E5</f>
        <v>914</v>
      </c>
      <c r="F6" s="320">
        <f>D6*E6/1000</f>
        <v>4250.1</v>
      </c>
      <c r="G6" s="275"/>
    </row>
    <row r="7" spans="1:7" ht="12.75">
      <c r="A7" s="241"/>
      <c r="B7" s="212"/>
      <c r="C7" s="212"/>
      <c r="D7" s="212"/>
      <c r="E7" s="212"/>
      <c r="F7" s="212"/>
      <c r="G7" s="194"/>
    </row>
    <row r="8" ht="3" customHeight="1"/>
    <row r="9" ht="12.75">
      <c r="A9" s="263"/>
    </row>
  </sheetData>
  <sheetProtection/>
  <mergeCells count="1">
    <mergeCell ref="A5:A6"/>
  </mergeCells>
  <printOptions/>
  <pageMargins left="0.41" right="0.18" top="0.65" bottom="0.38" header="0.2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K13"/>
  <sheetViews>
    <sheetView showGridLines="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7" sqref="E7"/>
    </sheetView>
  </sheetViews>
  <sheetFormatPr defaultColWidth="8.875" defaultRowHeight="12.75"/>
  <cols>
    <col min="1" max="1" width="48.875" style="76" bestFit="1" customWidth="1"/>
    <col min="2" max="2" width="10.875" style="76" customWidth="1"/>
    <col min="3" max="3" width="14.625" style="76" customWidth="1"/>
    <col min="4" max="4" width="17.75390625" style="76" customWidth="1"/>
    <col min="5" max="5" width="21.375" style="76" customWidth="1"/>
    <col min="6" max="6" width="17.375" style="76" hidden="1" customWidth="1"/>
    <col min="7" max="7" width="20.75390625" style="76" hidden="1" customWidth="1"/>
    <col min="8" max="8" width="15.375" style="76" customWidth="1"/>
    <col min="9" max="11" width="10.75390625" style="76" customWidth="1"/>
    <col min="12" max="16384" width="8.875" style="76" customWidth="1"/>
  </cols>
  <sheetData>
    <row r="1" spans="1:7" ht="12.75">
      <c r="A1" s="60" t="s">
        <v>226</v>
      </c>
      <c r="B1" s="60"/>
      <c r="C1" s="60"/>
      <c r="D1" s="60"/>
      <c r="E1" s="60"/>
      <c r="F1" s="60"/>
      <c r="G1" s="60"/>
    </row>
    <row r="2" spans="1:7" ht="7.5" customHeight="1">
      <c r="A2" s="60"/>
      <c r="C2" s="60"/>
      <c r="D2" s="60"/>
      <c r="E2" s="60"/>
      <c r="F2" s="60"/>
      <c r="G2" s="60"/>
    </row>
    <row r="3" ht="12.75">
      <c r="A3" s="76" t="s">
        <v>224</v>
      </c>
    </row>
    <row r="4" spans="1:7" ht="12.75">
      <c r="A4" s="344" t="s">
        <v>225</v>
      </c>
      <c r="B4" s="346" t="s">
        <v>176</v>
      </c>
      <c r="C4" s="346" t="s">
        <v>146</v>
      </c>
      <c r="D4" s="348" t="str">
        <f>Дох!A5</f>
        <v>Чистка промышленного оборудования</v>
      </c>
      <c r="E4" s="349"/>
      <c r="F4" s="348">
        <f>Дох!A6</f>
        <v>0</v>
      </c>
      <c r="G4" s="349"/>
    </row>
    <row r="5" spans="1:7" ht="25.5">
      <c r="A5" s="345"/>
      <c r="B5" s="347"/>
      <c r="C5" s="347"/>
      <c r="D5" s="235" t="s">
        <v>260</v>
      </c>
      <c r="E5" s="271" t="s">
        <v>261</v>
      </c>
      <c r="F5" s="235" t="str">
        <f>D5</f>
        <v>Норма расхода на м2</v>
      </c>
      <c r="G5" s="271" t="str">
        <f>E5</f>
        <v>Сумма, тг. на 1м2</v>
      </c>
    </row>
    <row r="6" spans="1:7" ht="12.75">
      <c r="A6" s="79" t="s">
        <v>198</v>
      </c>
      <c r="B6" s="295" t="s">
        <v>37</v>
      </c>
      <c r="C6" s="296"/>
      <c r="D6" s="308">
        <v>0.25</v>
      </c>
      <c r="E6" s="44">
        <f>D6*Исх!$C$29</f>
        <v>228.5</v>
      </c>
      <c r="F6" s="296"/>
      <c r="G6" s="44">
        <f>F6*Исх!$C$30</f>
        <v>0</v>
      </c>
    </row>
    <row r="7" spans="1:7" ht="12.75">
      <c r="A7" s="79" t="s">
        <v>306</v>
      </c>
      <c r="B7" s="295" t="s">
        <v>307</v>
      </c>
      <c r="C7" s="44">
        <f>Исх!C33</f>
        <v>115.62100000000001</v>
      </c>
      <c r="D7" s="309">
        <f>Исх!C34</f>
        <v>2.75</v>
      </c>
      <c r="E7" s="44">
        <f>$C7*D7</f>
        <v>317.95775000000003</v>
      </c>
      <c r="F7" s="44"/>
      <c r="G7" s="44">
        <f>$C7*F7</f>
        <v>0</v>
      </c>
    </row>
    <row r="8" spans="1:11" ht="12.75">
      <c r="A8" s="211" t="s">
        <v>0</v>
      </c>
      <c r="B8" s="225"/>
      <c r="C8" s="294"/>
      <c r="D8" s="313"/>
      <c r="E8" s="313">
        <f>SUM(E6:E7)</f>
        <v>546.45775</v>
      </c>
      <c r="F8" s="294"/>
      <c r="G8" s="294">
        <f>SUM(G6:G7)</f>
        <v>0</v>
      </c>
      <c r="K8" s="194"/>
    </row>
    <row r="9" spans="1:11" ht="12.75">
      <c r="A9" s="310" t="s">
        <v>263</v>
      </c>
      <c r="B9" s="311"/>
      <c r="C9" s="311"/>
      <c r="D9" s="310"/>
      <c r="E9" s="314">
        <f>Дох!D6</f>
        <v>4650</v>
      </c>
      <c r="F9" s="310"/>
      <c r="G9" s="314"/>
      <c r="J9" s="194">
        <f>E6*E9</f>
        <v>1062525</v>
      </c>
      <c r="K9" s="194">
        <f>J9/6</f>
        <v>177087.5</v>
      </c>
    </row>
    <row r="10" spans="1:7" ht="12.75">
      <c r="A10" s="310" t="s">
        <v>262</v>
      </c>
      <c r="B10" s="311"/>
      <c r="C10" s="312"/>
      <c r="D10" s="310"/>
      <c r="E10" s="314">
        <f>E8*E9/1000</f>
        <v>2541.0285375000003</v>
      </c>
      <c r="F10" s="310"/>
      <c r="G10" s="314"/>
    </row>
    <row r="11" spans="1:7" ht="12.75">
      <c r="A11" s="310" t="s">
        <v>266</v>
      </c>
      <c r="B11" s="311"/>
      <c r="C11" s="312"/>
      <c r="D11" s="310"/>
      <c r="E11" s="314">
        <f>Дох!F6</f>
        <v>4250.1</v>
      </c>
      <c r="F11" s="310"/>
      <c r="G11" s="314"/>
    </row>
    <row r="12" spans="1:7" ht="12.75">
      <c r="A12" s="310" t="s">
        <v>264</v>
      </c>
      <c r="B12" s="311"/>
      <c r="C12" s="312"/>
      <c r="D12" s="310"/>
      <c r="E12" s="314">
        <f>E11-E10</f>
        <v>1709.0714625</v>
      </c>
      <c r="F12" s="310"/>
      <c r="G12" s="314"/>
    </row>
    <row r="13" spans="1:7" ht="12.75">
      <c r="A13" s="310" t="s">
        <v>265</v>
      </c>
      <c r="B13" s="311"/>
      <c r="C13" s="312"/>
      <c r="D13" s="310"/>
      <c r="E13" s="315">
        <f>E12/E11</f>
        <v>0.40212499999999995</v>
      </c>
      <c r="F13" s="310"/>
      <c r="G13" s="315"/>
    </row>
  </sheetData>
  <sheetProtection/>
  <mergeCells count="5">
    <mergeCell ref="A4:A5"/>
    <mergeCell ref="B4:B5"/>
    <mergeCell ref="C4:C5"/>
    <mergeCell ref="D4:E4"/>
    <mergeCell ref="F4:G4"/>
  </mergeCells>
  <printOptions/>
  <pageMargins left="0.34" right="0.43" top="0.73" bottom="0.38" header="0.2" footer="0.3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outlinePr summaryBelow="0"/>
  </sheetPr>
  <dimension ref="A1:AJ10"/>
  <sheetViews>
    <sheetView showGridLines="0" showZeros="0" zoomScalePageLayoutView="0" workbookViewId="0" topLeftCell="A1">
      <pane xSplit="3" ySplit="4" topLeftCell="D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AD18" sqref="AD18"/>
    </sheetView>
  </sheetViews>
  <sheetFormatPr defaultColWidth="10.125" defaultRowHeight="12.75" outlineLevelCol="1"/>
  <cols>
    <col min="1" max="1" width="33.375" style="229" customWidth="1"/>
    <col min="2" max="2" width="11.375" style="229" customWidth="1"/>
    <col min="3" max="3" width="6.375" style="229" bestFit="1" customWidth="1"/>
    <col min="4" max="12" width="9.00390625" style="229" hidden="1" customWidth="1" outlineLevel="1"/>
    <col min="13" max="14" width="8.625" style="229" hidden="1" customWidth="1" outlineLevel="1"/>
    <col min="15" max="15" width="8.875" style="229" hidden="1" customWidth="1" outlineLevel="1"/>
    <col min="16" max="16" width="9.125" style="229" customWidth="1" collapsed="1"/>
    <col min="17" max="28" width="8.375" style="229" hidden="1" customWidth="1" outlineLevel="1"/>
    <col min="29" max="29" width="9.125" style="229" customWidth="1" collapsed="1"/>
    <col min="30" max="32" width="9.125" style="229" customWidth="1"/>
    <col min="33" max="34" width="8.25390625" style="229" customWidth="1"/>
    <col min="35" max="35" width="8.25390625" style="227" customWidth="1"/>
    <col min="36" max="36" width="8.375" style="229" customWidth="1"/>
    <col min="37" max="16384" width="10.125" style="229" customWidth="1"/>
  </cols>
  <sheetData>
    <row r="1" spans="1:35" ht="21" customHeight="1">
      <c r="A1" s="231" t="s">
        <v>243</v>
      </c>
      <c r="B1" s="228"/>
      <c r="C1" s="228"/>
      <c r="AI1" s="229"/>
    </row>
    <row r="2" spans="1:35" ht="17.25" customHeight="1">
      <c r="A2" s="231"/>
      <c r="B2" s="232"/>
      <c r="C2" s="230"/>
      <c r="AI2" s="229"/>
    </row>
    <row r="3" spans="1:36" ht="12.75" customHeight="1">
      <c r="A3" s="350" t="s">
        <v>244</v>
      </c>
      <c r="B3" s="339" t="s">
        <v>80</v>
      </c>
      <c r="C3" s="352" t="s">
        <v>35</v>
      </c>
      <c r="D3" s="340">
        <v>2013</v>
      </c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>
        <v>2014</v>
      </c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121">
        <v>2015</v>
      </c>
      <c r="AE3" s="121">
        <f aca="true" t="shared" si="0" ref="AE3:AJ3">AD3+1</f>
        <v>2016</v>
      </c>
      <c r="AF3" s="121">
        <f t="shared" si="0"/>
        <v>2017</v>
      </c>
      <c r="AG3" s="121">
        <f t="shared" si="0"/>
        <v>2018</v>
      </c>
      <c r="AH3" s="121">
        <f t="shared" si="0"/>
        <v>2019</v>
      </c>
      <c r="AI3" s="121">
        <f t="shared" si="0"/>
        <v>2020</v>
      </c>
      <c r="AJ3" s="121">
        <f t="shared" si="0"/>
        <v>2021</v>
      </c>
    </row>
    <row r="4" spans="1:36" ht="12.75">
      <c r="A4" s="351"/>
      <c r="B4" s="339"/>
      <c r="C4" s="353"/>
      <c r="D4" s="123">
        <f aca="true" t="shared" si="1" ref="D4:L4">C4+1</f>
        <v>1</v>
      </c>
      <c r="E4" s="123">
        <f t="shared" si="1"/>
        <v>2</v>
      </c>
      <c r="F4" s="123">
        <f t="shared" si="1"/>
        <v>3</v>
      </c>
      <c r="G4" s="123">
        <f t="shared" si="1"/>
        <v>4</v>
      </c>
      <c r="H4" s="123">
        <f t="shared" si="1"/>
        <v>5</v>
      </c>
      <c r="I4" s="123">
        <f t="shared" si="1"/>
        <v>6</v>
      </c>
      <c r="J4" s="123">
        <f t="shared" si="1"/>
        <v>7</v>
      </c>
      <c r="K4" s="123">
        <f t="shared" si="1"/>
        <v>8</v>
      </c>
      <c r="L4" s="123">
        <f t="shared" si="1"/>
        <v>9</v>
      </c>
      <c r="M4" s="123">
        <f>L4+1</f>
        <v>10</v>
      </c>
      <c r="N4" s="123">
        <f>M4+1</f>
        <v>11</v>
      </c>
      <c r="O4" s="123">
        <f>N4+1</f>
        <v>12</v>
      </c>
      <c r="P4" s="119" t="s">
        <v>0</v>
      </c>
      <c r="Q4" s="123">
        <v>1</v>
      </c>
      <c r="R4" s="123">
        <f aca="true" t="shared" si="2" ref="R4:AB4">Q4+1</f>
        <v>2</v>
      </c>
      <c r="S4" s="123">
        <f t="shared" si="2"/>
        <v>3</v>
      </c>
      <c r="T4" s="123">
        <f t="shared" si="2"/>
        <v>4</v>
      </c>
      <c r="U4" s="123">
        <f t="shared" si="2"/>
        <v>5</v>
      </c>
      <c r="V4" s="123">
        <f t="shared" si="2"/>
        <v>6</v>
      </c>
      <c r="W4" s="123">
        <f t="shared" si="2"/>
        <v>7</v>
      </c>
      <c r="X4" s="123">
        <f t="shared" si="2"/>
        <v>8</v>
      </c>
      <c r="Y4" s="123">
        <f t="shared" si="2"/>
        <v>9</v>
      </c>
      <c r="Z4" s="123">
        <f t="shared" si="2"/>
        <v>10</v>
      </c>
      <c r="AA4" s="123">
        <f t="shared" si="2"/>
        <v>11</v>
      </c>
      <c r="AB4" s="123">
        <f t="shared" si="2"/>
        <v>12</v>
      </c>
      <c r="AC4" s="119" t="s">
        <v>0</v>
      </c>
      <c r="AD4" s="119"/>
      <c r="AE4" s="119"/>
      <c r="AF4" s="119"/>
      <c r="AG4" s="119"/>
      <c r="AH4" s="119"/>
      <c r="AI4" s="119"/>
      <c r="AJ4" s="119"/>
    </row>
    <row r="5" spans="1:36" ht="15" customHeight="1">
      <c r="A5" s="321" t="s">
        <v>227</v>
      </c>
      <c r="B5" s="125"/>
      <c r="C5" s="126"/>
      <c r="D5" s="130"/>
      <c r="E5" s="130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7">
        <v>0.4</v>
      </c>
      <c r="R5" s="237">
        <v>0.45</v>
      </c>
      <c r="S5" s="237">
        <v>0.5</v>
      </c>
      <c r="T5" s="237">
        <v>0.55</v>
      </c>
      <c r="U5" s="237">
        <v>0.55</v>
      </c>
      <c r="V5" s="237">
        <v>0.6</v>
      </c>
      <c r="W5" s="237">
        <v>0.6</v>
      </c>
      <c r="X5" s="237">
        <v>0.6</v>
      </c>
      <c r="Y5" s="237">
        <v>0.65</v>
      </c>
      <c r="Z5" s="237">
        <v>0.7</v>
      </c>
      <c r="AA5" s="237">
        <v>0.7</v>
      </c>
      <c r="AB5" s="237">
        <v>0.7</v>
      </c>
      <c r="AC5" s="236">
        <f>AVERAGE(Q5:AB5)</f>
        <v>0.5833333333333334</v>
      </c>
      <c r="AD5" s="237">
        <v>0.7</v>
      </c>
      <c r="AE5" s="237">
        <v>0.75</v>
      </c>
      <c r="AF5" s="237">
        <v>0.8</v>
      </c>
      <c r="AG5" s="237">
        <v>0.85</v>
      </c>
      <c r="AH5" s="237">
        <v>0.9</v>
      </c>
      <c r="AI5" s="237">
        <v>0.95</v>
      </c>
      <c r="AJ5" s="237">
        <v>1</v>
      </c>
    </row>
    <row r="6" spans="1:36" ht="12.75">
      <c r="A6" s="316" t="str">
        <f>Дох!A5</f>
        <v>Чистка промышленного оборудования</v>
      </c>
      <c r="B6" s="131">
        <f>AC6+SUM(AD6:AJ6)</f>
        <v>364560</v>
      </c>
      <c r="C6" s="130" t="str">
        <f>Дох!C5</f>
        <v>м2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>
        <f>SUM(D6:O6)</f>
        <v>0</v>
      </c>
      <c r="Q6" s="130">
        <f>Дох!$D$6*Q$5</f>
        <v>1860</v>
      </c>
      <c r="R6" s="130">
        <f>Дох!$D$6*R$5</f>
        <v>2092.5</v>
      </c>
      <c r="S6" s="130">
        <f>Дох!$D$6*S$5</f>
        <v>2325</v>
      </c>
      <c r="T6" s="130">
        <f>Дох!$D$6*T$5</f>
        <v>2557.5</v>
      </c>
      <c r="U6" s="130">
        <f>Дох!$D$6*U$5</f>
        <v>2557.5</v>
      </c>
      <c r="V6" s="130">
        <f>Дох!$D$6*V$5</f>
        <v>2790</v>
      </c>
      <c r="W6" s="130">
        <f>Дох!$D$6*W$5</f>
        <v>2790</v>
      </c>
      <c r="X6" s="130">
        <f>Дох!$D$6*X$5</f>
        <v>2790</v>
      </c>
      <c r="Y6" s="130">
        <f>Дох!$D$6*Y$5</f>
        <v>3022.5</v>
      </c>
      <c r="Z6" s="130">
        <f>Дох!$D$6*Z$5</f>
        <v>3255</v>
      </c>
      <c r="AA6" s="130">
        <f>Дох!$D$6*AA$5</f>
        <v>3255</v>
      </c>
      <c r="AB6" s="130">
        <f>Дох!$D$6*AB$5</f>
        <v>3255</v>
      </c>
      <c r="AC6" s="130">
        <f>SUM(Q6:AB6)</f>
        <v>32550</v>
      </c>
      <c r="AD6" s="130">
        <f>Дох!$D$6*AD$5*12</f>
        <v>39060</v>
      </c>
      <c r="AE6" s="130">
        <f>Дох!$D$6*AE$5*12</f>
        <v>41850</v>
      </c>
      <c r="AF6" s="130">
        <f>Дох!$D$6*AF$5*12</f>
        <v>44640</v>
      </c>
      <c r="AG6" s="130">
        <f>Дох!$D$6*AG$5*12</f>
        <v>47430</v>
      </c>
      <c r="AH6" s="130">
        <f>Дох!$D$6*AH$5*12</f>
        <v>50220</v>
      </c>
      <c r="AI6" s="130">
        <f>Дох!$D$6*AI$5*12</f>
        <v>53010</v>
      </c>
      <c r="AJ6" s="130">
        <f>Дох!$D$6*AJ$5*12</f>
        <v>55800</v>
      </c>
    </row>
    <row r="7" spans="1:36" ht="12.75" hidden="1">
      <c r="A7" s="316">
        <f>Дох!A6</f>
        <v>0</v>
      </c>
      <c r="B7" s="131">
        <f>AC7+SUM(AD7:AJ7)</f>
        <v>0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>
        <f>SUM(D7:O7)</f>
        <v>0</v>
      </c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>
        <f>SUM(Q7:AB7)</f>
        <v>0</v>
      </c>
      <c r="AD7" s="131"/>
      <c r="AE7" s="131"/>
      <c r="AF7" s="131"/>
      <c r="AG7" s="131"/>
      <c r="AH7" s="131"/>
      <c r="AI7" s="131"/>
      <c r="AJ7" s="131"/>
    </row>
    <row r="9" spans="29:35" ht="12.75">
      <c r="AC9" s="258"/>
      <c r="AD9" s="257"/>
      <c r="AE9" s="257"/>
      <c r="AF9" s="257"/>
      <c r="AG9" s="257"/>
      <c r="AH9" s="257"/>
      <c r="AI9" s="257"/>
    </row>
    <row r="10" spans="29:35" ht="12.75">
      <c r="AC10" s="258"/>
      <c r="AD10" s="257"/>
      <c r="AE10" s="257"/>
      <c r="AF10" s="257"/>
      <c r="AG10" s="257"/>
      <c r="AH10" s="257"/>
      <c r="AI10" s="257"/>
    </row>
  </sheetData>
  <sheetProtection/>
  <mergeCells count="5">
    <mergeCell ref="A3:A4"/>
    <mergeCell ref="B3:B4"/>
    <mergeCell ref="D3:P3"/>
    <mergeCell ref="Q3:AC3"/>
    <mergeCell ref="C3:C4"/>
  </mergeCells>
  <printOptions/>
  <pageMargins left="0.35433070866141736" right="0.2362204724409449" top="0.8267716535433072" bottom="0.2362204724409449" header="0.35433070866141736" footer="0.1574803149606299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X51"/>
  <sheetViews>
    <sheetView showGridLines="0" zoomScalePageLayoutView="0" workbookViewId="0" topLeftCell="A1">
      <pane ySplit="5" topLeftCell="A6" activePane="bottomLeft" state="frozen"/>
      <selection pane="topLeft" activeCell="A34" sqref="A34"/>
      <selection pane="bottomLeft" activeCell="B12" sqref="B12"/>
    </sheetView>
  </sheetViews>
  <sheetFormatPr defaultColWidth="8.875" defaultRowHeight="12.75" outlineLevelRow="1"/>
  <cols>
    <col min="1" max="1" width="36.25390625" style="76" customWidth="1"/>
    <col min="2" max="2" width="13.25390625" style="76" bestFit="1" customWidth="1"/>
    <col min="3" max="11" width="7.875" style="76" customWidth="1"/>
    <col min="12" max="12" width="25.375" style="76" customWidth="1"/>
    <col min="13" max="13" width="5.375" style="76" customWidth="1"/>
    <col min="14" max="14" width="36.25390625" style="76" customWidth="1"/>
    <col min="15" max="15" width="10.125" style="76" bestFit="1" customWidth="1"/>
    <col min="16" max="24" width="7.875" style="76" customWidth="1"/>
    <col min="25" max="16384" width="8.875" style="76" customWidth="1"/>
  </cols>
  <sheetData>
    <row r="1" spans="1:14" ht="12.75">
      <c r="A1" s="60" t="s">
        <v>136</v>
      </c>
      <c r="N1" s="60" t="s">
        <v>206</v>
      </c>
    </row>
    <row r="2" spans="1:22" ht="12.75">
      <c r="A2" s="60"/>
      <c r="B2" s="194"/>
      <c r="C2" s="194"/>
      <c r="D2" s="194"/>
      <c r="E2" s="194"/>
      <c r="F2" s="194"/>
      <c r="G2" s="194"/>
      <c r="H2" s="194"/>
      <c r="I2" s="194"/>
      <c r="N2" s="60"/>
      <c r="O2" s="194"/>
      <c r="P2" s="194"/>
      <c r="Q2" s="194"/>
      <c r="R2" s="194"/>
      <c r="S2" s="194"/>
      <c r="T2" s="194"/>
      <c r="U2" s="194"/>
      <c r="V2" s="194"/>
    </row>
    <row r="3" spans="1:24" ht="12.75">
      <c r="A3" s="60"/>
      <c r="B3" s="76" t="s">
        <v>201</v>
      </c>
      <c r="C3" s="60"/>
      <c r="D3" s="272">
        <v>0.05</v>
      </c>
      <c r="E3" s="60"/>
      <c r="F3" s="60"/>
      <c r="G3" s="60"/>
      <c r="H3" s="60"/>
      <c r="I3" s="60"/>
      <c r="J3" s="60"/>
      <c r="K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</row>
    <row r="4" spans="3:24" ht="12.75">
      <c r="C4" s="137"/>
      <c r="D4" s="137"/>
      <c r="E4" s="137"/>
      <c r="F4" s="137"/>
      <c r="G4" s="137"/>
      <c r="H4" s="137"/>
      <c r="K4" s="144" t="str">
        <f>Исх!C11</f>
        <v>тыс.тг.</v>
      </c>
      <c r="P4" s="137"/>
      <c r="Q4" s="137"/>
      <c r="R4" s="137"/>
      <c r="S4" s="137"/>
      <c r="T4" s="137"/>
      <c r="U4" s="137"/>
      <c r="X4" s="144" t="str">
        <f>K4</f>
        <v>тыс.тг.</v>
      </c>
    </row>
    <row r="5" spans="1:24" ht="12.75">
      <c r="A5" s="270" t="s">
        <v>39</v>
      </c>
      <c r="B5" s="261" t="s">
        <v>6</v>
      </c>
      <c r="C5" s="271">
        <v>2013</v>
      </c>
      <c r="D5" s="271">
        <f aca="true" t="shared" si="0" ref="D5:J5">C5+1</f>
        <v>2014</v>
      </c>
      <c r="E5" s="271">
        <f t="shared" si="0"/>
        <v>2015</v>
      </c>
      <c r="F5" s="271">
        <f t="shared" si="0"/>
        <v>2016</v>
      </c>
      <c r="G5" s="271">
        <f t="shared" si="0"/>
        <v>2017</v>
      </c>
      <c r="H5" s="271">
        <f t="shared" si="0"/>
        <v>2018</v>
      </c>
      <c r="I5" s="271">
        <f t="shared" si="0"/>
        <v>2019</v>
      </c>
      <c r="J5" s="271">
        <f t="shared" si="0"/>
        <v>2020</v>
      </c>
      <c r="K5" s="271">
        <f>J5+1</f>
        <v>2021</v>
      </c>
      <c r="L5" s="271" t="s">
        <v>194</v>
      </c>
      <c r="N5" s="270" t="s">
        <v>39</v>
      </c>
      <c r="O5" s="261" t="s">
        <v>6</v>
      </c>
      <c r="P5" s="271">
        <v>2013</v>
      </c>
      <c r="Q5" s="271">
        <f aca="true" t="shared" si="1" ref="Q5:X5">P5+1</f>
        <v>2014</v>
      </c>
      <c r="R5" s="271">
        <f t="shared" si="1"/>
        <v>2015</v>
      </c>
      <c r="S5" s="271">
        <f t="shared" si="1"/>
        <v>2016</v>
      </c>
      <c r="T5" s="271">
        <f t="shared" si="1"/>
        <v>2017</v>
      </c>
      <c r="U5" s="271">
        <f t="shared" si="1"/>
        <v>2018</v>
      </c>
      <c r="V5" s="271">
        <f t="shared" si="1"/>
        <v>2019</v>
      </c>
      <c r="W5" s="271">
        <f t="shared" si="1"/>
        <v>2020</v>
      </c>
      <c r="X5" s="271">
        <f t="shared" si="1"/>
        <v>2021</v>
      </c>
    </row>
    <row r="6" spans="1:24" ht="12.75">
      <c r="A6" s="256" t="s">
        <v>40</v>
      </c>
      <c r="B6" s="143">
        <f>ФОТ!K23</f>
        <v>83.6</v>
      </c>
      <c r="C6" s="143"/>
      <c r="D6" s="148">
        <f>B6+C6*$D$3</f>
        <v>83.6</v>
      </c>
      <c r="E6" s="148">
        <f aca="true" t="shared" si="2" ref="E6:J7">D6+D6*$D$3</f>
        <v>87.78</v>
      </c>
      <c r="F6" s="148">
        <f t="shared" si="2"/>
        <v>92.169</v>
      </c>
      <c r="G6" s="148">
        <f t="shared" si="2"/>
        <v>96.77745</v>
      </c>
      <c r="H6" s="148">
        <f t="shared" si="2"/>
        <v>101.6163225</v>
      </c>
      <c r="I6" s="148">
        <f t="shared" si="2"/>
        <v>106.697138625</v>
      </c>
      <c r="J6" s="148">
        <f t="shared" si="2"/>
        <v>112.03199555625</v>
      </c>
      <c r="K6" s="148">
        <f aca="true" t="shared" si="3" ref="K6:K15">J6+J6*$D$3</f>
        <v>117.63359533406249</v>
      </c>
      <c r="L6" s="148" t="s">
        <v>246</v>
      </c>
      <c r="N6" s="256" t="str">
        <f>A6</f>
        <v>ФОТ</v>
      </c>
      <c r="O6" s="143">
        <f aca="true" t="shared" si="4" ref="O6:X6">B6*12</f>
        <v>1003.1999999999999</v>
      </c>
      <c r="P6" s="143">
        <f>C6</f>
        <v>0</v>
      </c>
      <c r="Q6" s="143">
        <f t="shared" si="4"/>
        <v>1003.1999999999999</v>
      </c>
      <c r="R6" s="143">
        <f t="shared" si="4"/>
        <v>1053.3600000000001</v>
      </c>
      <c r="S6" s="143">
        <f t="shared" si="4"/>
        <v>1106.028</v>
      </c>
      <c r="T6" s="143">
        <f t="shared" si="4"/>
        <v>1161.3294</v>
      </c>
      <c r="U6" s="143">
        <f t="shared" si="4"/>
        <v>1219.3958699999998</v>
      </c>
      <c r="V6" s="143">
        <f t="shared" si="4"/>
        <v>1280.3656635</v>
      </c>
      <c r="W6" s="143">
        <f t="shared" si="4"/>
        <v>1344.383946675</v>
      </c>
      <c r="X6" s="143">
        <f t="shared" si="4"/>
        <v>1411.60314400875</v>
      </c>
    </row>
    <row r="7" spans="1:24" ht="12.75">
      <c r="A7" s="255" t="s">
        <v>269</v>
      </c>
      <c r="B7" s="44">
        <f>Исх!C32</f>
        <v>35</v>
      </c>
      <c r="C7" s="143"/>
      <c r="D7" s="148">
        <f aca="true" t="shared" si="5" ref="D7:D15">B7+C7*$D$3</f>
        <v>35</v>
      </c>
      <c r="E7" s="148">
        <f>D7+D7*$D$3</f>
        <v>36.75</v>
      </c>
      <c r="F7" s="148">
        <f t="shared" si="2"/>
        <v>38.5875</v>
      </c>
      <c r="G7" s="148">
        <f t="shared" si="2"/>
        <v>40.516875</v>
      </c>
      <c r="H7" s="148">
        <f t="shared" si="2"/>
        <v>42.54271875</v>
      </c>
      <c r="I7" s="148">
        <f t="shared" si="2"/>
        <v>44.6698546875</v>
      </c>
      <c r="J7" s="148">
        <f t="shared" si="2"/>
        <v>46.903347421875</v>
      </c>
      <c r="K7" s="148">
        <f t="shared" si="3"/>
        <v>49.24851479296875</v>
      </c>
      <c r="L7" s="148" t="s">
        <v>308</v>
      </c>
      <c r="N7" s="256" t="str">
        <f aca="true" t="shared" si="6" ref="N7:N15">A7</f>
        <v>Аренда офиса</v>
      </c>
      <c r="O7" s="143">
        <f aca="true" t="shared" si="7" ref="O7:O15">B7*12</f>
        <v>420</v>
      </c>
      <c r="P7" s="143">
        <f aca="true" t="shared" si="8" ref="P7:P15">C7</f>
        <v>0</v>
      </c>
      <c r="Q7" s="143">
        <f aca="true" t="shared" si="9" ref="Q7:Q15">D7*12</f>
        <v>420</v>
      </c>
      <c r="R7" s="143">
        <f aca="true" t="shared" si="10" ref="R7:R15">E7*12</f>
        <v>441</v>
      </c>
      <c r="S7" s="143">
        <f aca="true" t="shared" si="11" ref="S7:S15">F7*12</f>
        <v>463.04999999999995</v>
      </c>
      <c r="T7" s="143">
        <f aca="true" t="shared" si="12" ref="T7:T15">G7*12</f>
        <v>486.2025</v>
      </c>
      <c r="U7" s="143">
        <f aca="true" t="shared" si="13" ref="U7:U15">H7*12</f>
        <v>510.51262499999996</v>
      </c>
      <c r="V7" s="143">
        <f aca="true" t="shared" si="14" ref="V7:V15">I7*12</f>
        <v>536.03825625</v>
      </c>
      <c r="W7" s="143">
        <f aca="true" t="shared" si="15" ref="W7:W15">J7*12</f>
        <v>562.8401690625</v>
      </c>
      <c r="X7" s="143">
        <f aca="true" t="shared" si="16" ref="X7:X15">K7*12</f>
        <v>590.9821775156249</v>
      </c>
    </row>
    <row r="8" spans="1:24" ht="12.75">
      <c r="A8" s="161" t="s">
        <v>277</v>
      </c>
      <c r="B8" s="264">
        <f>10*15*110/1000</f>
        <v>16.5</v>
      </c>
      <c r="C8" s="143"/>
      <c r="D8" s="148">
        <f>B8+C8*$D$3</f>
        <v>16.5</v>
      </c>
      <c r="E8" s="148">
        <f>D8*1.1</f>
        <v>18.150000000000002</v>
      </c>
      <c r="F8" s="148">
        <f aca="true" t="shared" si="17" ref="F8:K8">E8+E8*$D$3</f>
        <v>19.0575</v>
      </c>
      <c r="G8" s="148">
        <f t="shared" si="17"/>
        <v>20.010375</v>
      </c>
      <c r="H8" s="148">
        <f t="shared" si="17"/>
        <v>21.01089375</v>
      </c>
      <c r="I8" s="148">
        <f t="shared" si="17"/>
        <v>22.0614384375</v>
      </c>
      <c r="J8" s="148">
        <f t="shared" si="17"/>
        <v>23.164510359375</v>
      </c>
      <c r="K8" s="148">
        <f t="shared" si="17"/>
        <v>24.32273587734375</v>
      </c>
      <c r="L8" s="148" t="s">
        <v>278</v>
      </c>
      <c r="N8" s="256" t="str">
        <f>A8</f>
        <v>ГСМ</v>
      </c>
      <c r="O8" s="143">
        <f>B8*12</f>
        <v>198</v>
      </c>
      <c r="P8" s="143">
        <f>C8</f>
        <v>0</v>
      </c>
      <c r="Q8" s="143">
        <f aca="true" t="shared" si="18" ref="Q8:X8">D8*12</f>
        <v>198</v>
      </c>
      <c r="R8" s="143">
        <f t="shared" si="18"/>
        <v>217.8</v>
      </c>
      <c r="S8" s="143">
        <f t="shared" si="18"/>
        <v>228.69</v>
      </c>
      <c r="T8" s="143">
        <f t="shared" si="18"/>
        <v>240.1245</v>
      </c>
      <c r="U8" s="143">
        <f t="shared" si="18"/>
        <v>252.130725</v>
      </c>
      <c r="V8" s="143">
        <f t="shared" si="18"/>
        <v>264.73726125</v>
      </c>
      <c r="W8" s="143">
        <f t="shared" si="18"/>
        <v>277.9741243125</v>
      </c>
      <c r="X8" s="143">
        <f t="shared" si="18"/>
        <v>291.872830528125</v>
      </c>
    </row>
    <row r="9" spans="1:24" ht="12.75">
      <c r="A9" s="161" t="s">
        <v>195</v>
      </c>
      <c r="B9" s="264">
        <v>15</v>
      </c>
      <c r="C9" s="143"/>
      <c r="D9" s="148">
        <f t="shared" si="5"/>
        <v>15</v>
      </c>
      <c r="E9" s="148">
        <f>D9*1.1</f>
        <v>16.5</v>
      </c>
      <c r="F9" s="148">
        <f aca="true" t="shared" si="19" ref="F9:J10">E9+E9*$D$3</f>
        <v>17.325</v>
      </c>
      <c r="G9" s="148">
        <f t="shared" si="19"/>
        <v>18.19125</v>
      </c>
      <c r="H9" s="148">
        <f t="shared" si="19"/>
        <v>19.1008125</v>
      </c>
      <c r="I9" s="148">
        <f t="shared" si="19"/>
        <v>20.055853125</v>
      </c>
      <c r="J9" s="148">
        <f t="shared" si="19"/>
        <v>21.05864578125</v>
      </c>
      <c r="K9" s="148">
        <f t="shared" si="3"/>
        <v>22.1115780703125</v>
      </c>
      <c r="L9" s="148"/>
      <c r="N9" s="256" t="str">
        <f t="shared" si="6"/>
        <v>Хоз.нужды</v>
      </c>
      <c r="O9" s="143">
        <f t="shared" si="7"/>
        <v>180</v>
      </c>
      <c r="P9" s="143">
        <f t="shared" si="8"/>
        <v>0</v>
      </c>
      <c r="Q9" s="143">
        <f t="shared" si="9"/>
        <v>180</v>
      </c>
      <c r="R9" s="143">
        <f t="shared" si="10"/>
        <v>198</v>
      </c>
      <c r="S9" s="143">
        <f t="shared" si="11"/>
        <v>207.89999999999998</v>
      </c>
      <c r="T9" s="143">
        <f t="shared" si="12"/>
        <v>218.29500000000002</v>
      </c>
      <c r="U9" s="143">
        <f t="shared" si="13"/>
        <v>229.20974999999999</v>
      </c>
      <c r="V9" s="143">
        <f t="shared" si="14"/>
        <v>240.67023749999998</v>
      </c>
      <c r="W9" s="143">
        <f t="shared" si="15"/>
        <v>252.703749375</v>
      </c>
      <c r="X9" s="143">
        <f t="shared" si="16"/>
        <v>265.33893684375</v>
      </c>
    </row>
    <row r="10" spans="1:24" ht="12.75">
      <c r="A10" s="79" t="s">
        <v>270</v>
      </c>
      <c r="B10" s="264">
        <v>12</v>
      </c>
      <c r="C10" s="143"/>
      <c r="D10" s="148">
        <f>B10+C10*$D$3</f>
        <v>12</v>
      </c>
      <c r="E10" s="148">
        <f>D10+D10*$D$3</f>
        <v>12.6</v>
      </c>
      <c r="F10" s="148">
        <f t="shared" si="19"/>
        <v>13.23</v>
      </c>
      <c r="G10" s="148">
        <f t="shared" si="19"/>
        <v>13.8915</v>
      </c>
      <c r="H10" s="148">
        <f t="shared" si="19"/>
        <v>14.586075000000001</v>
      </c>
      <c r="I10" s="148">
        <f t="shared" si="19"/>
        <v>15.31537875</v>
      </c>
      <c r="J10" s="148">
        <f t="shared" si="19"/>
        <v>16.0811476875</v>
      </c>
      <c r="K10" s="148">
        <f>J10+J10*$D$3</f>
        <v>16.885205071875</v>
      </c>
      <c r="L10" s="148" t="s">
        <v>271</v>
      </c>
      <c r="N10" s="256" t="str">
        <f>A10</f>
        <v>Услуги связи + интернет</v>
      </c>
      <c r="O10" s="143">
        <f>B10*12</f>
        <v>144</v>
      </c>
      <c r="P10" s="143">
        <f>C10</f>
        <v>0</v>
      </c>
      <c r="Q10" s="143">
        <f aca="true" t="shared" si="20" ref="Q10:X10">D10*12</f>
        <v>144</v>
      </c>
      <c r="R10" s="143">
        <f t="shared" si="20"/>
        <v>151.2</v>
      </c>
      <c r="S10" s="143">
        <f t="shared" si="20"/>
        <v>158.76</v>
      </c>
      <c r="T10" s="143">
        <f t="shared" si="20"/>
        <v>166.698</v>
      </c>
      <c r="U10" s="143">
        <f t="shared" si="20"/>
        <v>175.0329</v>
      </c>
      <c r="V10" s="143">
        <f t="shared" si="20"/>
        <v>183.784545</v>
      </c>
      <c r="W10" s="143">
        <f t="shared" si="20"/>
        <v>192.97377225</v>
      </c>
      <c r="X10" s="143">
        <f t="shared" si="20"/>
        <v>202.6224608625</v>
      </c>
    </row>
    <row r="11" spans="1:24" ht="12.75">
      <c r="A11" s="79" t="s">
        <v>204</v>
      </c>
      <c r="B11" s="264">
        <v>40</v>
      </c>
      <c r="C11" s="143"/>
      <c r="D11" s="148">
        <f t="shared" si="5"/>
        <v>40</v>
      </c>
      <c r="E11" s="148">
        <f aca="true" t="shared" si="21" ref="E11:J11">D11+D11*$D$3</f>
        <v>42</v>
      </c>
      <c r="F11" s="148">
        <f t="shared" si="21"/>
        <v>44.1</v>
      </c>
      <c r="G11" s="148">
        <f t="shared" si="21"/>
        <v>46.305</v>
      </c>
      <c r="H11" s="148">
        <f t="shared" si="21"/>
        <v>48.62025</v>
      </c>
      <c r="I11" s="148">
        <f t="shared" si="21"/>
        <v>51.0512625</v>
      </c>
      <c r="J11" s="148">
        <f t="shared" si="21"/>
        <v>53.603825625</v>
      </c>
      <c r="K11" s="148">
        <f t="shared" si="3"/>
        <v>56.28401690625</v>
      </c>
      <c r="L11" s="148" t="s">
        <v>272</v>
      </c>
      <c r="N11" s="256" t="str">
        <f t="shared" si="6"/>
        <v>Реклама</v>
      </c>
      <c r="O11" s="143">
        <f t="shared" si="7"/>
        <v>480</v>
      </c>
      <c r="P11" s="143">
        <f t="shared" si="8"/>
        <v>0</v>
      </c>
      <c r="Q11" s="143">
        <f t="shared" si="9"/>
        <v>480</v>
      </c>
      <c r="R11" s="143">
        <f t="shared" si="10"/>
        <v>504</v>
      </c>
      <c r="S11" s="143">
        <f t="shared" si="11"/>
        <v>529.2</v>
      </c>
      <c r="T11" s="143">
        <f t="shared" si="12"/>
        <v>555.66</v>
      </c>
      <c r="U11" s="143">
        <f t="shared" si="13"/>
        <v>583.443</v>
      </c>
      <c r="V11" s="143">
        <f t="shared" si="14"/>
        <v>612.61515</v>
      </c>
      <c r="W11" s="143">
        <f t="shared" si="15"/>
        <v>643.2459074999999</v>
      </c>
      <c r="X11" s="143">
        <f t="shared" si="16"/>
        <v>675.408202875</v>
      </c>
    </row>
    <row r="12" spans="1:24" ht="12.75">
      <c r="A12" s="79" t="s">
        <v>268</v>
      </c>
      <c r="B12" s="264">
        <v>50</v>
      </c>
      <c r="C12" s="143"/>
      <c r="D12" s="148">
        <f t="shared" si="5"/>
        <v>50</v>
      </c>
      <c r="E12" s="148">
        <f aca="true" t="shared" si="22" ref="E12:K12">D12+D12*$D$3</f>
        <v>52.5</v>
      </c>
      <c r="F12" s="148">
        <f t="shared" si="22"/>
        <v>55.125</v>
      </c>
      <c r="G12" s="148">
        <f t="shared" si="22"/>
        <v>57.88125</v>
      </c>
      <c r="H12" s="148">
        <f t="shared" si="22"/>
        <v>60.7753125</v>
      </c>
      <c r="I12" s="148">
        <f t="shared" si="22"/>
        <v>63.814078124999995</v>
      </c>
      <c r="J12" s="148">
        <f t="shared" si="22"/>
        <v>67.00478203124999</v>
      </c>
      <c r="K12" s="148">
        <f t="shared" si="22"/>
        <v>70.35502113281248</v>
      </c>
      <c r="L12" s="148"/>
      <c r="N12" s="256" t="str">
        <f>A12</f>
        <v>Пополнение инвентаря, инструментов</v>
      </c>
      <c r="O12" s="143">
        <f>B12*12</f>
        <v>600</v>
      </c>
      <c r="P12" s="143">
        <f t="shared" si="8"/>
        <v>0</v>
      </c>
      <c r="Q12" s="143">
        <f t="shared" si="9"/>
        <v>600</v>
      </c>
      <c r="R12" s="143">
        <f t="shared" si="10"/>
        <v>630</v>
      </c>
      <c r="S12" s="143">
        <f t="shared" si="11"/>
        <v>661.5</v>
      </c>
      <c r="T12" s="143">
        <f t="shared" si="12"/>
        <v>694.575</v>
      </c>
      <c r="U12" s="143">
        <f t="shared" si="13"/>
        <v>729.30375</v>
      </c>
      <c r="V12" s="143">
        <f t="shared" si="14"/>
        <v>765.7689375</v>
      </c>
      <c r="W12" s="143">
        <f t="shared" si="15"/>
        <v>804.0573843749999</v>
      </c>
      <c r="X12" s="143">
        <f t="shared" si="16"/>
        <v>844.2602535937498</v>
      </c>
    </row>
    <row r="13" spans="1:24" ht="12.75">
      <c r="A13" s="161" t="s">
        <v>93</v>
      </c>
      <c r="B13" s="264">
        <v>10</v>
      </c>
      <c r="C13" s="143"/>
      <c r="D13" s="148">
        <f t="shared" si="5"/>
        <v>10</v>
      </c>
      <c r="E13" s="148">
        <f aca="true" t="shared" si="23" ref="E13:J14">D13+D13*$D$3</f>
        <v>10.5</v>
      </c>
      <c r="F13" s="148">
        <f t="shared" si="23"/>
        <v>11.025</v>
      </c>
      <c r="G13" s="148">
        <f t="shared" si="23"/>
        <v>11.57625</v>
      </c>
      <c r="H13" s="148">
        <f t="shared" si="23"/>
        <v>12.1550625</v>
      </c>
      <c r="I13" s="148">
        <f t="shared" si="23"/>
        <v>12.762815625</v>
      </c>
      <c r="J13" s="148">
        <f t="shared" si="23"/>
        <v>13.40095640625</v>
      </c>
      <c r="K13" s="148">
        <f t="shared" si="3"/>
        <v>14.0710042265625</v>
      </c>
      <c r="L13" s="148" t="s">
        <v>221</v>
      </c>
      <c r="N13" s="256" t="str">
        <f t="shared" si="6"/>
        <v>Услуги банка</v>
      </c>
      <c r="O13" s="143">
        <f t="shared" si="7"/>
        <v>120</v>
      </c>
      <c r="P13" s="143">
        <f t="shared" si="8"/>
        <v>0</v>
      </c>
      <c r="Q13" s="143">
        <f t="shared" si="9"/>
        <v>120</v>
      </c>
      <c r="R13" s="143">
        <f t="shared" si="10"/>
        <v>126</v>
      </c>
      <c r="S13" s="143">
        <f t="shared" si="11"/>
        <v>132.3</v>
      </c>
      <c r="T13" s="143">
        <f t="shared" si="12"/>
        <v>138.915</v>
      </c>
      <c r="U13" s="143">
        <f t="shared" si="13"/>
        <v>145.86075</v>
      </c>
      <c r="V13" s="143">
        <f t="shared" si="14"/>
        <v>153.1537875</v>
      </c>
      <c r="W13" s="143">
        <f t="shared" si="15"/>
        <v>160.81147687499998</v>
      </c>
      <c r="X13" s="143">
        <f t="shared" si="16"/>
        <v>168.85205071875</v>
      </c>
    </row>
    <row r="14" spans="1:24" ht="12.75">
      <c r="A14" s="79" t="s">
        <v>285</v>
      </c>
      <c r="B14" s="264">
        <v>10</v>
      </c>
      <c r="C14" s="143"/>
      <c r="D14" s="148">
        <f>B14+C14*$D$3</f>
        <v>10</v>
      </c>
      <c r="E14" s="148">
        <f t="shared" si="23"/>
        <v>10.5</v>
      </c>
      <c r="F14" s="148">
        <f t="shared" si="23"/>
        <v>11.025</v>
      </c>
      <c r="G14" s="148">
        <f t="shared" si="23"/>
        <v>11.57625</v>
      </c>
      <c r="H14" s="148">
        <f t="shared" si="23"/>
        <v>12.1550625</v>
      </c>
      <c r="I14" s="148">
        <f t="shared" si="23"/>
        <v>12.762815625</v>
      </c>
      <c r="J14" s="148">
        <f t="shared" si="23"/>
        <v>13.40095640625</v>
      </c>
      <c r="K14" s="148">
        <f>J14+J14*$D$3</f>
        <v>14.0710042265625</v>
      </c>
      <c r="L14" s="148"/>
      <c r="N14" s="256" t="str">
        <f>A14</f>
        <v>Обучение, повышение квалификации</v>
      </c>
      <c r="O14" s="143">
        <f>B14*12</f>
        <v>120</v>
      </c>
      <c r="P14" s="143">
        <f>C14</f>
        <v>0</v>
      </c>
      <c r="Q14" s="143">
        <f aca="true" t="shared" si="24" ref="Q14:X14">D14*12</f>
        <v>120</v>
      </c>
      <c r="R14" s="143">
        <f t="shared" si="24"/>
        <v>126</v>
      </c>
      <c r="S14" s="143">
        <f t="shared" si="24"/>
        <v>132.3</v>
      </c>
      <c r="T14" s="143">
        <f t="shared" si="24"/>
        <v>138.915</v>
      </c>
      <c r="U14" s="143">
        <f t="shared" si="24"/>
        <v>145.86075</v>
      </c>
      <c r="V14" s="143">
        <f t="shared" si="24"/>
        <v>153.1537875</v>
      </c>
      <c r="W14" s="143">
        <f t="shared" si="24"/>
        <v>160.81147687499998</v>
      </c>
      <c r="X14" s="143">
        <f t="shared" si="24"/>
        <v>168.85205071875</v>
      </c>
    </row>
    <row r="15" spans="1:24" ht="12.75">
      <c r="A15" s="79" t="s">
        <v>196</v>
      </c>
      <c r="B15" s="264">
        <v>50</v>
      </c>
      <c r="C15" s="143"/>
      <c r="D15" s="148">
        <f t="shared" si="5"/>
        <v>50</v>
      </c>
      <c r="E15" s="148">
        <f aca="true" t="shared" si="25" ref="E15:J15">D15+D15*$D$3</f>
        <v>52.5</v>
      </c>
      <c r="F15" s="148">
        <f t="shared" si="25"/>
        <v>55.125</v>
      </c>
      <c r="G15" s="148">
        <f t="shared" si="25"/>
        <v>57.88125</v>
      </c>
      <c r="H15" s="148">
        <f t="shared" si="25"/>
        <v>60.7753125</v>
      </c>
      <c r="I15" s="148">
        <f t="shared" si="25"/>
        <v>63.814078124999995</v>
      </c>
      <c r="J15" s="148">
        <f t="shared" si="25"/>
        <v>67.00478203124999</v>
      </c>
      <c r="K15" s="148">
        <f t="shared" si="3"/>
        <v>70.35502113281248</v>
      </c>
      <c r="L15" s="148"/>
      <c r="N15" s="256" t="str">
        <f t="shared" si="6"/>
        <v>Прочие</v>
      </c>
      <c r="O15" s="143">
        <f t="shared" si="7"/>
        <v>600</v>
      </c>
      <c r="P15" s="143">
        <f t="shared" si="8"/>
        <v>0</v>
      </c>
      <c r="Q15" s="143">
        <f t="shared" si="9"/>
        <v>600</v>
      </c>
      <c r="R15" s="143">
        <f t="shared" si="10"/>
        <v>630</v>
      </c>
      <c r="S15" s="143">
        <f t="shared" si="11"/>
        <v>661.5</v>
      </c>
      <c r="T15" s="143">
        <f t="shared" si="12"/>
        <v>694.575</v>
      </c>
      <c r="U15" s="143">
        <f t="shared" si="13"/>
        <v>729.30375</v>
      </c>
      <c r="V15" s="143">
        <f t="shared" si="14"/>
        <v>765.7689375</v>
      </c>
      <c r="W15" s="143">
        <f t="shared" si="15"/>
        <v>804.0573843749999</v>
      </c>
      <c r="X15" s="143">
        <f t="shared" si="16"/>
        <v>844.2602535937498</v>
      </c>
    </row>
    <row r="16" spans="1:24" ht="12.75">
      <c r="A16" s="211" t="s">
        <v>0</v>
      </c>
      <c r="B16" s="212">
        <f aca="true" t="shared" si="26" ref="B16:K16">SUM(B6:B15)</f>
        <v>322.1</v>
      </c>
      <c r="C16" s="212">
        <f t="shared" si="26"/>
        <v>0</v>
      </c>
      <c r="D16" s="212">
        <f t="shared" si="26"/>
        <v>322.1</v>
      </c>
      <c r="E16" s="212">
        <f t="shared" si="26"/>
        <v>339.78</v>
      </c>
      <c r="F16" s="212">
        <f t="shared" si="26"/>
        <v>356.7689999999999</v>
      </c>
      <c r="G16" s="212">
        <f t="shared" si="26"/>
        <v>374.6074500000001</v>
      </c>
      <c r="H16" s="212">
        <f t="shared" si="26"/>
        <v>393.33782249999996</v>
      </c>
      <c r="I16" s="212">
        <f t="shared" si="26"/>
        <v>413.0047136249999</v>
      </c>
      <c r="J16" s="212">
        <f t="shared" si="26"/>
        <v>433.65494930624993</v>
      </c>
      <c r="K16" s="212">
        <f t="shared" si="26"/>
        <v>455.3376967715624</v>
      </c>
      <c r="L16" s="212"/>
      <c r="N16" s="211" t="s">
        <v>0</v>
      </c>
      <c r="O16" s="212">
        <f aca="true" t="shared" si="27" ref="O16:X16">SUM(O6:O15)</f>
        <v>3865.2</v>
      </c>
      <c r="P16" s="212">
        <f t="shared" si="27"/>
        <v>0</v>
      </c>
      <c r="Q16" s="212">
        <f t="shared" si="27"/>
        <v>3865.2</v>
      </c>
      <c r="R16" s="212">
        <f t="shared" si="27"/>
        <v>4077.36</v>
      </c>
      <c r="S16" s="212">
        <f t="shared" si="27"/>
        <v>4281.228</v>
      </c>
      <c r="T16" s="212">
        <f t="shared" si="27"/>
        <v>4495.2894</v>
      </c>
      <c r="U16" s="212">
        <f t="shared" si="27"/>
        <v>4720.05387</v>
      </c>
      <c r="V16" s="212">
        <f t="shared" si="27"/>
        <v>4956.0565635</v>
      </c>
      <c r="W16" s="212">
        <f t="shared" si="27"/>
        <v>5203.859391675</v>
      </c>
      <c r="X16" s="212">
        <f t="shared" si="27"/>
        <v>5464.052361258749</v>
      </c>
    </row>
    <row r="18" spans="1:24" ht="12.75">
      <c r="A18" s="60" t="s">
        <v>71</v>
      </c>
      <c r="C18" s="163">
        <f aca="true" t="shared" si="28" ref="C18:K18">SUM(C19:C19)</f>
        <v>0</v>
      </c>
      <c r="D18" s="163">
        <f t="shared" si="28"/>
        <v>75.21275</v>
      </c>
      <c r="E18" s="163">
        <f t="shared" si="28"/>
        <v>90.1299</v>
      </c>
      <c r="F18" s="163">
        <f t="shared" si="28"/>
        <v>96.54894</v>
      </c>
      <c r="G18" s="163">
        <f t="shared" si="28"/>
        <v>102.9701745</v>
      </c>
      <c r="H18" s="163">
        <f t="shared" si="28"/>
        <v>109.393713225</v>
      </c>
      <c r="I18" s="163">
        <f t="shared" si="28"/>
        <v>115.81967138625001</v>
      </c>
      <c r="J18" s="163">
        <f t="shared" si="28"/>
        <v>122.2481699555625</v>
      </c>
      <c r="K18" s="163">
        <f t="shared" si="28"/>
        <v>128.67933595334063</v>
      </c>
      <c r="N18" s="60" t="s">
        <v>71</v>
      </c>
      <c r="P18" s="163">
        <f aca="true" t="shared" si="29" ref="P18:X18">SUM(P19:P19)</f>
        <v>0</v>
      </c>
      <c r="Q18" s="163">
        <f t="shared" si="29"/>
        <v>902.553</v>
      </c>
      <c r="R18" s="163">
        <f t="shared" si="29"/>
        <v>1081.5588</v>
      </c>
      <c r="S18" s="163">
        <f t="shared" si="29"/>
        <v>1158.58728</v>
      </c>
      <c r="T18" s="163">
        <f t="shared" si="29"/>
        <v>1235.642094</v>
      </c>
      <c r="U18" s="163">
        <f t="shared" si="29"/>
        <v>1312.7245587</v>
      </c>
      <c r="V18" s="163">
        <f t="shared" si="29"/>
        <v>1389.8360566350002</v>
      </c>
      <c r="W18" s="163">
        <f t="shared" si="29"/>
        <v>1466.97803946675</v>
      </c>
      <c r="X18" s="163">
        <f t="shared" si="29"/>
        <v>1544.1520314400875</v>
      </c>
    </row>
    <row r="19" spans="1:24" ht="25.5">
      <c r="A19" s="161" t="s">
        <v>72</v>
      </c>
      <c r="B19" s="164">
        <v>0.01</v>
      </c>
      <c r="C19" s="165">
        <f>C6*$B$19</f>
        <v>0</v>
      </c>
      <c r="D19" s="165">
        <f>(D6+'2-ф2'!AC9)*$B$19</f>
        <v>75.21275</v>
      </c>
      <c r="E19" s="165">
        <f>(E6+'2-ф2'!AD9)*$B$19</f>
        <v>90.1299</v>
      </c>
      <c r="F19" s="165">
        <f>(F6+'2-ф2'!AE9)*$B$19</f>
        <v>96.54894</v>
      </c>
      <c r="G19" s="165">
        <f>(G6+'2-ф2'!AF9)*$B$19</f>
        <v>102.9701745</v>
      </c>
      <c r="H19" s="165">
        <f>(H6+'2-ф2'!AG9)*$B$19</f>
        <v>109.393713225</v>
      </c>
      <c r="I19" s="165">
        <f>(I6+'2-ф2'!AH9)*$B$19</f>
        <v>115.81967138625001</v>
      </c>
      <c r="J19" s="165">
        <f>(J6+'2-ф2'!AI9)*$B$19</f>
        <v>122.2481699555625</v>
      </c>
      <c r="K19" s="165">
        <f>(K6+'2-ф2'!AJ9)*$B$19</f>
        <v>128.67933595334063</v>
      </c>
      <c r="N19" s="161" t="str">
        <f>A19</f>
        <v>Стр-е гражданско-правовой ответ-ти работодателя</v>
      </c>
      <c r="O19" s="167">
        <f>B19</f>
        <v>0.01</v>
      </c>
      <c r="P19" s="165">
        <f>C19*2</f>
        <v>0</v>
      </c>
      <c r="Q19" s="165">
        <f aca="true" t="shared" si="30" ref="Q19:X19">D19*12</f>
        <v>902.553</v>
      </c>
      <c r="R19" s="165">
        <f t="shared" si="30"/>
        <v>1081.5588</v>
      </c>
      <c r="S19" s="165">
        <f t="shared" si="30"/>
        <v>1158.58728</v>
      </c>
      <c r="T19" s="165">
        <f t="shared" si="30"/>
        <v>1235.642094</v>
      </c>
      <c r="U19" s="165">
        <f t="shared" si="30"/>
        <v>1312.7245587</v>
      </c>
      <c r="V19" s="165">
        <f t="shared" si="30"/>
        <v>1389.8360566350002</v>
      </c>
      <c r="W19" s="165">
        <f t="shared" si="30"/>
        <v>1466.97803946675</v>
      </c>
      <c r="X19" s="165">
        <f t="shared" si="30"/>
        <v>1544.1520314400875</v>
      </c>
    </row>
    <row r="21" spans="1:24" ht="12.75">
      <c r="A21" s="60" t="s">
        <v>73</v>
      </c>
      <c r="C21" s="166">
        <f>SUM(C22:C23)</f>
        <v>0</v>
      </c>
      <c r="D21" s="166">
        <f aca="true" t="shared" si="31" ref="D21:I21">SUM(D22:D23)</f>
        <v>1.05</v>
      </c>
      <c r="E21" s="166">
        <f t="shared" si="31"/>
        <v>1.1025</v>
      </c>
      <c r="F21" s="166">
        <f t="shared" si="31"/>
        <v>1.1576250000000001</v>
      </c>
      <c r="G21" s="166">
        <f t="shared" si="31"/>
        <v>1.2155062500000002</v>
      </c>
      <c r="H21" s="166">
        <f t="shared" si="31"/>
        <v>1.2762815625000004</v>
      </c>
      <c r="I21" s="166">
        <f t="shared" si="31"/>
        <v>1.3400956406250004</v>
      </c>
      <c r="J21" s="166">
        <f>SUM(J22:J23)</f>
        <v>1.4071004226562505</v>
      </c>
      <c r="K21" s="166">
        <f>SUM(K22:K23)</f>
        <v>1.477455443789063</v>
      </c>
      <c r="N21" s="60" t="s">
        <v>73</v>
      </c>
      <c r="P21" s="166">
        <f>SUM(P22:P23)</f>
        <v>0</v>
      </c>
      <c r="Q21" s="166">
        <f aca="true" t="shared" si="32" ref="Q21:V21">SUM(Q22:Q23)</f>
        <v>12.600000000000001</v>
      </c>
      <c r="R21" s="166">
        <f t="shared" si="32"/>
        <v>13.23</v>
      </c>
      <c r="S21" s="166">
        <f t="shared" si="32"/>
        <v>13.8915</v>
      </c>
      <c r="T21" s="166">
        <f t="shared" si="32"/>
        <v>14.586075000000003</v>
      </c>
      <c r="U21" s="166">
        <f t="shared" si="32"/>
        <v>15.315378750000004</v>
      </c>
      <c r="V21" s="166">
        <f t="shared" si="32"/>
        <v>16.081147687500007</v>
      </c>
      <c r="W21" s="166">
        <f>SUM(W22:W23)</f>
        <v>16.885205071875006</v>
      </c>
      <c r="X21" s="166">
        <f>SUM(X22:X23)</f>
        <v>17.729465325468755</v>
      </c>
    </row>
    <row r="22" spans="1:24" ht="12.75" hidden="1">
      <c r="A22" s="79" t="s">
        <v>1</v>
      </c>
      <c r="B22" s="167">
        <f>Исх!C18*0</f>
        <v>0</v>
      </c>
      <c r="C22" s="148">
        <f aca="true" t="shared" si="33" ref="C22:K22">(C35+C38)/2*$B$22/12</f>
        <v>0</v>
      </c>
      <c r="D22" s="148">
        <f t="shared" si="33"/>
        <v>0</v>
      </c>
      <c r="E22" s="148">
        <f t="shared" si="33"/>
        <v>0</v>
      </c>
      <c r="F22" s="148">
        <f t="shared" si="33"/>
        <v>0</v>
      </c>
      <c r="G22" s="148">
        <f t="shared" si="33"/>
        <v>0</v>
      </c>
      <c r="H22" s="148">
        <f t="shared" si="33"/>
        <v>0</v>
      </c>
      <c r="I22" s="148">
        <f t="shared" si="33"/>
        <v>0</v>
      </c>
      <c r="J22" s="148">
        <f t="shared" si="33"/>
        <v>0</v>
      </c>
      <c r="K22" s="148">
        <f t="shared" si="33"/>
        <v>0</v>
      </c>
      <c r="N22" s="79" t="s">
        <v>1</v>
      </c>
      <c r="O22" s="167">
        <f>B22</f>
        <v>0</v>
      </c>
      <c r="P22" s="148">
        <f>C22*12</f>
        <v>0</v>
      </c>
      <c r="Q22" s="148">
        <f aca="true" t="shared" si="34" ref="Q22:X23">D22*12</f>
        <v>0</v>
      </c>
      <c r="R22" s="148">
        <f t="shared" si="34"/>
        <v>0</v>
      </c>
      <c r="S22" s="148">
        <f t="shared" si="34"/>
        <v>0</v>
      </c>
      <c r="T22" s="148">
        <f t="shared" si="34"/>
        <v>0</v>
      </c>
      <c r="U22" s="148">
        <f t="shared" si="34"/>
        <v>0</v>
      </c>
      <c r="V22" s="148">
        <f t="shared" si="34"/>
        <v>0</v>
      </c>
      <c r="W22" s="148">
        <f t="shared" si="34"/>
        <v>0</v>
      </c>
      <c r="X22" s="148">
        <f t="shared" si="34"/>
        <v>0</v>
      </c>
    </row>
    <row r="23" spans="1:24" ht="12.75">
      <c r="A23" s="79" t="s">
        <v>229</v>
      </c>
      <c r="B23" s="142">
        <v>1</v>
      </c>
      <c r="C23" s="148"/>
      <c r="D23" s="148">
        <f>B23+B23*$D$3</f>
        <v>1.05</v>
      </c>
      <c r="E23" s="148">
        <f aca="true" t="shared" si="35" ref="E23:J23">D23+D23*$D$3</f>
        <v>1.1025</v>
      </c>
      <c r="F23" s="148">
        <f t="shared" si="35"/>
        <v>1.1576250000000001</v>
      </c>
      <c r="G23" s="148">
        <f t="shared" si="35"/>
        <v>1.2155062500000002</v>
      </c>
      <c r="H23" s="148">
        <f t="shared" si="35"/>
        <v>1.2762815625000004</v>
      </c>
      <c r="I23" s="148">
        <f t="shared" si="35"/>
        <v>1.3400956406250004</v>
      </c>
      <c r="J23" s="148">
        <f t="shared" si="35"/>
        <v>1.4071004226562505</v>
      </c>
      <c r="K23" s="148">
        <f>J23+J23*$D$3</f>
        <v>1.477455443789063</v>
      </c>
      <c r="N23" s="79" t="s">
        <v>205</v>
      </c>
      <c r="O23" s="79"/>
      <c r="P23" s="148">
        <f>C23</f>
        <v>0</v>
      </c>
      <c r="Q23" s="148">
        <f t="shared" si="34"/>
        <v>12.600000000000001</v>
      </c>
      <c r="R23" s="148">
        <f t="shared" si="34"/>
        <v>13.23</v>
      </c>
      <c r="S23" s="148">
        <f t="shared" si="34"/>
        <v>13.8915</v>
      </c>
      <c r="T23" s="148">
        <f t="shared" si="34"/>
        <v>14.586075000000003</v>
      </c>
      <c r="U23" s="148">
        <f t="shared" si="34"/>
        <v>15.315378750000004</v>
      </c>
      <c r="V23" s="148">
        <f t="shared" si="34"/>
        <v>16.081147687500007</v>
      </c>
      <c r="W23" s="148">
        <f t="shared" si="34"/>
        <v>16.885205071875006</v>
      </c>
      <c r="X23" s="148">
        <f t="shared" si="34"/>
        <v>17.729465325468755</v>
      </c>
    </row>
    <row r="25" spans="3:16" ht="12.75">
      <c r="C25" s="168"/>
      <c r="P25" s="168"/>
    </row>
    <row r="26" spans="1:16" ht="12.75">
      <c r="A26" s="276" t="s">
        <v>74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P26" s="168"/>
    </row>
    <row r="27" spans="1:16" ht="12.75">
      <c r="A27" s="138" t="s">
        <v>80</v>
      </c>
      <c r="B27" s="139"/>
      <c r="C27" s="139">
        <f aca="true" t="shared" si="36" ref="C27:K27">C5</f>
        <v>2013</v>
      </c>
      <c r="D27" s="139">
        <f t="shared" si="36"/>
        <v>2014</v>
      </c>
      <c r="E27" s="139">
        <f t="shared" si="36"/>
        <v>2015</v>
      </c>
      <c r="F27" s="139">
        <f t="shared" si="36"/>
        <v>2016</v>
      </c>
      <c r="G27" s="139">
        <f t="shared" si="36"/>
        <v>2017</v>
      </c>
      <c r="H27" s="139">
        <f t="shared" si="36"/>
        <v>2018</v>
      </c>
      <c r="I27" s="139">
        <f t="shared" si="36"/>
        <v>2019</v>
      </c>
      <c r="J27" s="139">
        <f t="shared" si="36"/>
        <v>2020</v>
      </c>
      <c r="K27" s="139">
        <f t="shared" si="36"/>
        <v>2021</v>
      </c>
      <c r="P27" s="168"/>
    </row>
    <row r="28" spans="1:16" ht="12.75">
      <c r="A28" s="79" t="s">
        <v>75</v>
      </c>
      <c r="B28" s="169"/>
      <c r="C28" s="79"/>
      <c r="D28" s="79"/>
      <c r="E28" s="79"/>
      <c r="F28" s="79"/>
      <c r="G28" s="79"/>
      <c r="H28" s="79"/>
      <c r="I28" s="79"/>
      <c r="J28" s="79"/>
      <c r="K28" s="79"/>
      <c r="P28" s="168"/>
    </row>
    <row r="29" spans="1:16" ht="12.75">
      <c r="A29" s="79" t="s">
        <v>76</v>
      </c>
      <c r="B29" s="170"/>
      <c r="C29" s="148">
        <f>C35+C41+C47</f>
        <v>0</v>
      </c>
      <c r="D29" s="148">
        <f aca="true" t="shared" si="37" ref="D29:I29">D35+D41+D47</f>
        <v>10808.9195</v>
      </c>
      <c r="E29" s="148">
        <f t="shared" si="37"/>
        <v>9537.281911764707</v>
      </c>
      <c r="F29" s="148">
        <f t="shared" si="37"/>
        <v>8265.644323529414</v>
      </c>
      <c r="G29" s="148">
        <f t="shared" si="37"/>
        <v>6994.006735294119</v>
      </c>
      <c r="H29" s="148">
        <f t="shared" si="37"/>
        <v>5722.369147058824</v>
      </c>
      <c r="I29" s="148">
        <f t="shared" si="37"/>
        <v>4450.73155882353</v>
      </c>
      <c r="J29" s="148">
        <f aca="true" t="shared" si="38" ref="J29:K31">J35+J41+J47</f>
        <v>3179.0939705882356</v>
      </c>
      <c r="K29" s="148">
        <f t="shared" si="38"/>
        <v>1907.4563823529413</v>
      </c>
      <c r="P29" s="168"/>
    </row>
    <row r="30" spans="1:16" ht="12.75">
      <c r="A30" s="79" t="s">
        <v>77</v>
      </c>
      <c r="B30" s="170"/>
      <c r="C30" s="148">
        <f>C36+C42+C48</f>
        <v>10808.9195</v>
      </c>
      <c r="D30" s="148">
        <f aca="true" t="shared" si="39" ref="D30:I30">D36+D42+D48</f>
        <v>0</v>
      </c>
      <c r="E30" s="148">
        <f t="shared" si="39"/>
        <v>0</v>
      </c>
      <c r="F30" s="148">
        <f t="shared" si="39"/>
        <v>0</v>
      </c>
      <c r="G30" s="148">
        <f t="shared" si="39"/>
        <v>0</v>
      </c>
      <c r="H30" s="148">
        <f t="shared" si="39"/>
        <v>0</v>
      </c>
      <c r="I30" s="148">
        <f t="shared" si="39"/>
        <v>0</v>
      </c>
      <c r="J30" s="148">
        <f t="shared" si="38"/>
        <v>0</v>
      </c>
      <c r="K30" s="148">
        <f t="shared" si="38"/>
        <v>0</v>
      </c>
      <c r="P30" s="168"/>
    </row>
    <row r="31" spans="1:16" ht="12.75">
      <c r="A31" s="150" t="s">
        <v>78</v>
      </c>
      <c r="B31" s="150"/>
      <c r="C31" s="149">
        <f>C37+C43+C49</f>
        <v>0</v>
      </c>
      <c r="D31" s="149">
        <f aca="true" t="shared" si="40" ref="D31:I31">D37+D43+D49</f>
        <v>1271.637588235294</v>
      </c>
      <c r="E31" s="149">
        <f t="shared" si="40"/>
        <v>1271.637588235294</v>
      </c>
      <c r="F31" s="149">
        <f t="shared" si="40"/>
        <v>1271.637588235294</v>
      </c>
      <c r="G31" s="149">
        <f t="shared" si="40"/>
        <v>1271.637588235294</v>
      </c>
      <c r="H31" s="149">
        <f t="shared" si="40"/>
        <v>1271.637588235294</v>
      </c>
      <c r="I31" s="149">
        <f t="shared" si="40"/>
        <v>1271.637588235294</v>
      </c>
      <c r="J31" s="149">
        <f t="shared" si="38"/>
        <v>1271.637588235294</v>
      </c>
      <c r="K31" s="149">
        <f t="shared" si="38"/>
        <v>1271.637588235294</v>
      </c>
      <c r="P31" s="168"/>
    </row>
    <row r="32" spans="1:16" ht="12.75">
      <c r="A32" s="79" t="s">
        <v>79</v>
      </c>
      <c r="B32" s="170"/>
      <c r="C32" s="148">
        <f aca="true" t="shared" si="41" ref="C32:I32">C29+C30-C31</f>
        <v>10808.9195</v>
      </c>
      <c r="D32" s="148">
        <f t="shared" si="41"/>
        <v>9537.281911764705</v>
      </c>
      <c r="E32" s="148">
        <f t="shared" si="41"/>
        <v>8265.644323529414</v>
      </c>
      <c r="F32" s="148">
        <f t="shared" si="41"/>
        <v>6994.00673529412</v>
      </c>
      <c r="G32" s="148">
        <f t="shared" si="41"/>
        <v>5722.369147058825</v>
      </c>
      <c r="H32" s="148">
        <f t="shared" si="41"/>
        <v>4450.73155882353</v>
      </c>
      <c r="I32" s="148">
        <f t="shared" si="41"/>
        <v>3179.0939705882356</v>
      </c>
      <c r="J32" s="148">
        <f>J29+J30-J31</f>
        <v>1907.4563823529415</v>
      </c>
      <c r="K32" s="148">
        <f>K29+K30-K31</f>
        <v>635.8187941176473</v>
      </c>
      <c r="P32" s="168"/>
    </row>
    <row r="33" spans="1:16" ht="12.75" hidden="1" outlineLevel="1">
      <c r="A33" s="77" t="s">
        <v>168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P33" s="168"/>
    </row>
    <row r="34" spans="1:16" ht="12.75" hidden="1" outlineLevel="1">
      <c r="A34" s="79" t="s">
        <v>75</v>
      </c>
      <c r="B34" s="302">
        <f>100%/12</f>
        <v>0.08333333333333333</v>
      </c>
      <c r="C34" s="79"/>
      <c r="D34" s="79"/>
      <c r="E34" s="79"/>
      <c r="F34" s="79"/>
      <c r="G34" s="79"/>
      <c r="H34" s="79"/>
      <c r="I34" s="79"/>
      <c r="J34" s="79"/>
      <c r="K34" s="79"/>
      <c r="P34" s="168"/>
    </row>
    <row r="35" spans="1:16" ht="12.75" hidden="1" outlineLevel="1">
      <c r="A35" s="79" t="s">
        <v>76</v>
      </c>
      <c r="B35" s="170"/>
      <c r="C35" s="143"/>
      <c r="D35" s="148">
        <f aca="true" t="shared" si="42" ref="D35:J35">C38</f>
        <v>0</v>
      </c>
      <c r="E35" s="148">
        <f t="shared" si="42"/>
        <v>0</v>
      </c>
      <c r="F35" s="148">
        <f t="shared" si="42"/>
        <v>0</v>
      </c>
      <c r="G35" s="148">
        <f t="shared" si="42"/>
        <v>0</v>
      </c>
      <c r="H35" s="148">
        <f t="shared" si="42"/>
        <v>0</v>
      </c>
      <c r="I35" s="148">
        <f t="shared" si="42"/>
        <v>0</v>
      </c>
      <c r="J35" s="148">
        <f t="shared" si="42"/>
        <v>0</v>
      </c>
      <c r="K35" s="148">
        <f>J38</f>
        <v>0</v>
      </c>
      <c r="P35" s="168"/>
    </row>
    <row r="36" spans="1:16" ht="12.75" hidden="1" outlineLevel="1">
      <c r="A36" s="79" t="s">
        <v>77</v>
      </c>
      <c r="B36" s="170"/>
      <c r="C36" s="148">
        <f>Инв!C20</f>
        <v>0</v>
      </c>
      <c r="D36" s="148"/>
      <c r="E36" s="148"/>
      <c r="F36" s="148"/>
      <c r="G36" s="148"/>
      <c r="H36" s="148"/>
      <c r="I36" s="148"/>
      <c r="J36" s="148"/>
      <c r="K36" s="148"/>
      <c r="P36" s="168"/>
    </row>
    <row r="37" spans="1:16" ht="12.75" hidden="1" outlineLevel="1">
      <c r="A37" s="150" t="s">
        <v>78</v>
      </c>
      <c r="B37" s="150"/>
      <c r="C37" s="149">
        <f>$C36*$B34/12*0</f>
        <v>0</v>
      </c>
      <c r="D37" s="149">
        <f>$C36*$B34</f>
        <v>0</v>
      </c>
      <c r="E37" s="149">
        <f>$C36*$B34</f>
        <v>0</v>
      </c>
      <c r="F37" s="149">
        <f aca="true" t="shared" si="43" ref="F37:K37">$C36*$B34</f>
        <v>0</v>
      </c>
      <c r="G37" s="149">
        <f t="shared" si="43"/>
        <v>0</v>
      </c>
      <c r="H37" s="149">
        <f t="shared" si="43"/>
        <v>0</v>
      </c>
      <c r="I37" s="149">
        <f t="shared" si="43"/>
        <v>0</v>
      </c>
      <c r="J37" s="149">
        <f t="shared" si="43"/>
        <v>0</v>
      </c>
      <c r="K37" s="149">
        <f t="shared" si="43"/>
        <v>0</v>
      </c>
      <c r="P37" s="168"/>
    </row>
    <row r="38" spans="1:16" ht="12.75" hidden="1" outlineLevel="1">
      <c r="A38" s="79" t="s">
        <v>79</v>
      </c>
      <c r="B38" s="170"/>
      <c r="C38" s="148">
        <f aca="true" t="shared" si="44" ref="C38:I38">C35+C36-C37</f>
        <v>0</v>
      </c>
      <c r="D38" s="148">
        <f t="shared" si="44"/>
        <v>0</v>
      </c>
      <c r="E38" s="148">
        <f t="shared" si="44"/>
        <v>0</v>
      </c>
      <c r="F38" s="148">
        <f t="shared" si="44"/>
        <v>0</v>
      </c>
      <c r="G38" s="148">
        <f t="shared" si="44"/>
        <v>0</v>
      </c>
      <c r="H38" s="148">
        <f t="shared" si="44"/>
        <v>0</v>
      </c>
      <c r="I38" s="148">
        <f t="shared" si="44"/>
        <v>0</v>
      </c>
      <c r="J38" s="148">
        <f>J35+J36-J37</f>
        <v>0</v>
      </c>
      <c r="K38" s="148">
        <f>K35+K36-K37</f>
        <v>0</v>
      </c>
      <c r="P38" s="168"/>
    </row>
    <row r="39" spans="1:16" ht="12.75" hidden="1" outlineLevel="1">
      <c r="A39" s="77" t="s">
        <v>97</v>
      </c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P39" s="168"/>
    </row>
    <row r="40" spans="1:16" ht="12.75" hidden="1" outlineLevel="1">
      <c r="A40" s="79" t="s">
        <v>75</v>
      </c>
      <c r="B40" s="302">
        <f>100%/8.5</f>
        <v>0.11764705882352941</v>
      </c>
      <c r="C40" s="79"/>
      <c r="D40" s="79"/>
      <c r="E40" s="79"/>
      <c r="F40" s="79"/>
      <c r="G40" s="79"/>
      <c r="H40" s="79"/>
      <c r="I40" s="79"/>
      <c r="J40" s="79"/>
      <c r="K40" s="79"/>
      <c r="P40" s="168"/>
    </row>
    <row r="41" spans="1:16" ht="12.75" hidden="1" outlineLevel="1">
      <c r="A41" s="79" t="s">
        <v>76</v>
      </c>
      <c r="B41" s="170"/>
      <c r="C41" s="148"/>
      <c r="D41" s="148">
        <f aca="true" t="shared" si="45" ref="D41:J41">C44</f>
        <v>7806.150000000001</v>
      </c>
      <c r="E41" s="148">
        <f t="shared" si="45"/>
        <v>6887.779411764706</v>
      </c>
      <c r="F41" s="148">
        <f t="shared" si="45"/>
        <v>5969.408823529412</v>
      </c>
      <c r="G41" s="148">
        <f t="shared" si="45"/>
        <v>5051.038235294118</v>
      </c>
      <c r="H41" s="148">
        <f t="shared" si="45"/>
        <v>4132.667647058824</v>
      </c>
      <c r="I41" s="148">
        <f t="shared" si="45"/>
        <v>3214.2970588235294</v>
      </c>
      <c r="J41" s="148">
        <f t="shared" si="45"/>
        <v>2295.926470588235</v>
      </c>
      <c r="K41" s="148">
        <f>J44</f>
        <v>1377.555882352941</v>
      </c>
      <c r="P41" s="168"/>
    </row>
    <row r="42" spans="1:16" ht="12.75" hidden="1" outlineLevel="1">
      <c r="A42" s="79" t="s">
        <v>77</v>
      </c>
      <c r="B42" s="170"/>
      <c r="C42" s="148">
        <f>Инв!C21</f>
        <v>7806.150000000001</v>
      </c>
      <c r="D42" s="148"/>
      <c r="E42" s="148"/>
      <c r="F42" s="148"/>
      <c r="G42" s="148"/>
      <c r="H42" s="148"/>
      <c r="I42" s="148"/>
      <c r="J42" s="148"/>
      <c r="K42" s="148"/>
      <c r="P42" s="168"/>
    </row>
    <row r="43" spans="1:16" ht="12.75" hidden="1" outlineLevel="1">
      <c r="A43" s="150" t="s">
        <v>78</v>
      </c>
      <c r="B43" s="150"/>
      <c r="C43" s="149">
        <f>$C42*$B40/12*0</f>
        <v>0</v>
      </c>
      <c r="D43" s="149">
        <f aca="true" t="shared" si="46" ref="D43:K43">$C42*$B40</f>
        <v>918.3705882352941</v>
      </c>
      <c r="E43" s="149">
        <f t="shared" si="46"/>
        <v>918.3705882352941</v>
      </c>
      <c r="F43" s="149">
        <f t="shared" si="46"/>
        <v>918.3705882352941</v>
      </c>
      <c r="G43" s="149">
        <f t="shared" si="46"/>
        <v>918.3705882352941</v>
      </c>
      <c r="H43" s="149">
        <f t="shared" si="46"/>
        <v>918.3705882352941</v>
      </c>
      <c r="I43" s="149">
        <f t="shared" si="46"/>
        <v>918.3705882352941</v>
      </c>
      <c r="J43" s="149">
        <f t="shared" si="46"/>
        <v>918.3705882352941</v>
      </c>
      <c r="K43" s="149">
        <f t="shared" si="46"/>
        <v>918.3705882352941</v>
      </c>
      <c r="P43" s="168"/>
    </row>
    <row r="44" spans="1:16" ht="12.75" hidden="1" outlineLevel="1">
      <c r="A44" s="79" t="s">
        <v>79</v>
      </c>
      <c r="B44" s="170"/>
      <c r="C44" s="148">
        <f aca="true" t="shared" si="47" ref="C44:I44">C41+C42-C43</f>
        <v>7806.150000000001</v>
      </c>
      <c r="D44" s="148">
        <f t="shared" si="47"/>
        <v>6887.779411764706</v>
      </c>
      <c r="E44" s="148">
        <f t="shared" si="47"/>
        <v>5969.408823529412</v>
      </c>
      <c r="F44" s="148">
        <f t="shared" si="47"/>
        <v>5051.038235294118</v>
      </c>
      <c r="G44" s="148">
        <f t="shared" si="47"/>
        <v>4132.667647058824</v>
      </c>
      <c r="H44" s="148">
        <f t="shared" si="47"/>
        <v>3214.2970588235294</v>
      </c>
      <c r="I44" s="148">
        <f t="shared" si="47"/>
        <v>2295.926470588235</v>
      </c>
      <c r="J44" s="148">
        <f>J41+J42-J43</f>
        <v>1377.555882352941</v>
      </c>
      <c r="K44" s="148">
        <f>K41+K42-K43</f>
        <v>459.1852941176468</v>
      </c>
      <c r="P44" s="168"/>
    </row>
    <row r="45" spans="1:16" ht="12.75" hidden="1" outlineLevel="1">
      <c r="A45" s="77" t="s">
        <v>191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P45" s="168"/>
    </row>
    <row r="46" spans="1:16" ht="12.75" hidden="1" outlineLevel="1">
      <c r="A46" s="79" t="s">
        <v>75</v>
      </c>
      <c r="B46" s="171">
        <f>100%/8.5</f>
        <v>0.11764705882352941</v>
      </c>
      <c r="C46" s="79"/>
      <c r="D46" s="79"/>
      <c r="E46" s="79"/>
      <c r="F46" s="79"/>
      <c r="G46" s="79"/>
      <c r="H46" s="79"/>
      <c r="I46" s="79"/>
      <c r="J46" s="79"/>
      <c r="K46" s="79"/>
      <c r="P46" s="168"/>
    </row>
    <row r="47" spans="1:16" ht="12.75" hidden="1" outlineLevel="1">
      <c r="A47" s="79" t="s">
        <v>76</v>
      </c>
      <c r="B47" s="170"/>
      <c r="C47" s="148"/>
      <c r="D47" s="148">
        <f aca="true" t="shared" si="48" ref="D47:J47">C50</f>
        <v>3002.7695000000003</v>
      </c>
      <c r="E47" s="148">
        <f t="shared" si="48"/>
        <v>2649.5025000000005</v>
      </c>
      <c r="F47" s="148">
        <f t="shared" si="48"/>
        <v>2296.2355000000007</v>
      </c>
      <c r="G47" s="148">
        <f t="shared" si="48"/>
        <v>1942.9685000000006</v>
      </c>
      <c r="H47" s="148">
        <f t="shared" si="48"/>
        <v>1589.7015000000006</v>
      </c>
      <c r="I47" s="148">
        <f t="shared" si="48"/>
        <v>1236.4345000000005</v>
      </c>
      <c r="J47" s="148">
        <f t="shared" si="48"/>
        <v>883.1675000000005</v>
      </c>
      <c r="K47" s="148">
        <f>J50</f>
        <v>529.9005000000004</v>
      </c>
      <c r="P47" s="168"/>
    </row>
    <row r="48" spans="1:16" ht="12.75" hidden="1" outlineLevel="1">
      <c r="A48" s="79" t="s">
        <v>77</v>
      </c>
      <c r="B48" s="170"/>
      <c r="C48" s="148">
        <f>Инв!C22</f>
        <v>3002.7695000000003</v>
      </c>
      <c r="D48" s="148"/>
      <c r="E48" s="148"/>
      <c r="F48" s="148"/>
      <c r="G48" s="148"/>
      <c r="H48" s="148"/>
      <c r="I48" s="148"/>
      <c r="J48" s="148"/>
      <c r="K48" s="148"/>
      <c r="P48" s="168"/>
    </row>
    <row r="49" spans="1:16" ht="12.75" hidden="1" outlineLevel="1">
      <c r="A49" s="150" t="s">
        <v>78</v>
      </c>
      <c r="B49" s="150"/>
      <c r="C49" s="149">
        <f>$C48*$B46/12*0</f>
        <v>0</v>
      </c>
      <c r="D49" s="149">
        <f>$C48*$B46</f>
        <v>353.26700000000005</v>
      </c>
      <c r="E49" s="149">
        <f>$C48*$B46</f>
        <v>353.26700000000005</v>
      </c>
      <c r="F49" s="149">
        <f aca="true" t="shared" si="49" ref="F49:K49">$C48*$B46</f>
        <v>353.26700000000005</v>
      </c>
      <c r="G49" s="149">
        <f t="shared" si="49"/>
        <v>353.26700000000005</v>
      </c>
      <c r="H49" s="149">
        <f t="shared" si="49"/>
        <v>353.26700000000005</v>
      </c>
      <c r="I49" s="149">
        <f t="shared" si="49"/>
        <v>353.26700000000005</v>
      </c>
      <c r="J49" s="149">
        <f t="shared" si="49"/>
        <v>353.26700000000005</v>
      </c>
      <c r="K49" s="149">
        <f t="shared" si="49"/>
        <v>353.26700000000005</v>
      </c>
      <c r="P49" s="168"/>
    </row>
    <row r="50" spans="1:16" ht="12.75" hidden="1" outlineLevel="1">
      <c r="A50" s="79" t="s">
        <v>79</v>
      </c>
      <c r="B50" s="170"/>
      <c r="C50" s="148">
        <f aca="true" t="shared" si="50" ref="C50:I50">C47+C48-C49</f>
        <v>3002.7695000000003</v>
      </c>
      <c r="D50" s="148">
        <f t="shared" si="50"/>
        <v>2649.5025000000005</v>
      </c>
      <c r="E50" s="148">
        <f t="shared" si="50"/>
        <v>2296.2355000000007</v>
      </c>
      <c r="F50" s="148">
        <f t="shared" si="50"/>
        <v>1942.9685000000006</v>
      </c>
      <c r="G50" s="148">
        <f t="shared" si="50"/>
        <v>1589.7015000000006</v>
      </c>
      <c r="H50" s="148">
        <f t="shared" si="50"/>
        <v>1236.4345000000005</v>
      </c>
      <c r="I50" s="148">
        <f t="shared" si="50"/>
        <v>883.1675000000005</v>
      </c>
      <c r="J50" s="148">
        <f>J47+J48-J49</f>
        <v>529.9005000000004</v>
      </c>
      <c r="K50" s="148">
        <f>K47+K48-K49</f>
        <v>176.63350000000037</v>
      </c>
      <c r="P50" s="168"/>
    </row>
    <row r="51" ht="12.75" collapsed="1">
      <c r="P51" s="168"/>
    </row>
  </sheetData>
  <sheetProtection/>
  <printOptions/>
  <pageMargins left="0.26" right="0.2" top="0.49" bottom="0.82" header="0.2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2:N30"/>
  <sheetViews>
    <sheetView showGridLines="0" zoomScalePageLayoutView="0" workbookViewId="0" topLeftCell="A1">
      <pane xSplit="1" ySplit="4" topLeftCell="B5" activePane="bottomRight" state="frozen"/>
      <selection pane="topLeft" activeCell="A34" sqref="A34"/>
      <selection pane="topRight" activeCell="A34" sqref="A34"/>
      <selection pane="bottomLeft" activeCell="A34" sqref="A34"/>
      <selection pane="bottomRight" activeCell="F35" sqref="F35"/>
    </sheetView>
  </sheetViews>
  <sheetFormatPr defaultColWidth="9.00390625" defaultRowHeight="12.75"/>
  <cols>
    <col min="1" max="1" width="5.625" style="76" customWidth="1"/>
    <col min="2" max="2" width="26.125" style="76" customWidth="1"/>
    <col min="3" max="3" width="10.00390625" style="76" customWidth="1"/>
    <col min="4" max="4" width="8.625" style="76" customWidth="1"/>
    <col min="5" max="5" width="12.75390625" style="76" customWidth="1"/>
    <col min="6" max="6" width="11.625" style="76" bestFit="1" customWidth="1"/>
    <col min="7" max="7" width="11.75390625" style="76" customWidth="1"/>
    <col min="8" max="8" width="11.625" style="76" bestFit="1" customWidth="1"/>
    <col min="9" max="9" width="11.625" style="76" hidden="1" customWidth="1"/>
    <col min="10" max="10" width="9.25390625" style="76" customWidth="1"/>
    <col min="11" max="11" width="10.75390625" style="76" customWidth="1"/>
    <col min="12" max="12" width="6.25390625" style="76" bestFit="1" customWidth="1"/>
    <col min="13" max="13" width="13.375" style="76" customWidth="1"/>
    <col min="14" max="16384" width="9.125" style="76" customWidth="1"/>
  </cols>
  <sheetData>
    <row r="1" ht="5.25" customHeight="1"/>
    <row r="2" spans="1:14" ht="16.5" customHeight="1">
      <c r="A2" s="60" t="s">
        <v>132</v>
      </c>
      <c r="D2" s="160"/>
      <c r="E2" s="160"/>
      <c r="F2" s="160"/>
      <c r="G2" s="160"/>
      <c r="H2" s="160"/>
      <c r="I2" s="160"/>
      <c r="J2" s="160"/>
      <c r="K2" s="144" t="str">
        <f>Исх!C11</f>
        <v>тыс.тг.</v>
      </c>
      <c r="N2" s="252"/>
    </row>
    <row r="3" spans="1:11" ht="8.25" customHeight="1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42" customHeight="1">
      <c r="A4" s="253" t="s">
        <v>31</v>
      </c>
      <c r="B4" s="213" t="s">
        <v>32</v>
      </c>
      <c r="C4" s="213" t="s">
        <v>33</v>
      </c>
      <c r="D4" s="146" t="s">
        <v>87</v>
      </c>
      <c r="E4" s="146" t="s">
        <v>88</v>
      </c>
      <c r="F4" s="146" t="s">
        <v>41</v>
      </c>
      <c r="G4" s="146" t="s">
        <v>42</v>
      </c>
      <c r="H4" s="146" t="s">
        <v>43</v>
      </c>
      <c r="I4" s="146" t="s">
        <v>44</v>
      </c>
      <c r="J4" s="146" t="s">
        <v>45</v>
      </c>
      <c r="K4" s="146" t="s">
        <v>40</v>
      </c>
    </row>
    <row r="5" spans="1:11" s="60" customFormat="1" ht="25.5">
      <c r="A5" s="140"/>
      <c r="B5" s="147" t="s">
        <v>86</v>
      </c>
      <c r="C5" s="140"/>
      <c r="D5" s="140"/>
      <c r="E5" s="140"/>
      <c r="F5" s="140"/>
      <c r="G5" s="140"/>
      <c r="H5" s="140"/>
      <c r="I5" s="140"/>
      <c r="J5" s="140"/>
      <c r="K5" s="140"/>
    </row>
    <row r="6" spans="1:11" ht="12.75">
      <c r="A6" s="79">
        <v>1</v>
      </c>
      <c r="B6" s="79" t="s">
        <v>177</v>
      </c>
      <c r="C6" s="79">
        <v>1</v>
      </c>
      <c r="D6" s="142">
        <v>80</v>
      </c>
      <c r="E6" s="148">
        <f>C6*D6</f>
        <v>80</v>
      </c>
      <c r="F6" s="148">
        <f>E6*$C$25</f>
        <v>8</v>
      </c>
      <c r="G6" s="148">
        <f>(E6-$C$29*C6-F6)*$C$27</f>
        <v>5.3340000000000005</v>
      </c>
      <c r="H6" s="148">
        <f>(E6-F6)*$C$26</f>
        <v>3.6</v>
      </c>
      <c r="I6" s="148">
        <f>((E6-F6)*$C$28-H6)*0</f>
        <v>0</v>
      </c>
      <c r="J6" s="148">
        <f>E6-F6-G6</f>
        <v>66.666</v>
      </c>
      <c r="K6" s="149">
        <f>SUM(F6:J6)</f>
        <v>83.6</v>
      </c>
    </row>
    <row r="7" spans="1:11" ht="12.75" hidden="1">
      <c r="A7" s="79"/>
      <c r="B7" s="79"/>
      <c r="C7" s="79"/>
      <c r="D7" s="142"/>
      <c r="E7" s="148">
        <f>C7*D7</f>
        <v>0</v>
      </c>
      <c r="F7" s="148">
        <f>E7*$C$25</f>
        <v>0</v>
      </c>
      <c r="G7" s="148">
        <f>(E7-$C$29*C7-F7)*$C$27</f>
        <v>0</v>
      </c>
      <c r="H7" s="148">
        <f>(E7-F7)*$C$26</f>
        <v>0</v>
      </c>
      <c r="I7" s="148">
        <f>(E7-F7)*$C$28-H7</f>
        <v>0</v>
      </c>
      <c r="J7" s="148">
        <f>E7-F7-G7</f>
        <v>0</v>
      </c>
      <c r="K7" s="149">
        <f>SUM(F7:J7)</f>
        <v>0</v>
      </c>
    </row>
    <row r="8" spans="1:11" s="60" customFormat="1" ht="12.75">
      <c r="A8" s="150"/>
      <c r="B8" s="150" t="s">
        <v>0</v>
      </c>
      <c r="C8" s="31">
        <f aca="true" t="shared" si="0" ref="C8:K8">SUM(C6:C7)</f>
        <v>1</v>
      </c>
      <c r="D8" s="31">
        <f t="shared" si="0"/>
        <v>80</v>
      </c>
      <c r="E8" s="31">
        <f t="shared" si="0"/>
        <v>80</v>
      </c>
      <c r="F8" s="31">
        <f t="shared" si="0"/>
        <v>8</v>
      </c>
      <c r="G8" s="31">
        <f t="shared" si="0"/>
        <v>5.3340000000000005</v>
      </c>
      <c r="H8" s="31">
        <f t="shared" si="0"/>
        <v>3.6</v>
      </c>
      <c r="I8" s="31">
        <f t="shared" si="0"/>
        <v>0</v>
      </c>
      <c r="J8" s="31">
        <f t="shared" si="0"/>
        <v>66.666</v>
      </c>
      <c r="K8" s="31">
        <f t="shared" si="0"/>
        <v>83.6</v>
      </c>
    </row>
    <row r="9" spans="1:12" s="60" customFormat="1" ht="12.75">
      <c r="A9" s="140"/>
      <c r="B9" s="140" t="s">
        <v>91</v>
      </c>
      <c r="C9" s="140"/>
      <c r="D9" s="141"/>
      <c r="E9" s="141"/>
      <c r="F9" s="141"/>
      <c r="G9" s="141"/>
      <c r="H9" s="141"/>
      <c r="I9" s="141"/>
      <c r="J9" s="141"/>
      <c r="K9" s="141"/>
      <c r="L9" s="76"/>
    </row>
    <row r="10" spans="1:12" ht="12.75">
      <c r="A10" s="79">
        <v>1</v>
      </c>
      <c r="B10" s="79" t="s">
        <v>309</v>
      </c>
      <c r="C10" s="148">
        <v>6</v>
      </c>
      <c r="D10" s="142"/>
      <c r="E10" s="148">
        <f>C10*D10</f>
        <v>0</v>
      </c>
      <c r="F10" s="148">
        <f>E10*$C$25</f>
        <v>0</v>
      </c>
      <c r="G10" s="148">
        <f>(E10-$C$29*C10-F10)*$C$27*0</f>
        <v>0</v>
      </c>
      <c r="H10" s="148">
        <f>(E10-F10)*$C$26</f>
        <v>0</v>
      </c>
      <c r="I10" s="148">
        <f>(E10-F10)*$C$28-H10</f>
        <v>0</v>
      </c>
      <c r="J10" s="148">
        <f>E10-F10-G10</f>
        <v>0</v>
      </c>
      <c r="K10" s="149">
        <f>SUM(F10:J10)</f>
        <v>0</v>
      </c>
      <c r="L10" s="76" t="s">
        <v>273</v>
      </c>
    </row>
    <row r="11" spans="1:11" ht="12.75">
      <c r="A11" s="79"/>
      <c r="B11" s="79"/>
      <c r="C11" s="148"/>
      <c r="D11" s="142"/>
      <c r="E11" s="148">
        <f>C11*D11</f>
        <v>0</v>
      </c>
      <c r="F11" s="148">
        <f>E11*$C$25</f>
        <v>0</v>
      </c>
      <c r="G11" s="148">
        <f>(E11-$C$29*C11-F11)*$C$27</f>
        <v>0</v>
      </c>
      <c r="H11" s="148">
        <f>(E11-F11)*$C$26</f>
        <v>0</v>
      </c>
      <c r="I11" s="148">
        <f>(E11-F11)*$C$28-H11</f>
        <v>0</v>
      </c>
      <c r="J11" s="148">
        <f>E11-F11-G11</f>
        <v>0</v>
      </c>
      <c r="K11" s="149">
        <f>SUM(F11:J11)</f>
        <v>0</v>
      </c>
    </row>
    <row r="12" spans="1:11" s="60" customFormat="1" ht="12.75">
      <c r="A12" s="150"/>
      <c r="B12" s="151" t="s">
        <v>0</v>
      </c>
      <c r="C12" s="150">
        <f aca="true" t="shared" si="1" ref="C12:K12">SUM(C9:C11)</f>
        <v>6</v>
      </c>
      <c r="D12" s="149">
        <f t="shared" si="1"/>
        <v>0</v>
      </c>
      <c r="E12" s="149">
        <f t="shared" si="1"/>
        <v>0</v>
      </c>
      <c r="F12" s="149">
        <f t="shared" si="1"/>
        <v>0</v>
      </c>
      <c r="G12" s="149">
        <f t="shared" si="1"/>
        <v>0</v>
      </c>
      <c r="H12" s="149">
        <f t="shared" si="1"/>
        <v>0</v>
      </c>
      <c r="I12" s="149">
        <f t="shared" si="1"/>
        <v>0</v>
      </c>
      <c r="J12" s="149">
        <f t="shared" si="1"/>
        <v>0</v>
      </c>
      <c r="K12" s="149">
        <f t="shared" si="1"/>
        <v>0</v>
      </c>
    </row>
    <row r="13" spans="1:11" s="60" customFormat="1" ht="12.75" hidden="1">
      <c r="A13" s="140"/>
      <c r="B13" s="140" t="s">
        <v>92</v>
      </c>
      <c r="C13" s="140"/>
      <c r="D13" s="141"/>
      <c r="E13" s="141"/>
      <c r="F13" s="141"/>
      <c r="G13" s="141"/>
      <c r="H13" s="141"/>
      <c r="I13" s="141"/>
      <c r="J13" s="141"/>
      <c r="K13" s="141"/>
    </row>
    <row r="14" spans="1:14" ht="12.75" hidden="1">
      <c r="A14" s="79"/>
      <c r="B14" s="79"/>
      <c r="C14" s="79"/>
      <c r="D14" s="142"/>
      <c r="E14" s="148">
        <f>C14*D14</f>
        <v>0</v>
      </c>
      <c r="F14" s="148">
        <f>E14*$C$25</f>
        <v>0</v>
      </c>
      <c r="G14" s="148">
        <f>(E14-$C$29*C14-F14)*$C$27</f>
        <v>0</v>
      </c>
      <c r="H14" s="148">
        <f>(E14-F14)*$C$26</f>
        <v>0</v>
      </c>
      <c r="I14" s="148">
        <f>(E14-F14)*$C$28-H14</f>
        <v>0</v>
      </c>
      <c r="J14" s="148">
        <f>E14-F14-G14</f>
        <v>0</v>
      </c>
      <c r="K14" s="149">
        <f>SUM(F14:J14)</f>
        <v>0</v>
      </c>
      <c r="L14" s="265"/>
      <c r="N14" s="269"/>
    </row>
    <row r="15" spans="1:12" ht="12.75" hidden="1">
      <c r="A15" s="79"/>
      <c r="B15" s="79"/>
      <c r="C15" s="79"/>
      <c r="D15" s="142"/>
      <c r="E15" s="148">
        <f>C15*D15</f>
        <v>0</v>
      </c>
      <c r="F15" s="148">
        <f>E15*$C$25</f>
        <v>0</v>
      </c>
      <c r="G15" s="148">
        <f>(E15-$C$29*C15-F15)*$C$27</f>
        <v>0</v>
      </c>
      <c r="H15" s="148">
        <f>(E15-F15)*$C$26</f>
        <v>0</v>
      </c>
      <c r="I15" s="148">
        <f>(E15-F15)*$C$28-H15</f>
        <v>0</v>
      </c>
      <c r="J15" s="148">
        <f>E15-F15-G15</f>
        <v>0</v>
      </c>
      <c r="K15" s="149">
        <f>SUM(F15:J15)</f>
        <v>0</v>
      </c>
      <c r="L15" s="265"/>
    </row>
    <row r="16" spans="1:11" s="60" customFormat="1" ht="12.75" hidden="1">
      <c r="A16" s="150"/>
      <c r="B16" s="151" t="s">
        <v>0</v>
      </c>
      <c r="C16" s="150">
        <f aca="true" t="shared" si="2" ref="C16:K16">SUM(C14:C15)</f>
        <v>0</v>
      </c>
      <c r="D16" s="149">
        <f t="shared" si="2"/>
        <v>0</v>
      </c>
      <c r="E16" s="149">
        <f t="shared" si="2"/>
        <v>0</v>
      </c>
      <c r="F16" s="149">
        <f t="shared" si="2"/>
        <v>0</v>
      </c>
      <c r="G16" s="149">
        <f t="shared" si="2"/>
        <v>0</v>
      </c>
      <c r="H16" s="149">
        <f t="shared" si="2"/>
        <v>0</v>
      </c>
      <c r="I16" s="149">
        <f t="shared" si="2"/>
        <v>0</v>
      </c>
      <c r="J16" s="149">
        <f t="shared" si="2"/>
        <v>0</v>
      </c>
      <c r="K16" s="149">
        <f t="shared" si="2"/>
        <v>0</v>
      </c>
    </row>
    <row r="17" spans="1:11" s="60" customFormat="1" ht="12.75" hidden="1">
      <c r="A17" s="140"/>
      <c r="B17" s="140" t="s">
        <v>99</v>
      </c>
      <c r="C17" s="140"/>
      <c r="D17" s="141"/>
      <c r="E17" s="141"/>
      <c r="F17" s="141"/>
      <c r="G17" s="141"/>
      <c r="H17" s="141"/>
      <c r="I17" s="141"/>
      <c r="J17" s="141"/>
      <c r="K17" s="141"/>
    </row>
    <row r="18" spans="1:13" ht="12.75" hidden="1">
      <c r="A18" s="79"/>
      <c r="B18" s="79"/>
      <c r="C18" s="79"/>
      <c r="D18" s="142"/>
      <c r="E18" s="148">
        <f>C18*D18</f>
        <v>0</v>
      </c>
      <c r="F18" s="148">
        <f>E18*$C$25</f>
        <v>0</v>
      </c>
      <c r="G18" s="148">
        <f>(E18-$C$29*C18-F18)*$C$27</f>
        <v>0</v>
      </c>
      <c r="H18" s="148">
        <f>(E18-F18)*$C$26</f>
        <v>0</v>
      </c>
      <c r="I18" s="148">
        <f>(E18-F18)*$C$28-H18</f>
        <v>0</v>
      </c>
      <c r="J18" s="148">
        <f>E18-F18-G18</f>
        <v>0</v>
      </c>
      <c r="K18" s="149">
        <f>SUM(F18:J18)</f>
        <v>0</v>
      </c>
      <c r="M18" s="152"/>
    </row>
    <row r="19" spans="1:11" ht="12.75" hidden="1">
      <c r="A19" s="79"/>
      <c r="B19" s="79"/>
      <c r="C19" s="79"/>
      <c r="D19" s="142"/>
      <c r="E19" s="148">
        <f>C19*D19</f>
        <v>0</v>
      </c>
      <c r="F19" s="148">
        <f>E19*$C$25</f>
        <v>0</v>
      </c>
      <c r="G19" s="148">
        <f>(E19-$C$29*C19-F19)*$C$27</f>
        <v>0</v>
      </c>
      <c r="H19" s="148">
        <f>(E19-F19)*$C$26</f>
        <v>0</v>
      </c>
      <c r="I19" s="148">
        <f>(E19-F19)*$C$28-H19</f>
        <v>0</v>
      </c>
      <c r="J19" s="148">
        <f>E19-F19-G19</f>
        <v>0</v>
      </c>
      <c r="K19" s="149">
        <f>SUM(F19:J19)</f>
        <v>0</v>
      </c>
    </row>
    <row r="20" spans="1:11" ht="12.75" hidden="1">
      <c r="A20" s="79"/>
      <c r="B20" s="79"/>
      <c r="C20" s="79"/>
      <c r="D20" s="142"/>
      <c r="E20" s="148">
        <f>C20*D20</f>
        <v>0</v>
      </c>
      <c r="F20" s="148">
        <f>E20*$C$25</f>
        <v>0</v>
      </c>
      <c r="G20" s="148">
        <f>(E20-$C$29*C20-F20)*$C$27</f>
        <v>0</v>
      </c>
      <c r="H20" s="148">
        <f>(E20-F20)*$C$26</f>
        <v>0</v>
      </c>
      <c r="I20" s="148">
        <f>(E20-F20)*$C$28-H20</f>
        <v>0</v>
      </c>
      <c r="J20" s="148">
        <f>E20-F20-G20</f>
        <v>0</v>
      </c>
      <c r="K20" s="149">
        <f>SUM(F20:J20)</f>
        <v>0</v>
      </c>
    </row>
    <row r="21" spans="1:11" s="60" customFormat="1" ht="12.75" hidden="1">
      <c r="A21" s="150"/>
      <c r="B21" s="151" t="s">
        <v>0</v>
      </c>
      <c r="C21" s="150">
        <f aca="true" t="shared" si="3" ref="C21:K21">SUM(C18:C20)</f>
        <v>0</v>
      </c>
      <c r="D21" s="150">
        <f t="shared" si="3"/>
        <v>0</v>
      </c>
      <c r="E21" s="150">
        <f t="shared" si="3"/>
        <v>0</v>
      </c>
      <c r="F21" s="150">
        <f t="shared" si="3"/>
        <v>0</v>
      </c>
      <c r="G21" s="149">
        <f t="shared" si="3"/>
        <v>0</v>
      </c>
      <c r="H21" s="149">
        <f t="shared" si="3"/>
        <v>0</v>
      </c>
      <c r="I21" s="149">
        <f t="shared" si="3"/>
        <v>0</v>
      </c>
      <c r="J21" s="149">
        <f t="shared" si="3"/>
        <v>0</v>
      </c>
      <c r="K21" s="149">
        <f t="shared" si="3"/>
        <v>0</v>
      </c>
    </row>
    <row r="22" spans="1:11" ht="12.75" hidden="1">
      <c r="A22" s="79"/>
      <c r="B22" s="79"/>
      <c r="C22" s="79"/>
      <c r="D22" s="148"/>
      <c r="E22" s="148"/>
      <c r="F22" s="148"/>
      <c r="G22" s="148"/>
      <c r="H22" s="148"/>
      <c r="I22" s="148"/>
      <c r="J22" s="148"/>
      <c r="K22" s="148"/>
    </row>
    <row r="23" spans="1:14" s="60" customFormat="1" ht="12.75">
      <c r="A23" s="150"/>
      <c r="B23" s="150" t="s">
        <v>100</v>
      </c>
      <c r="C23" s="149">
        <f aca="true" t="shared" si="4" ref="C23:K23">C8+C12+C16+C21</f>
        <v>7</v>
      </c>
      <c r="D23" s="149">
        <f t="shared" si="4"/>
        <v>80</v>
      </c>
      <c r="E23" s="149">
        <f t="shared" si="4"/>
        <v>80</v>
      </c>
      <c r="F23" s="149">
        <f t="shared" si="4"/>
        <v>8</v>
      </c>
      <c r="G23" s="149">
        <f t="shared" si="4"/>
        <v>5.3340000000000005</v>
      </c>
      <c r="H23" s="149">
        <f t="shared" si="4"/>
        <v>3.6</v>
      </c>
      <c r="I23" s="149">
        <f t="shared" si="4"/>
        <v>0</v>
      </c>
      <c r="J23" s="149">
        <f t="shared" si="4"/>
        <v>66.666</v>
      </c>
      <c r="K23" s="153">
        <f t="shared" si="4"/>
        <v>83.6</v>
      </c>
      <c r="N23" s="194"/>
    </row>
    <row r="25" spans="2:10" ht="12.75">
      <c r="B25" s="79" t="s">
        <v>41</v>
      </c>
      <c r="C25" s="154">
        <f>Исх!C13</f>
        <v>0.1</v>
      </c>
      <c r="D25" s="155"/>
      <c r="E25" s="155"/>
      <c r="F25" s="155"/>
      <c r="G25" s="354"/>
      <c r="H25" s="354"/>
      <c r="I25" s="354"/>
      <c r="J25" s="354"/>
    </row>
    <row r="26" spans="2:10" ht="12.75">
      <c r="B26" s="79" t="s">
        <v>46</v>
      </c>
      <c r="C26" s="154">
        <f>Исх!C14</f>
        <v>0.05</v>
      </c>
      <c r="D26" s="155"/>
      <c r="E26" s="155"/>
      <c r="F26" s="155"/>
      <c r="G26" s="155"/>
      <c r="H26" s="155"/>
      <c r="I26" s="156"/>
      <c r="J26" s="157"/>
    </row>
    <row r="27" spans="2:10" ht="12.75">
      <c r="B27" s="79" t="s">
        <v>42</v>
      </c>
      <c r="C27" s="154">
        <f>Исх!C15</f>
        <v>0.1</v>
      </c>
      <c r="D27" s="155"/>
      <c r="E27" s="155"/>
      <c r="F27" s="155"/>
      <c r="G27" s="155"/>
      <c r="H27" s="155"/>
      <c r="I27" s="156"/>
      <c r="J27" s="157"/>
    </row>
    <row r="28" spans="2:10" ht="12.75">
      <c r="B28" s="79" t="s">
        <v>44</v>
      </c>
      <c r="C28" s="154">
        <f>Исх!C16</f>
        <v>0</v>
      </c>
      <c r="D28" s="158"/>
      <c r="E28" s="158"/>
      <c r="F28" s="155"/>
      <c r="G28" s="155"/>
      <c r="H28" s="155"/>
      <c r="I28" s="156"/>
      <c r="J28" s="157"/>
    </row>
    <row r="29" spans="2:3" ht="12.75">
      <c r="B29" s="79" t="s">
        <v>104</v>
      </c>
      <c r="C29" s="159">
        <f>Исх!C17</f>
        <v>18.66</v>
      </c>
    </row>
    <row r="30" spans="7:10" ht="12.75">
      <c r="G30" s="155"/>
      <c r="H30" s="155"/>
      <c r="I30" s="156"/>
      <c r="J30" s="157"/>
    </row>
  </sheetData>
  <sheetProtection/>
  <mergeCells count="1">
    <mergeCell ref="G25:J25"/>
  </mergeCells>
  <printOptions/>
  <pageMargins left="0.2755905511811024" right="0.2" top="0.77" bottom="0.35433070866141736" header="0.2362204724409449" footer="0.275590551181102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ТЭО</dc:title>
  <dc:subject/>
  <dc:creator>m_anfinogenov</dc:creator>
  <cp:keywords/>
  <dc:description/>
  <cp:lastModifiedBy>МСБ консалтинг</cp:lastModifiedBy>
  <cp:lastPrinted>2013-08-13T07:31:29Z</cp:lastPrinted>
  <dcterms:created xsi:type="dcterms:W3CDTF">2006-03-01T15:11:19Z</dcterms:created>
  <dcterms:modified xsi:type="dcterms:W3CDTF">2013-09-24T08:03:06Z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