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33" activeTab="1"/>
  </bookViews>
  <sheets>
    <sheet name="1-Ф3" sheetId="1" r:id="rId1"/>
    <sheet name="2-ф2" sheetId="2" r:id="rId2"/>
    <sheet name="3-Баланс" sheetId="3" r:id="rId3"/>
    <sheet name="Исх" sheetId="4" r:id="rId4"/>
    <sheet name="Дох" sheetId="5" state="hidden" r:id="rId5"/>
    <sheet name="Расх перем" sheetId="6" r:id="rId6"/>
    <sheet name="Производство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6">#REF!</definedName>
    <definedName name="Ed." localSheetId="5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6">'[7]Свод'!#REF!</definedName>
    <definedName name="RUR" localSheetId="5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6">#REF!</definedName>
    <definedName name="ВалП1" localSheetId="5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6">'[61]объекты обществаКокшетау'!#REF!</definedName>
    <definedName name="всего_долл" localSheetId="5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6">#REF!</definedName>
    <definedName name="долл" localSheetId="5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6">#REF!</definedName>
    <definedName name="дсша" localSheetId="5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'Инв'!$4:$4</definedName>
    <definedName name="_xlnm.Print_Titles" localSheetId="9">'кр'!$A:$B</definedName>
    <definedName name="_xlnm.Print_Titles" localSheetId="6">'Производство'!$A:$A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6">#REF!</definedName>
    <definedName name="Инт" localSheetId="5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6">'[61]объекты обществаКокшетау'!#REF!</definedName>
    <definedName name="итого_в_долл" localSheetId="5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6">'[27]объекты обществаКокшетау'!#REF!</definedName>
    <definedName name="Каламкас" localSheetId="5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6">#REF!</definedName>
    <definedName name="кндс" localSheetId="5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6">#REF!</definedName>
    <definedName name="компресс" localSheetId="5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6">'[9]Общ_Д'!#REF!</definedName>
    <definedName name="Кредит_перераб" localSheetId="5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6">'[9]Общ_Д'!#REF!</definedName>
    <definedName name="Кредит_произв" localSheetId="5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6">'[9]Общ_Д'!#REF!</definedName>
    <definedName name="Кредит_производство" localSheetId="5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6">'[61]объекты обществаКокшетау'!#REF!</definedName>
    <definedName name="курс_НБРК" localSheetId="5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6">#REF!</definedName>
    <definedName name="Курс1" localSheetId="5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6">'[14]Финпоки1'!#REF!</definedName>
    <definedName name="Курс10" localSheetId="5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6">#REF!</definedName>
    <definedName name="металлоформы" localSheetId="5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7">'ФОТ'!#REF!</definedName>
    <definedName name="ндс">'Исх'!$C$19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'1-Ф3'!$A$1:$AI$40</definedName>
    <definedName name="_xlnm.Print_Area" localSheetId="1">'2-ф2'!$A$1:$AI$31</definedName>
    <definedName name="_xlnm.Print_Area" localSheetId="2">'3-Баланс'!$A$1:$AI$26</definedName>
    <definedName name="_xlnm.Print_Area" localSheetId="10">'Инв'!$A$1:$Q$37</definedName>
    <definedName name="_xlnm.Print_Area" localSheetId="3">'Исх'!$A$1:$J$61</definedName>
    <definedName name="_xlnm.Print_Area" localSheetId="9">'кр'!$A$1:$DB$13</definedName>
    <definedName name="_xlnm.Print_Area" localSheetId="12">'Осн.пок-ли'!$A$1:$I$71</definedName>
    <definedName name="_xlnm.Print_Area" localSheetId="6">'Производство'!$A$1:$AI$19</definedName>
    <definedName name="_xlnm.Print_Area" localSheetId="7">'ФОТ'!$A$1:$K$29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6">'Производство'!#REF!</definedName>
    <definedName name="обм" localSheetId="5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6">#REF!</definedName>
    <definedName name="оборудование_ЖД" localSheetId="5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6">#REF!</definedName>
    <definedName name="подстанция" localSheetId="5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6">#REF!</definedName>
    <definedName name="рбу" localSheetId="5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6">#REF!</definedName>
    <definedName name="руб" localSheetId="5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6">'Производство'!#REF!</definedName>
    <definedName name="себ" localSheetId="5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6">#REF!</definedName>
    <definedName name="склад_продукции" localSheetId="5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6">#REF!</definedName>
    <definedName name="склад_цем" localSheetId="5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6">#REF!</definedName>
    <definedName name="спецодежда" localSheetId="5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6">#REF!</definedName>
    <definedName name="тг" localSheetId="5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6">#REF!</definedName>
    <definedName name="ТовРеал1" localSheetId="5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6">'[9]Дох'!#REF!</definedName>
    <definedName name="Цена_бобов" localSheetId="5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6">#REF!</definedName>
    <definedName name="цех_пби" localSheetId="5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comments6.xml><?xml version="1.0" encoding="utf-8"?>
<comments xmlns="http://schemas.openxmlformats.org/spreadsheetml/2006/main">
  <authors>
    <author>МСБ консалтинг</author>
  </authors>
  <commentList>
    <comment ref="B10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100 л/га</t>
        </r>
      </text>
    </comment>
  </commentList>
</comments>
</file>

<file path=xl/sharedStrings.xml><?xml version="1.0" encoding="utf-8"?>
<sst xmlns="http://schemas.openxmlformats.org/spreadsheetml/2006/main" count="736" uniqueCount="481">
  <si>
    <t>Итого</t>
  </si>
  <si>
    <t>Налог на имущество</t>
  </si>
  <si>
    <t xml:space="preserve">Наименование          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</si>
  <si>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</si>
  <si>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</si>
  <si>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</si>
  <si>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</si>
  <si>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</si>
  <si>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</si>
  <si>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</si>
  <si>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</si>
  <si>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</si>
  <si>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</si>
  <si>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</si>
  <si>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</si>
  <si>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</si>
  <si>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</si>
  <si>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</si>
  <si>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</si>
  <si>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</si>
  <si>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</si>
  <si>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</si>
  <si>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</si>
  <si>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</si>
  <si>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</si>
  <si>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</si>
  <si>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</si>
  <si>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</si>
  <si>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</si>
  <si>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</si>
  <si>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</si>
  <si>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</si>
  <si>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</si>
  <si>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</si>
  <si>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</si>
  <si>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</si>
  <si>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</si>
  <si>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</si>
  <si>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</si>
  <si>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</si>
  <si>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</si>
  <si>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</si>
  <si>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</si>
  <si>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Канцтовары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</si>
  <si>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</si>
  <si>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</si>
  <si>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</si>
  <si>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</si>
  <si>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</si>
  <si>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</si>
  <si>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</si>
  <si>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</si>
  <si>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</si>
  <si>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</si>
  <si>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</si>
  <si>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</si>
  <si>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</si>
  <si>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</si>
  <si>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</si>
  <si>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</si>
  <si>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</si>
  <si>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</si>
  <si>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</si>
  <si>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</si>
  <si>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</si>
  <si>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</si>
  <si>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</si>
  <si>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</si>
  <si>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</si>
  <si>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</si>
  <si>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</si>
  <si>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</si>
  <si>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</si>
  <si>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</si>
  <si>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</si>
  <si>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</si>
  <si>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</si>
  <si>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</si>
  <si>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</si>
  <si>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</si>
  <si>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</si>
  <si>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</si>
  <si>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</si>
  <si>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</si>
  <si>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</si>
  <si>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</si>
  <si>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</si>
  <si>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</si>
  <si>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</si>
  <si>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</si>
  <si>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</si>
  <si>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</si>
  <si>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</si>
  <si>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</si>
  <si>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</si>
  <si>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Доходы в месяц, тыс.тг.</t>
  </si>
  <si>
    <t>Статья доходов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</si>
  <si>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</si>
  <si>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</si>
  <si>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</si>
  <si>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</si>
  <si>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</si>
  <si>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</si>
  <si>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</si>
  <si>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</si>
  <si>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</si>
  <si>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</si>
  <si>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значение</t>
  </si>
  <si>
    <t>Вспомогательный персонал</t>
  </si>
  <si>
    <t>Всего по персоналу</t>
  </si>
  <si>
    <t>Услуги связи</t>
  </si>
  <si>
    <t>Здание</t>
  </si>
  <si>
    <t>Отчет о доходах и расходах</t>
  </si>
  <si>
    <t>год</t>
  </si>
  <si>
    <t>МЗП</t>
  </si>
  <si>
    <t>Интернет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</si>
  <si>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</si>
  <si>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</si>
  <si>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</si>
  <si>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</si>
  <si>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</si>
  <si>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</si>
  <si>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</si>
  <si>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</si>
  <si>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</si>
  <si>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</si>
  <si>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</si>
  <si>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</si>
  <si>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</si>
  <si>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</si>
  <si>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</si>
  <si>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</si>
  <si>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</si>
  <si>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</si>
  <si>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</si>
  <si>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</si>
  <si>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</si>
  <si>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</si>
  <si>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</si>
  <si>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</si>
  <si>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</si>
  <si>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</si>
  <si>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</si>
  <si>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</si>
  <si>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</si>
  <si>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</si>
  <si>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</si>
  <si>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</si>
  <si>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</si>
  <si>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</si>
  <si>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</si>
  <si>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</si>
  <si>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</si>
  <si>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</si>
  <si>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</si>
  <si>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</si>
  <si>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</si>
  <si>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</si>
  <si>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</si>
  <si>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</si>
  <si>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</si>
  <si>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</si>
  <si>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</si>
  <si>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</si>
  <si>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</si>
  <si>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</si>
  <si>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</si>
  <si>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</si>
  <si>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</si>
  <si>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</si>
  <si>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</si>
  <si>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</si>
  <si>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</si>
  <si>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</si>
  <si>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</si>
  <si>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</si>
  <si>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</si>
  <si>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</si>
  <si>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</si>
  <si>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</si>
  <si>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</si>
  <si>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</si>
  <si>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</si>
  <si>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</si>
  <si>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</si>
  <si>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</si>
  <si>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</si>
  <si>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</si>
  <si>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</si>
  <si>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</si>
  <si>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Мегалайн</t>
  </si>
  <si>
    <t>Налог на прибыль</t>
  </si>
  <si>
    <t>Налоги и обязательные платежи от ФОТ</t>
  </si>
  <si>
    <t>Вид налога</t>
  </si>
  <si>
    <t>Сумма, тыс.тг.</t>
  </si>
  <si>
    <t>Техника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</si>
  <si>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</si>
  <si>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</si>
  <si>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</si>
  <si>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</si>
  <si>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</si>
  <si>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</si>
  <si>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</si>
  <si>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</si>
  <si>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</si>
  <si>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</si>
  <si>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</si>
  <si>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</si>
  <si>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Продукция</t>
  </si>
  <si>
    <t>Производство</t>
  </si>
  <si>
    <t>ед.изм.</t>
  </si>
  <si>
    <t>ГСМ</t>
  </si>
  <si>
    <t>Срок погашения, лет</t>
  </si>
  <si>
    <t>тн.</t>
  </si>
  <si>
    <t>Продажи</t>
  </si>
  <si>
    <t>Остаток</t>
  </si>
  <si>
    <t>Расходы, тыс.тг.</t>
  </si>
  <si>
    <t>Источник финансирования, тыс.тг.</t>
  </si>
  <si>
    <t>Доля собственного участия</t>
  </si>
  <si>
    <t>Собственные средства</t>
  </si>
  <si>
    <t>Финансовые показатели проекта</t>
  </si>
  <si>
    <t>Трактор МТЗ-80 б/у</t>
  </si>
  <si>
    <t>С/х техника</t>
  </si>
  <si>
    <t>С/х агрегаты</t>
  </si>
  <si>
    <t>Плуг 3-корпусный (для МТЗ-80) б/у</t>
  </si>
  <si>
    <t>Плуг 8-корпусный (для К-700) б/у</t>
  </si>
  <si>
    <t>Сеялка СЗС - 2,1 б/у</t>
  </si>
  <si>
    <t>Борона БДТ б/у</t>
  </si>
  <si>
    <t>Борона зубовая б/у</t>
  </si>
  <si>
    <t>Комплект сцепок на бороны б/у</t>
  </si>
  <si>
    <t>Пресс-подборщик б/у</t>
  </si>
  <si>
    <t>Тракторная тележка б/у</t>
  </si>
  <si>
    <t>Грабли б/у</t>
  </si>
  <si>
    <t>Волокуша б/у</t>
  </si>
  <si>
    <t>С/х техника и с/х агрегаты</t>
  </si>
  <si>
    <t>уровень инфляции</t>
  </si>
  <si>
    <t>согласно налог.режиму КХ</t>
  </si>
  <si>
    <t>ИПН</t>
  </si>
  <si>
    <t>Земельный налог</t>
  </si>
  <si>
    <t>га</t>
  </si>
  <si>
    <t>Площадь з/у</t>
  </si>
  <si>
    <t>Оценочная стоимость з/у</t>
  </si>
  <si>
    <t>в год</t>
  </si>
  <si>
    <t>2013 год</t>
  </si>
  <si>
    <t>2014 год</t>
  </si>
  <si>
    <t>2020 год</t>
  </si>
  <si>
    <t>Урожайность</t>
  </si>
  <si>
    <t>Цены</t>
  </si>
  <si>
    <t>тенге/литр</t>
  </si>
  <si>
    <t>ц/га</t>
  </si>
  <si>
    <t>Нормы высева</t>
  </si>
  <si>
    <t>кг/га</t>
  </si>
  <si>
    <t>тенге/тн</t>
  </si>
  <si>
    <t>ГСМ (ДТ)</t>
  </si>
  <si>
    <t>тенге/кг</t>
  </si>
  <si>
    <t>Наименование работ</t>
  </si>
  <si>
    <t>Состав агрегата</t>
  </si>
  <si>
    <t>трактор</t>
  </si>
  <si>
    <t>с/машина</t>
  </si>
  <si>
    <t>Посев</t>
  </si>
  <si>
    <t>Транспортировка</t>
  </si>
  <si>
    <t>МТЗ-80</t>
  </si>
  <si>
    <t>СЗС-2,1</t>
  </si>
  <si>
    <t>-</t>
  </si>
  <si>
    <t>ЖВН-6</t>
  </si>
  <si>
    <t>Прочие налоги и сборы</t>
  </si>
  <si>
    <t>На семена</t>
  </si>
  <si>
    <t>Производство и реализация продукции</t>
  </si>
  <si>
    <t>Тракторист-комбайнер</t>
  </si>
  <si>
    <t>Повар</t>
  </si>
  <si>
    <t>Водитель (на К-700)</t>
  </si>
  <si>
    <t>Адм.расходы</t>
  </si>
  <si>
    <t>ГСМ (помимо производства)</t>
  </si>
  <si>
    <t>Общие затраты - для ДДС</t>
  </si>
  <si>
    <t>Химпрепараты</t>
  </si>
  <si>
    <t>Урожайность, ц/га</t>
  </si>
  <si>
    <t>За минусом семян</t>
  </si>
  <si>
    <t>Расчет переменных затрат, тыс.тг.</t>
  </si>
  <si>
    <t>Урожай на 1 га, тн</t>
  </si>
  <si>
    <t>Доход до налогов</t>
  </si>
  <si>
    <t>Расчет земельного налога</t>
  </si>
  <si>
    <t>база, тыс.тг.</t>
  </si>
  <si>
    <t>ставка, %</t>
  </si>
  <si>
    <t>сумма, тыс.тг. (в год)</t>
  </si>
  <si>
    <t>общая сумма</t>
  </si>
  <si>
    <t>Семена</t>
  </si>
  <si>
    <t>Основные показатели проекта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</si>
  <si>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</si>
  <si>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</si>
  <si>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</si>
  <si>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</si>
  <si>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Чистый денежный поток (к изъятию), тыс.тг.</t>
  </si>
  <si>
    <t>Чистая прибыль</t>
  </si>
  <si>
    <t>Кумулятивная чистая прибыль</t>
  </si>
  <si>
    <t>Площади (уборочные), га</t>
  </si>
  <si>
    <t>Валовый сбор, тн</t>
  </si>
  <si>
    <t>Мероприятие</t>
  </si>
  <si>
    <t>Разработка бизнес-плана</t>
  </si>
  <si>
    <t>Приобретение техники</t>
  </si>
  <si>
    <t>Поиск и найм персонала</t>
  </si>
  <si>
    <t>Косилка сегментные б/у</t>
  </si>
  <si>
    <t>Косилка дисковая</t>
  </si>
  <si>
    <t>Кун</t>
  </si>
  <si>
    <t>Рабочие для разных работ (временный)</t>
  </si>
  <si>
    <t>Обслуживание и ремонт с/техники</t>
  </si>
  <si>
    <t>Глава</t>
  </si>
  <si>
    <t>Заместитель главы</t>
  </si>
  <si>
    <t>Площади</t>
  </si>
  <si>
    <t>в т.ч. пашня</t>
  </si>
  <si>
    <t>пары</t>
  </si>
  <si>
    <t>Пшеница</t>
  </si>
  <si>
    <t>Участок</t>
  </si>
  <si>
    <t>Солома</t>
  </si>
  <si>
    <t>Семена пшеницы</t>
  </si>
  <si>
    <t>до 500 га</t>
  </si>
  <si>
    <t>Объем работ в физических га</t>
  </si>
  <si>
    <t>Основные агротехнические требования</t>
  </si>
  <si>
    <t>Агротехнические сроки</t>
  </si>
  <si>
    <t>Коэф-т сменности</t>
  </si>
  <si>
    <t>тракторист</t>
  </si>
  <si>
    <t>вспомогат. рабочие</t>
  </si>
  <si>
    <t>Норма выработки за смену</t>
  </si>
  <si>
    <t>Выполнено нормо-смен (2:10)</t>
  </si>
  <si>
    <t>тракторов 3:4:10:5</t>
  </si>
  <si>
    <t>сельхозмашин</t>
  </si>
  <si>
    <t>трактористов-машинистов</t>
  </si>
  <si>
    <t>Требуется для выполнения объема работ</t>
  </si>
  <si>
    <t>Затраты труда</t>
  </si>
  <si>
    <t>на весь объем работ (11*7)</t>
  </si>
  <si>
    <t>Расход ГСМ</t>
  </si>
  <si>
    <t>Расчет фонда оплаты труда</t>
  </si>
  <si>
    <t>разряд</t>
  </si>
  <si>
    <t>доплата за классность (14%)</t>
  </si>
  <si>
    <t>доплата за продукцию (25%)</t>
  </si>
  <si>
    <t>Всего,тг</t>
  </si>
  <si>
    <t>Осенняя обработка</t>
  </si>
  <si>
    <t>Снегозадержание</t>
  </si>
  <si>
    <t>Приготовление раствора</t>
  </si>
  <si>
    <t>Ранневесеннее боронование</t>
  </si>
  <si>
    <t>Предпосевная культивация</t>
  </si>
  <si>
    <t>Культивация пара</t>
  </si>
  <si>
    <t>Погрузка семян, т</t>
  </si>
  <si>
    <t>Доставка удобрения</t>
  </si>
  <si>
    <t>Скашивание в валки</t>
  </si>
  <si>
    <t>Подбор и обмолот</t>
  </si>
  <si>
    <t>Прямое комбайнирование</t>
  </si>
  <si>
    <t>Транспортировка зерна</t>
  </si>
  <si>
    <t>Подбор соломы</t>
  </si>
  <si>
    <t>Доставка соломы</t>
  </si>
  <si>
    <t>Скирдование соломы</t>
  </si>
  <si>
    <t>Расходы</t>
  </si>
  <si>
    <t>л/га</t>
  </si>
  <si>
    <t>км</t>
  </si>
  <si>
    <t>Расход удобрений</t>
  </si>
  <si>
    <t>Доля скашивания в валки</t>
  </si>
  <si>
    <t>25-27 см</t>
  </si>
  <si>
    <t>ч/з 6-8 см</t>
  </si>
  <si>
    <t>в валки ч/з 4-5 см</t>
  </si>
  <si>
    <t>100 л/га</t>
  </si>
  <si>
    <t>1/3 л/га бюктрия в 100 л воды</t>
  </si>
  <si>
    <t>6-8 см</t>
  </si>
  <si>
    <t>8-10 см</t>
  </si>
  <si>
    <t>1,2 ц/га</t>
  </si>
  <si>
    <t>7 км</t>
  </si>
  <si>
    <t>40% жат.вал.</t>
  </si>
  <si>
    <t>15,3 ц/га</t>
  </si>
  <si>
    <t>7 км, 15,3 ц/га</t>
  </si>
  <si>
    <t>6 ц/га</t>
  </si>
  <si>
    <t>6 ц 1 га</t>
  </si>
  <si>
    <t>22.09-10.10</t>
  </si>
  <si>
    <t>15.12-24.12</t>
  </si>
  <si>
    <t>10.01-19.01</t>
  </si>
  <si>
    <t>25.04-28.04</t>
  </si>
  <si>
    <t>10.5-13.5</t>
  </si>
  <si>
    <t>6.06-8.06</t>
  </si>
  <si>
    <t>15.05-20.05</t>
  </si>
  <si>
    <t>10.07-12.07</t>
  </si>
  <si>
    <t>5.08-7.08</t>
  </si>
  <si>
    <t>1.09-4.09</t>
  </si>
  <si>
    <t>5.09-9.09</t>
  </si>
  <si>
    <t>5.09-11.09</t>
  </si>
  <si>
    <t>6.09-22.09</t>
  </si>
  <si>
    <t>К-701</t>
  </si>
  <si>
    <t>Газ-53</t>
  </si>
  <si>
    <t>СК-5 Енисей</t>
  </si>
  <si>
    <t>ПГ-3-5</t>
  </si>
  <si>
    <t>СВУ-2,6</t>
  </si>
  <si>
    <t>ОП-200</t>
  </si>
  <si>
    <t>БМШ-20 ОПЗ</t>
  </si>
  <si>
    <t>ОПТ-10</t>
  </si>
  <si>
    <t>КПШ-11</t>
  </si>
  <si>
    <t>МП-0,5</t>
  </si>
  <si>
    <t>ЖВР-10</t>
  </si>
  <si>
    <t>ТПФ-45</t>
  </si>
  <si>
    <t>Пс-9,12</t>
  </si>
  <si>
    <t>МП-0,6</t>
  </si>
  <si>
    <t>СВШ-10</t>
  </si>
  <si>
    <t>на 1 га (16:2)</t>
  </si>
  <si>
    <t>на 1 га, кг</t>
  </si>
  <si>
    <t>на весь объем работ, тн (17*2)/1000</t>
  </si>
  <si>
    <t>Цена 1 кг, тг.</t>
  </si>
  <si>
    <t>х</t>
  </si>
  <si>
    <t>тарифная ставка, тг</t>
  </si>
  <si>
    <t>Сумма, тыс.тг. (18*19)</t>
  </si>
  <si>
    <t>тарифный фонд, тыс.тг. (22*11*14)</t>
  </si>
  <si>
    <t>1,5 кг/га</t>
  </si>
  <si>
    <t>Расход удобрений (Аквадон-Микро)</t>
  </si>
  <si>
    <t>Расход гербицида (Эверест)</t>
  </si>
  <si>
    <t>Удобрение (Аквадон-Микро)</t>
  </si>
  <si>
    <t>www.agroyug.ru</t>
  </si>
  <si>
    <t xml:space="preserve"> ООО "БраС" 350911, г. Краснодар, ул. Мачуги, 141, оф. 34</t>
  </si>
  <si>
    <t>Гербицид (Эверест)</t>
  </si>
  <si>
    <t>Расход гербицида (Раундап Экстра)</t>
  </si>
  <si>
    <t>Гербицид (Раундап Экстра)</t>
  </si>
  <si>
    <t>Расход гербицидов (Раундап Экстра)</t>
  </si>
  <si>
    <t>на 1 га, л</t>
  </si>
  <si>
    <t>на весь объем работ, л (27*2)</t>
  </si>
  <si>
    <t>Цена 1 л, тыс.тг.</t>
  </si>
  <si>
    <t>Расход гербицидов (Эверест)</t>
  </si>
  <si>
    <t>на весь объем работ, кг (31*2)</t>
  </si>
  <si>
    <t>на весь объем работ, кг (35*2)</t>
  </si>
  <si>
    <t>Сумма, тыс.тг. (28*29)</t>
  </si>
  <si>
    <t>Сумма, тыс.тг. (32*33)</t>
  </si>
  <si>
    <t>Сумма, тыс.тг. (36*37)</t>
  </si>
  <si>
    <t>Цена 1 кг, тыс.тг.</t>
  </si>
  <si>
    <t>Заработная плата</t>
  </si>
  <si>
    <t>Удобрения</t>
  </si>
  <si>
    <t>http://www.agroserver.ru/b/semena-pshenitsy-yarovoy-192941.htm</t>
  </si>
  <si>
    <t>http://www.agroprom.kz/marketplace/produktsiya-rastenievodstva/pshenitsa/kazahstan/</t>
  </si>
  <si>
    <t>Расчет затрат на элеваторы</t>
  </si>
  <si>
    <t>Приемка</t>
  </si>
  <si>
    <t>Сушка</t>
  </si>
  <si>
    <t>Очистка</t>
  </si>
  <si>
    <t>Хранение</t>
  </si>
  <si>
    <t>Отгрузка</t>
  </si>
  <si>
    <t>% сорности и влаги</t>
  </si>
  <si>
    <t>Очистка зерна, услуги элеватора</t>
  </si>
  <si>
    <t>на 1 тн, тыс.тг.</t>
  </si>
  <si>
    <t>Всего (20+26+39+34+38+40)</t>
  </si>
  <si>
    <t>Сумма, тыс.тг. (39*2)</t>
  </si>
  <si>
    <t>Услуги элеватора</t>
  </si>
  <si>
    <t>http://goszakup.gov.kz/app/index.php/ru/publictrade/showbuy/3049160</t>
  </si>
  <si>
    <t>Себестоимость 1 тн, тыс.тг.</t>
  </si>
  <si>
    <t>На 1 тн</t>
  </si>
  <si>
    <t>сдельно</t>
  </si>
  <si>
    <t>К-701 б/у</t>
  </si>
  <si>
    <t>Комбайн Нива / Енисей б/у</t>
  </si>
  <si>
    <t>Газ-53 б/у</t>
  </si>
  <si>
    <t>Первоначальные инвестиции</t>
  </si>
  <si>
    <t>Прочие краткосрочные активы (незавершенное производство)</t>
  </si>
  <si>
    <t>Выращивание пшеницы</t>
  </si>
  <si>
    <t>окт.13.-сен.14</t>
  </si>
  <si>
    <t>окт.13</t>
  </si>
  <si>
    <t>Показатели эффективности проекта (7 год)</t>
  </si>
  <si>
    <t>Индекс окупаемости инвестций (PI)</t>
  </si>
  <si>
    <t>Общая площадь</t>
  </si>
  <si>
    <t>Величина налоговых поступлений за 7 лет, тыс.тг.</t>
  </si>
  <si>
    <t>Посев пшеницы</t>
  </si>
  <si>
    <t>Уход за посевами</t>
  </si>
  <si>
    <t>Уборка пшеницы</t>
  </si>
  <si>
    <t>Начало продаж</t>
  </si>
  <si>
    <t>сен</t>
  </si>
  <si>
    <t>окт</t>
  </si>
  <si>
    <t>ноя</t>
  </si>
  <si>
    <t>дек</t>
  </si>
  <si>
    <t>янв</t>
  </si>
  <si>
    <t>фев</t>
  </si>
  <si>
    <t>мар</t>
  </si>
  <si>
    <t>апр</t>
  </si>
  <si>
    <t>июн</t>
  </si>
  <si>
    <t>июл</t>
  </si>
  <si>
    <t>авг</t>
  </si>
  <si>
    <t>Подготовка почвы</t>
  </si>
  <si>
    <t>Постоянные расходы в год</t>
  </si>
  <si>
    <t>Расчет переменных затрат</t>
  </si>
  <si>
    <t>Доход от реализации продукции</t>
  </si>
  <si>
    <t>Себестоимость реализ. продукции</t>
  </si>
  <si>
    <t>Планируемая программа производства</t>
  </si>
  <si>
    <t>Доход от реализации</t>
  </si>
  <si>
    <t>Полная себестоимость</t>
  </si>
  <si>
    <t>Тип погашения основного долга</t>
  </si>
</sst>
</file>

<file path=xl/styles.xml><?xml version="1.0" encoding="utf-8"?>
<styleSheet xmlns="http://schemas.openxmlformats.org/spreadsheetml/2006/main">
  <numFmts count="5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i/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4" applyNumberFormat="1" applyFont="1" applyFill="1" applyBorder="1" applyAlignment="1">
      <alignment vertical="center" wrapText="1"/>
      <protection/>
    </xf>
    <xf numFmtId="172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72" fontId="16" fillId="0" borderId="10" xfId="70" applyNumberFormat="1" applyFont="1" applyFill="1" applyBorder="1" applyAlignment="1">
      <alignment horizontal="right" vertical="center"/>
      <protection/>
    </xf>
    <xf numFmtId="172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66" fillId="0" borderId="0" xfId="70" applyNumberFormat="1" applyFont="1" applyFill="1" applyBorder="1" applyAlignment="1">
      <alignment horizontal="left"/>
      <protection/>
    </xf>
    <xf numFmtId="9" fontId="66" fillId="0" borderId="0" xfId="70" applyNumberFormat="1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72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72" fontId="16" fillId="0" borderId="10" xfId="70" applyNumberFormat="1" applyFont="1" applyFill="1" applyBorder="1" applyAlignment="1">
      <alignment horizontal="center" vertical="top"/>
      <protection/>
    </xf>
    <xf numFmtId="172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72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72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72" fontId="67" fillId="0" borderId="0" xfId="70" applyNumberFormat="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6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94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72" fontId="5" fillId="0" borderId="0" xfId="65" applyNumberFormat="1" applyFont="1" applyFill="1" applyProtection="1">
      <alignment/>
      <protection locked="0"/>
    </xf>
    <xf numFmtId="172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16" fillId="0" borderId="10" xfId="65" applyFont="1" applyFill="1" applyBorder="1" applyProtection="1">
      <alignment/>
      <protection locked="0"/>
    </xf>
    <xf numFmtId="3" fontId="5" fillId="0" borderId="10" xfId="65" applyNumberFormat="1" applyFont="1" applyFill="1" applyBorder="1" applyAlignment="1" applyProtection="1">
      <alignment horizontal="center"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173" fontId="17" fillId="0" borderId="0" xfId="65" applyNumberFormat="1" applyFont="1" applyFill="1" applyProtection="1">
      <alignment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72" fontId="5" fillId="0" borderId="10" xfId="69" applyNumberFormat="1" applyFont="1" applyFill="1" applyBorder="1" applyAlignment="1">
      <alignment horizontal="right" vertical="center"/>
      <protection/>
    </xf>
    <xf numFmtId="172" fontId="5" fillId="0" borderId="10" xfId="65" applyNumberFormat="1" applyFont="1" applyFill="1" applyBorder="1" applyAlignment="1" applyProtection="1">
      <alignment/>
      <protection locked="0"/>
    </xf>
    <xf numFmtId="172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72" fontId="5" fillId="39" borderId="10" xfId="65" applyNumberFormat="1" applyFont="1" applyFill="1" applyBorder="1" applyAlignment="1" applyProtection="1">
      <alignment/>
      <protection locked="0"/>
    </xf>
    <xf numFmtId="172" fontId="5" fillId="0" borderId="0" xfId="65" applyNumberFormat="1" applyFont="1" applyFill="1" applyAlignment="1" applyProtection="1">
      <alignment/>
      <protection locked="0"/>
    </xf>
    <xf numFmtId="172" fontId="67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0" xfId="53" applyAlignment="1" applyProtection="1">
      <alignment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47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4" fontId="5" fillId="0" borderId="0" xfId="71" applyNumberFormat="1" applyFont="1" applyFill="1" applyBorder="1" applyAlignment="1">
      <alignment wrapText="1" shrinkToFit="1"/>
      <protection/>
    </xf>
    <xf numFmtId="0" fontId="5" fillId="0" borderId="10" xfId="0" applyFont="1" applyBorder="1" applyAlignment="1">
      <alignment horizontal="left" wrapText="1"/>
    </xf>
    <xf numFmtId="177" fontId="16" fillId="0" borderId="10" xfId="0" applyNumberFormat="1" applyFont="1" applyBorder="1" applyAlignment="1">
      <alignment/>
    </xf>
    <xf numFmtId="173" fontId="5" fillId="33" borderId="10" xfId="0" applyNumberFormat="1" applyFont="1" applyFill="1" applyBorder="1" applyAlignment="1">
      <alignment/>
    </xf>
    <xf numFmtId="0" fontId="5" fillId="0" borderId="10" xfId="71" applyFont="1" applyFill="1" applyBorder="1" applyAlignment="1">
      <alignment horizontal="left" vertical="top"/>
      <protection/>
    </xf>
    <xf numFmtId="3" fontId="14" fillId="0" borderId="0" xfId="0" applyNumberFormat="1" applyFont="1" applyAlignment="1">
      <alignment/>
    </xf>
    <xf numFmtId="0" fontId="68" fillId="0" borderId="0" xfId="66" applyFont="1" applyAlignment="1">
      <alignment vertical="center"/>
      <protection/>
    </xf>
    <xf numFmtId="0" fontId="68" fillId="0" borderId="0" xfId="66" applyFont="1" applyAlignment="1">
      <alignment horizontal="right" vertical="center"/>
      <protection/>
    </xf>
    <xf numFmtId="0" fontId="68" fillId="0" borderId="0" xfId="66" applyFont="1">
      <alignment/>
      <protection/>
    </xf>
    <xf numFmtId="0" fontId="69" fillId="2" borderId="11" xfId="67" applyFont="1" applyFill="1" applyBorder="1" applyAlignment="1">
      <alignment vertical="center"/>
      <protection/>
    </xf>
    <xf numFmtId="3" fontId="69" fillId="2" borderId="10" xfId="67" applyNumberFormat="1" applyFont="1" applyFill="1" applyBorder="1" applyAlignment="1">
      <alignment horizontal="center" vertical="center"/>
      <protection/>
    </xf>
    <xf numFmtId="0" fontId="68" fillId="0" borderId="10" xfId="66" applyFont="1" applyBorder="1" applyAlignment="1">
      <alignment vertical="center"/>
      <protection/>
    </xf>
    <xf numFmtId="3" fontId="68" fillId="0" borderId="10" xfId="66" applyNumberFormat="1" applyFont="1" applyFill="1" applyBorder="1" applyAlignment="1">
      <alignment horizontal="right" vertical="center"/>
      <protection/>
    </xf>
    <xf numFmtId="0" fontId="69" fillId="0" borderId="10" xfId="66" applyFont="1" applyBorder="1" applyAlignment="1">
      <alignment vertical="center"/>
      <protection/>
    </xf>
    <xf numFmtId="3" fontId="69" fillId="0" borderId="10" xfId="66" applyNumberFormat="1" applyFont="1" applyFill="1" applyBorder="1" applyAlignment="1">
      <alignment horizontal="right" vertical="center"/>
      <protection/>
    </xf>
    <xf numFmtId="0" fontId="68" fillId="0" borderId="0" xfId="66" applyFont="1" applyBorder="1" applyAlignment="1">
      <alignment vertical="center"/>
      <protection/>
    </xf>
    <xf numFmtId="3" fontId="68" fillId="0" borderId="0" xfId="66" applyNumberFormat="1" applyFont="1" applyBorder="1" applyAlignment="1">
      <alignment horizontal="right" vertical="center"/>
      <protection/>
    </xf>
    <xf numFmtId="49" fontId="68" fillId="0" borderId="10" xfId="66" applyNumberFormat="1" applyFont="1" applyFill="1" applyBorder="1" applyAlignment="1">
      <alignment horizontal="right" vertical="center"/>
      <protection/>
    </xf>
    <xf numFmtId="9" fontId="68" fillId="0" borderId="10" xfId="66" applyNumberFormat="1" applyFont="1" applyFill="1" applyBorder="1" applyAlignment="1">
      <alignment horizontal="right" vertical="center"/>
      <protection/>
    </xf>
    <xf numFmtId="9" fontId="69" fillId="0" borderId="10" xfId="66" applyNumberFormat="1" applyFont="1" applyFill="1" applyBorder="1" applyAlignment="1">
      <alignment horizontal="right" vertical="center"/>
      <protection/>
    </xf>
    <xf numFmtId="0" fontId="68" fillId="0" borderId="0" xfId="66" applyFont="1" applyBorder="1" applyAlignment="1">
      <alignment horizontal="left" vertical="center"/>
      <protection/>
    </xf>
    <xf numFmtId="0" fontId="68" fillId="0" borderId="0" xfId="66" applyFont="1" applyBorder="1" applyAlignment="1">
      <alignment horizontal="right" vertical="center"/>
      <protection/>
    </xf>
    <xf numFmtId="177" fontId="68" fillId="0" borderId="10" xfId="66" applyNumberFormat="1" applyFont="1" applyFill="1" applyBorder="1" applyAlignment="1">
      <alignment horizontal="right" vertical="center"/>
      <protection/>
    </xf>
    <xf numFmtId="0" fontId="69" fillId="0" borderId="0" xfId="66" applyFont="1" applyAlignment="1">
      <alignment vertical="center"/>
      <protection/>
    </xf>
    <xf numFmtId="0" fontId="68" fillId="0" borderId="10" xfId="66" applyFont="1" applyBorder="1" applyAlignment="1">
      <alignment vertical="center" wrapText="1"/>
      <protection/>
    </xf>
    <xf numFmtId="3" fontId="68" fillId="2" borderId="10" xfId="66" applyNumberFormat="1" applyFont="1" applyFill="1" applyBorder="1" applyAlignment="1">
      <alignment horizontal="right" vertical="center"/>
      <protection/>
    </xf>
    <xf numFmtId="0" fontId="69" fillId="2" borderId="10" xfId="66" applyFont="1" applyFill="1" applyBorder="1" applyAlignment="1">
      <alignment vertical="center"/>
      <protection/>
    </xf>
    <xf numFmtId="3" fontId="69" fillId="2" borderId="10" xfId="66" applyNumberFormat="1" applyFont="1" applyFill="1" applyBorder="1" applyAlignment="1">
      <alignment horizontal="right" vertical="center"/>
      <protection/>
    </xf>
    <xf numFmtId="49" fontId="68" fillId="0" borderId="10" xfId="66" applyNumberFormat="1" applyFont="1" applyFill="1" applyBorder="1" applyAlignment="1">
      <alignment horizontal="right" vertical="center" wrapText="1"/>
      <protection/>
    </xf>
    <xf numFmtId="0" fontId="68" fillId="0" borderId="0" xfId="66" applyFont="1" applyFill="1">
      <alignment/>
      <protection/>
    </xf>
    <xf numFmtId="49" fontId="16" fillId="0" borderId="10" xfId="0" applyNumberFormat="1" applyFont="1" applyBorder="1" applyAlignment="1">
      <alignment horizontal="left" wrapText="1"/>
    </xf>
    <xf numFmtId="3" fontId="24" fillId="0" borderId="0" xfId="0" applyNumberFormat="1" applyFont="1" applyAlignment="1">
      <alignment/>
    </xf>
    <xf numFmtId="17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0" fontId="5" fillId="0" borderId="10" xfId="66" applyFont="1" applyBorder="1" applyAlignment="1">
      <alignment vertical="center"/>
      <protection/>
    </xf>
    <xf numFmtId="0" fontId="16" fillId="0" borderId="10" xfId="66" applyFont="1" applyBorder="1" applyAlignment="1">
      <alignment vertical="center"/>
      <protection/>
    </xf>
    <xf numFmtId="0" fontId="68" fillId="0" borderId="14" xfId="66" applyFont="1" applyBorder="1" applyAlignment="1">
      <alignment vertical="center"/>
      <protection/>
    </xf>
    <xf numFmtId="3" fontId="68" fillId="0" borderId="14" xfId="66" applyNumberFormat="1" applyFont="1" applyFill="1" applyBorder="1" applyAlignment="1">
      <alignment horizontal="right" vertical="center"/>
      <protection/>
    </xf>
    <xf numFmtId="0" fontId="69" fillId="0" borderId="11" xfId="66" applyFont="1" applyBorder="1" applyAlignment="1">
      <alignment vertical="center"/>
      <protection/>
    </xf>
    <xf numFmtId="3" fontId="68" fillId="0" borderId="16" xfId="66" applyNumberFormat="1" applyFont="1" applyFill="1" applyBorder="1" applyAlignment="1">
      <alignment horizontal="right" vertical="center"/>
      <protection/>
    </xf>
    <xf numFmtId="3" fontId="5" fillId="35" borderId="10" xfId="0" applyNumberFormat="1" applyFont="1" applyFill="1" applyBorder="1" applyAlignment="1">
      <alignment vertical="center"/>
    </xf>
    <xf numFmtId="177" fontId="16" fillId="0" borderId="0" xfId="0" applyNumberFormat="1" applyFont="1" applyAlignment="1">
      <alignment/>
    </xf>
    <xf numFmtId="4" fontId="1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5" fillId="35" borderId="10" xfId="70" applyNumberFormat="1" applyFont="1" applyFill="1" applyBorder="1" applyAlignment="1">
      <alignment horizontal="right"/>
      <protection/>
    </xf>
    <xf numFmtId="0" fontId="5" fillId="0" borderId="0" xfId="66" applyFont="1" applyFill="1">
      <alignment/>
      <protection/>
    </xf>
    <xf numFmtId="0" fontId="5" fillId="0" borderId="10" xfId="0" applyFont="1" applyBorder="1" applyAlignment="1">
      <alignment horizontal="left" indent="3"/>
    </xf>
    <xf numFmtId="177" fontId="16" fillId="0" borderId="10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9" fontId="5" fillId="35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 horizontal="center"/>
    </xf>
    <xf numFmtId="0" fontId="24" fillId="35" borderId="0" xfId="0" applyFont="1" applyFill="1" applyAlignment="1">
      <alignment/>
    </xf>
    <xf numFmtId="3" fontId="16" fillId="0" borderId="10" xfId="0" applyNumberFormat="1" applyFont="1" applyFill="1" applyBorder="1" applyAlignment="1">
      <alignment/>
    </xf>
    <xf numFmtId="0" fontId="1" fillId="0" borderId="0" xfId="53" applyFill="1" applyAlignment="1" applyProtection="1">
      <alignment/>
      <protection/>
    </xf>
    <xf numFmtId="176" fontId="5" fillId="0" borderId="0" xfId="0" applyNumberFormat="1" applyFont="1" applyAlignment="1">
      <alignment/>
    </xf>
    <xf numFmtId="1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16" fillId="3" borderId="10" xfId="0" applyNumberFormat="1" applyFont="1" applyFill="1" applyBorder="1" applyAlignment="1">
      <alignment/>
    </xf>
    <xf numFmtId="1" fontId="5" fillId="3" borderId="10" xfId="0" applyNumberFormat="1" applyFont="1" applyFill="1" applyBorder="1" applyAlignment="1">
      <alignment/>
    </xf>
    <xf numFmtId="0" fontId="5" fillId="3" borderId="10" xfId="0" applyFont="1" applyFill="1" applyBorder="1" applyAlignment="1">
      <alignment/>
    </xf>
    <xf numFmtId="9" fontId="69" fillId="2" borderId="10" xfId="66" applyNumberFormat="1" applyFont="1" applyFill="1" applyBorder="1" applyAlignment="1">
      <alignment horizontal="center" vertical="center"/>
      <protection/>
    </xf>
    <xf numFmtId="0" fontId="69" fillId="2" borderId="10" xfId="67" applyFont="1" applyFill="1" applyBorder="1" applyAlignment="1">
      <alignment vertical="center"/>
      <protection/>
    </xf>
    <xf numFmtId="177" fontId="68" fillId="0" borderId="10" xfId="66" applyNumberFormat="1" applyFont="1" applyFill="1" applyBorder="1" applyAlignment="1">
      <alignment vertical="center"/>
      <protection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72" fontId="16" fillId="34" borderId="16" xfId="70" applyNumberFormat="1" applyFont="1" applyFill="1" applyBorder="1" applyAlignment="1">
      <alignment horizontal="center" vertical="center"/>
      <protection/>
    </xf>
    <xf numFmtId="0" fontId="16" fillId="34" borderId="16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7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7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4" borderId="17" xfId="71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72" fontId="16" fillId="34" borderId="11" xfId="70" applyNumberFormat="1" applyFont="1" applyFill="1" applyBorder="1" applyAlignment="1">
      <alignment horizontal="center" vertical="center" wrapText="1" shrinkToFit="1"/>
      <protection/>
    </xf>
    <xf numFmtId="172" fontId="16" fillId="34" borderId="16" xfId="70" applyNumberFormat="1" applyFont="1" applyFill="1" applyBorder="1" applyAlignment="1">
      <alignment horizontal="center" vertical="center" wrapText="1" shrinkToFit="1"/>
      <protection/>
    </xf>
    <xf numFmtId="172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69" fillId="2" borderId="13" xfId="67" applyFont="1" applyFill="1" applyBorder="1" applyAlignment="1">
      <alignment horizontal="left" vertical="center"/>
      <protection/>
    </xf>
    <xf numFmtId="0" fontId="69" fillId="2" borderId="14" xfId="67" applyFont="1" applyFill="1" applyBorder="1" applyAlignment="1">
      <alignment horizontal="left" vertical="center"/>
      <protection/>
    </xf>
    <xf numFmtId="3" fontId="69" fillId="2" borderId="11" xfId="67" applyNumberFormat="1" applyFont="1" applyFill="1" applyBorder="1" applyAlignment="1">
      <alignment horizontal="center" vertical="center"/>
      <protection/>
    </xf>
    <xf numFmtId="3" fontId="69" fillId="2" borderId="16" xfId="67" applyNumberFormat="1" applyFont="1" applyFill="1" applyBorder="1" applyAlignment="1">
      <alignment horizontal="center" vertical="center"/>
      <protection/>
    </xf>
    <xf numFmtId="3" fontId="69" fillId="2" borderId="12" xfId="67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yug.ru/" TargetMode="External" /><Relationship Id="rId2" Type="http://schemas.openxmlformats.org/officeDocument/2006/relationships/hyperlink" Target="http://www.agroserver.ru/b/semena-pshenitsy-yarovoy-192941.htm" TargetMode="External" /><Relationship Id="rId3" Type="http://schemas.openxmlformats.org/officeDocument/2006/relationships/hyperlink" Target="http://www.agroprom.kz/marketplace/produktsiya-rastenievodstva/pshenitsa/kazahstan/" TargetMode="External" /><Relationship Id="rId4" Type="http://schemas.openxmlformats.org/officeDocument/2006/relationships/hyperlink" Target="http://goszakup.gov.kz/app/index.php/ru/publictrade/showbuy/3049160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147"/>
  <sheetViews>
    <sheetView showGridLines="0" showZeros="0" zoomScalePageLayoutView="0" workbookViewId="0" topLeftCell="A1">
      <pane xSplit="3" ySplit="6" topLeftCell="I38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56" sqref="B56"/>
    </sheetView>
  </sheetViews>
  <sheetFormatPr defaultColWidth="8.625" defaultRowHeight="12.75" outlineLevelRow="1" outlineLevelCol="1"/>
  <cols>
    <col min="1" max="1" width="37.25390625" style="59" customWidth="1"/>
    <col min="2" max="2" width="10.125" style="60" customWidth="1"/>
    <col min="3" max="3" width="1.875" style="60" customWidth="1"/>
    <col min="4" max="6" width="7.75390625" style="6" hidden="1" customWidth="1" outlineLevel="1"/>
    <col min="7" max="7" width="8.125" style="56" hidden="1" customWidth="1" outlineLevel="1"/>
    <col min="8" max="8" width="8.125" style="6" hidden="1" customWidth="1" outlineLevel="1"/>
    <col min="9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30" width="8.625" style="7" customWidth="1"/>
    <col min="31" max="31" width="8.75390625" style="7" customWidth="1"/>
    <col min="32" max="32" width="8.625" style="7" customWidth="1"/>
    <col min="33" max="35" width="7.875" style="8" bestFit="1" customWidth="1"/>
    <col min="36" max="42" width="8.75390625" style="8" bestFit="1" customWidth="1"/>
    <col min="43" max="16384" width="8.625" style="8" customWidth="1"/>
  </cols>
  <sheetData>
    <row r="1" spans="1:27" ht="12.75">
      <c r="A1" s="61" t="s">
        <v>164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MAX(K40:AF40)</f>
        <v>18101.466394779905</v>
      </c>
      <c r="B2" s="10">
        <f>MIN(I40:AH40)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5" ht="15.75" customHeight="1">
      <c r="A5" s="321" t="s">
        <v>2</v>
      </c>
      <c r="B5" s="323" t="s">
        <v>86</v>
      </c>
      <c r="C5" s="15"/>
      <c r="D5" s="323">
        <v>2013</v>
      </c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>
        <v>2014</v>
      </c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15">
        <f>Q5+1</f>
        <v>2015</v>
      </c>
      <c r="AE5" s="15">
        <f>AD5+1</f>
        <v>2016</v>
      </c>
      <c r="AF5" s="15">
        <f>AE5+1</f>
        <v>2017</v>
      </c>
      <c r="AG5" s="15">
        <f>AF5+1</f>
        <v>2018</v>
      </c>
      <c r="AH5" s="15">
        <f>AG5+1</f>
        <v>2019</v>
      </c>
      <c r="AI5" s="15">
        <f>AH5+1</f>
        <v>2020</v>
      </c>
    </row>
    <row r="6" spans="1:35" ht="12.75">
      <c r="A6" s="322"/>
      <c r="B6" s="323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5" t="s">
        <v>113</v>
      </c>
      <c r="AE6" s="15" t="s">
        <v>113</v>
      </c>
      <c r="AF6" s="15" t="s">
        <v>113</v>
      </c>
      <c r="AG6" s="15" t="s">
        <v>113</v>
      </c>
      <c r="AH6" s="15" t="s">
        <v>113</v>
      </c>
      <c r="AI6" s="15" t="s">
        <v>113</v>
      </c>
    </row>
    <row r="7" spans="1:35" s="21" customFormat="1" ht="25.5">
      <c r="A7" s="17" t="s">
        <v>3</v>
      </c>
      <c r="B7" s="18">
        <f>P7</f>
        <v>0</v>
      </c>
      <c r="C7" s="19"/>
      <c r="D7" s="20">
        <f>C40</f>
        <v>0</v>
      </c>
      <c r="E7" s="20">
        <f aca="true" t="shared" si="2" ref="E7:K7">D40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>K40</f>
        <v>0</v>
      </c>
      <c r="M7" s="20">
        <f>L40</f>
        <v>0</v>
      </c>
      <c r="N7" s="20">
        <f>M40</f>
        <v>0</v>
      </c>
      <c r="O7" s="20">
        <f>N40</f>
        <v>0</v>
      </c>
      <c r="P7" s="20">
        <f>D7</f>
        <v>0</v>
      </c>
      <c r="Q7" s="20">
        <f>P40</f>
        <v>0</v>
      </c>
      <c r="R7" s="20">
        <f aca="true" t="shared" si="3" ref="R7:AA7">Q40</f>
        <v>0</v>
      </c>
      <c r="S7" s="20">
        <f t="shared" si="3"/>
        <v>0</v>
      </c>
      <c r="T7" s="20">
        <f t="shared" si="3"/>
        <v>0</v>
      </c>
      <c r="U7" s="20">
        <f t="shared" si="3"/>
        <v>0</v>
      </c>
      <c r="V7" s="20">
        <f t="shared" si="3"/>
        <v>0</v>
      </c>
      <c r="W7" s="20">
        <f t="shared" si="3"/>
        <v>0</v>
      </c>
      <c r="X7" s="20">
        <f t="shared" si="3"/>
        <v>0</v>
      </c>
      <c r="Y7" s="20">
        <f t="shared" si="3"/>
        <v>0</v>
      </c>
      <c r="Z7" s="20">
        <f t="shared" si="3"/>
        <v>0</v>
      </c>
      <c r="AA7" s="20">
        <f t="shared" si="3"/>
        <v>2214.7219918345904</v>
      </c>
      <c r="AB7" s="20">
        <f>AA40</f>
        <v>4626.905791274001</v>
      </c>
      <c r="AC7" s="20">
        <f>Q7</f>
        <v>0</v>
      </c>
      <c r="AD7" s="20">
        <f aca="true" t="shared" si="4" ref="AD7:AI7">AC40</f>
        <v>6854.186013942259</v>
      </c>
      <c r="AE7" s="20">
        <f t="shared" si="4"/>
        <v>10406.478226746476</v>
      </c>
      <c r="AF7" s="20">
        <f t="shared" si="4"/>
        <v>14155.571687025693</v>
      </c>
      <c r="AG7" s="20">
        <f t="shared" si="4"/>
        <v>18101.466394779905</v>
      </c>
      <c r="AH7" s="20">
        <f t="shared" si="4"/>
        <v>22244.162350009123</v>
      </c>
      <c r="AI7" s="20">
        <f t="shared" si="4"/>
        <v>26583.65955271334</v>
      </c>
    </row>
    <row r="8" spans="1:35" s="21" customFormat="1" ht="12.75">
      <c r="A8" s="22" t="s">
        <v>9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s="21" customFormat="1" ht="12.75">
      <c r="A9" s="26" t="s">
        <v>16</v>
      </c>
      <c r="B9" s="27">
        <f>SUM(B10:B11)</f>
        <v>108824.1</v>
      </c>
      <c r="C9" s="27"/>
      <c r="D9" s="27">
        <f aca="true" t="shared" si="5" ref="D9:AI9">SUM(D10:D11)</f>
        <v>0</v>
      </c>
      <c r="E9" s="27">
        <f t="shared" si="5"/>
        <v>0</v>
      </c>
      <c r="F9" s="27">
        <f t="shared" si="5"/>
        <v>0</v>
      </c>
      <c r="G9" s="27">
        <f t="shared" si="5"/>
        <v>0</v>
      </c>
      <c r="H9" s="27">
        <f t="shared" si="5"/>
        <v>0</v>
      </c>
      <c r="I9" s="27">
        <f t="shared" si="5"/>
        <v>0</v>
      </c>
      <c r="J9" s="27">
        <f t="shared" si="5"/>
        <v>0</v>
      </c>
      <c r="K9" s="27">
        <f t="shared" si="5"/>
        <v>0</v>
      </c>
      <c r="L9" s="27">
        <f t="shared" si="5"/>
        <v>0</v>
      </c>
      <c r="M9" s="27">
        <f t="shared" si="5"/>
        <v>0</v>
      </c>
      <c r="N9" s="27">
        <f t="shared" si="5"/>
        <v>0</v>
      </c>
      <c r="O9" s="27">
        <f t="shared" si="5"/>
        <v>0</v>
      </c>
      <c r="P9" s="27">
        <f t="shared" si="5"/>
        <v>0</v>
      </c>
      <c r="Q9" s="27">
        <f t="shared" si="5"/>
        <v>0</v>
      </c>
      <c r="R9" s="27">
        <f t="shared" si="5"/>
        <v>0</v>
      </c>
      <c r="S9" s="27">
        <f t="shared" si="5"/>
        <v>0</v>
      </c>
      <c r="T9" s="27">
        <f t="shared" si="5"/>
        <v>0</v>
      </c>
      <c r="U9" s="27">
        <f t="shared" si="5"/>
        <v>0</v>
      </c>
      <c r="V9" s="27">
        <f t="shared" si="5"/>
        <v>0</v>
      </c>
      <c r="W9" s="27">
        <f t="shared" si="5"/>
        <v>0</v>
      </c>
      <c r="X9" s="27">
        <f t="shared" si="5"/>
        <v>0</v>
      </c>
      <c r="Y9" s="27">
        <f t="shared" si="5"/>
        <v>0</v>
      </c>
      <c r="Z9" s="27">
        <f t="shared" si="5"/>
        <v>3010.7000000000007</v>
      </c>
      <c r="AA9" s="27">
        <f t="shared" si="5"/>
        <v>3010.7000000000007</v>
      </c>
      <c r="AB9" s="27">
        <f t="shared" si="5"/>
        <v>3010.7000000000007</v>
      </c>
      <c r="AC9" s="27">
        <f t="shared" si="5"/>
        <v>9032.100000000002</v>
      </c>
      <c r="AD9" s="27">
        <f t="shared" si="5"/>
        <v>16632.000000000004</v>
      </c>
      <c r="AE9" s="27">
        <f t="shared" si="5"/>
        <v>16632.000000000004</v>
      </c>
      <c r="AF9" s="27">
        <f t="shared" si="5"/>
        <v>16632.000000000004</v>
      </c>
      <c r="AG9" s="27">
        <f t="shared" si="5"/>
        <v>16632.000000000004</v>
      </c>
      <c r="AH9" s="27">
        <f t="shared" si="5"/>
        <v>16632.000000000004</v>
      </c>
      <c r="AI9" s="27">
        <f t="shared" si="5"/>
        <v>16632.000000000004</v>
      </c>
    </row>
    <row r="10" spans="1:35" ht="12.75">
      <c r="A10" s="28" t="str">
        <f>'2-ф2'!A6</f>
        <v>Пшеница</v>
      </c>
      <c r="B10" s="27">
        <f aca="true" t="shared" si="6" ref="B10:B22">P10+AC10+AD10+AE10+AF10+AG10+AH10+AI10</f>
        <v>98798.70000000001</v>
      </c>
      <c r="C10" s="27"/>
      <c r="D10" s="29">
        <f>'2-ф2'!D6*Исх!$C$20</f>
        <v>0</v>
      </c>
      <c r="E10" s="29">
        <f>'2-ф2'!E6*Исх!$C$20</f>
        <v>0</v>
      </c>
      <c r="F10" s="29">
        <f>'2-ф2'!F6*Исх!$C$20</f>
        <v>0</v>
      </c>
      <c r="G10" s="29">
        <f>'2-ф2'!G6*Исх!$C$20</f>
        <v>0</v>
      </c>
      <c r="H10" s="29">
        <f>'2-ф2'!H6*Исх!$C$20</f>
        <v>0</v>
      </c>
      <c r="I10" s="29">
        <f>'2-ф2'!I6*Исх!$C$20</f>
        <v>0</v>
      </c>
      <c r="J10" s="29">
        <f>'2-ф2'!J6*Исх!$C$20</f>
        <v>0</v>
      </c>
      <c r="K10" s="29">
        <f>'2-ф2'!K6*Исх!$C$20</f>
        <v>0</v>
      </c>
      <c r="L10" s="29">
        <f>'2-ф2'!L6*Исх!$C$20</f>
        <v>0</v>
      </c>
      <c r="M10" s="29">
        <f>'2-ф2'!M6*Исх!$C$20</f>
        <v>0</v>
      </c>
      <c r="N10" s="29">
        <f>'2-ф2'!N6*Исх!$C$20</f>
        <v>0</v>
      </c>
      <c r="O10" s="29">
        <f>'2-ф2'!O6*Исх!$C$20</f>
        <v>0</v>
      </c>
      <c r="P10" s="27">
        <f>SUM(D10:O10)</f>
        <v>0</v>
      </c>
      <c r="Q10" s="29">
        <f>'2-ф2'!Q6*Исх!$C$20</f>
        <v>0</v>
      </c>
      <c r="R10" s="29">
        <f>'2-ф2'!R6*Исх!$C$20</f>
        <v>0</v>
      </c>
      <c r="S10" s="29">
        <f>'2-ф2'!S6*Исх!$C$20</f>
        <v>0</v>
      </c>
      <c r="T10" s="29">
        <f>'2-ф2'!T6*Исх!$C$20</f>
        <v>0</v>
      </c>
      <c r="U10" s="29">
        <f>'2-ф2'!U6*Исх!$C$20</f>
        <v>0</v>
      </c>
      <c r="V10" s="29">
        <f>'2-ф2'!V6*Исх!$C$20</f>
        <v>0</v>
      </c>
      <c r="W10" s="29">
        <f>'2-ф2'!W6*Исх!$C$20</f>
        <v>0</v>
      </c>
      <c r="X10" s="29">
        <f>'2-ф2'!X6*Исх!$C$20</f>
        <v>0</v>
      </c>
      <c r="Y10" s="29">
        <f>'2-ф2'!Y6*Исх!$C$20</f>
        <v>0</v>
      </c>
      <c r="Z10" s="29">
        <f>'2-ф2'!Z6*Исх!$C$20</f>
        <v>2533.3000000000006</v>
      </c>
      <c r="AA10" s="29">
        <f>'2-ф2'!AA6*Исх!$C$20</f>
        <v>2533.3000000000006</v>
      </c>
      <c r="AB10" s="29">
        <f>'2-ф2'!AB6*Исх!$C$20</f>
        <v>2533.3000000000006</v>
      </c>
      <c r="AC10" s="27">
        <f>SUM(Q10:AB10)</f>
        <v>7599.9000000000015</v>
      </c>
      <c r="AD10" s="29">
        <f>'2-ф2'!AD6*Исх!$C$20</f>
        <v>15199.800000000003</v>
      </c>
      <c r="AE10" s="29">
        <f>'2-ф2'!AE6*Исх!$C$20</f>
        <v>15199.800000000003</v>
      </c>
      <c r="AF10" s="29">
        <f>'2-ф2'!AF6*Исх!$C$20</f>
        <v>15199.800000000003</v>
      </c>
      <c r="AG10" s="29">
        <f>'2-ф2'!AG6*Исх!$C$20</f>
        <v>15199.800000000003</v>
      </c>
      <c r="AH10" s="29">
        <f>'2-ф2'!AH6*Исх!$C$20</f>
        <v>15199.800000000003</v>
      </c>
      <c r="AI10" s="29">
        <f>'2-ф2'!AI6*Исх!$C$20</f>
        <v>15199.800000000003</v>
      </c>
    </row>
    <row r="11" spans="1:35" ht="12.75">
      <c r="A11" s="28" t="str">
        <f>'2-ф2'!A7</f>
        <v>Солома</v>
      </c>
      <c r="B11" s="27">
        <f t="shared" si="6"/>
        <v>10025.4</v>
      </c>
      <c r="C11" s="27"/>
      <c r="D11" s="29">
        <f>'2-ф2'!D7*Исх!$C$20</f>
        <v>0</v>
      </c>
      <c r="E11" s="29">
        <f>'2-ф2'!E7*Исх!$C$20</f>
        <v>0</v>
      </c>
      <c r="F11" s="29">
        <f>'2-ф2'!F7*Исх!$C$20</f>
        <v>0</v>
      </c>
      <c r="G11" s="29">
        <f>'2-ф2'!G7*Исх!$C$20</f>
        <v>0</v>
      </c>
      <c r="H11" s="29">
        <f>'2-ф2'!H7*Исх!$C$20</f>
        <v>0</v>
      </c>
      <c r="I11" s="29">
        <f>'2-ф2'!I7*Исх!$C$20</f>
        <v>0</v>
      </c>
      <c r="J11" s="29">
        <f>'2-ф2'!J7*Исх!$C$20</f>
        <v>0</v>
      </c>
      <c r="K11" s="29">
        <f>'2-ф2'!K7*Исх!$C$20</f>
        <v>0</v>
      </c>
      <c r="L11" s="29">
        <f>'2-ф2'!L7*Исх!$C$20</f>
        <v>0</v>
      </c>
      <c r="M11" s="29">
        <f>'2-ф2'!M7*Исх!$C$20</f>
        <v>0</v>
      </c>
      <c r="N11" s="29">
        <f>'2-ф2'!N7*Исх!$C$20</f>
        <v>0</v>
      </c>
      <c r="O11" s="29">
        <f>'2-ф2'!O7*Исх!$C$20</f>
        <v>0</v>
      </c>
      <c r="P11" s="27">
        <f>SUM(D11:O11)</f>
        <v>0</v>
      </c>
      <c r="Q11" s="29">
        <f>'2-ф2'!Q7*Исх!$C$20</f>
        <v>0</v>
      </c>
      <c r="R11" s="29">
        <f>'2-ф2'!R7*Исх!$C$20</f>
        <v>0</v>
      </c>
      <c r="S11" s="29">
        <f>'2-ф2'!S7*Исх!$C$20</f>
        <v>0</v>
      </c>
      <c r="T11" s="29">
        <f>'2-ф2'!T7*Исх!$C$20</f>
        <v>0</v>
      </c>
      <c r="U11" s="29">
        <f>'2-ф2'!U7*Исх!$C$20</f>
        <v>0</v>
      </c>
      <c r="V11" s="29">
        <f>'2-ф2'!V7*Исх!$C$20</f>
        <v>0</v>
      </c>
      <c r="W11" s="29">
        <f>'2-ф2'!W7*Исх!$C$20</f>
        <v>0</v>
      </c>
      <c r="X11" s="29">
        <f>'2-ф2'!X7*Исх!$C$20</f>
        <v>0</v>
      </c>
      <c r="Y11" s="29">
        <f>'2-ф2'!Y7*Исх!$C$20</f>
        <v>0</v>
      </c>
      <c r="Z11" s="29">
        <f>'2-ф2'!Z7*Исх!$C$20</f>
        <v>477.4</v>
      </c>
      <c r="AA11" s="29">
        <f>'2-ф2'!AA7*Исх!$C$20</f>
        <v>477.4</v>
      </c>
      <c r="AB11" s="29">
        <f>'2-ф2'!AB7*Исх!$C$20</f>
        <v>477.4</v>
      </c>
      <c r="AC11" s="27">
        <f>SUM(Q11:AB11)</f>
        <v>1432.1999999999998</v>
      </c>
      <c r="AD11" s="29">
        <f>'2-ф2'!AD7*Исх!$C$20</f>
        <v>1432.2</v>
      </c>
      <c r="AE11" s="29">
        <f>'2-ф2'!AE7*Исх!$C$20</f>
        <v>1432.2</v>
      </c>
      <c r="AF11" s="29">
        <f>'2-ф2'!AF7*Исх!$C$20</f>
        <v>1432.2</v>
      </c>
      <c r="AG11" s="29">
        <f>'2-ф2'!AG7*Исх!$C$20</f>
        <v>1432.2</v>
      </c>
      <c r="AH11" s="29">
        <f>'2-ф2'!AH7*Исх!$C$20</f>
        <v>1432.2</v>
      </c>
      <c r="AI11" s="29">
        <f>'2-ф2'!AI7*Исх!$C$20</f>
        <v>1432.2</v>
      </c>
    </row>
    <row r="12" spans="1:35" s="21" customFormat="1" ht="12.75">
      <c r="A12" s="30" t="s">
        <v>4</v>
      </c>
      <c r="B12" s="27">
        <f>SUM(B13:B22)</f>
        <v>72771.26886344544</v>
      </c>
      <c r="C12" s="27"/>
      <c r="D12" s="31">
        <f aca="true" t="shared" si="7" ref="D12:AI12">SUM(D13:D22)</f>
        <v>0</v>
      </c>
      <c r="E12" s="31">
        <f t="shared" si="7"/>
        <v>0</v>
      </c>
      <c r="F12" s="31">
        <f t="shared" si="7"/>
        <v>0</v>
      </c>
      <c r="G12" s="31">
        <f t="shared" si="7"/>
        <v>0</v>
      </c>
      <c r="H12" s="31">
        <f t="shared" si="7"/>
        <v>0</v>
      </c>
      <c r="I12" s="31">
        <f t="shared" si="7"/>
        <v>0</v>
      </c>
      <c r="J12" s="31">
        <f t="shared" si="7"/>
        <v>0</v>
      </c>
      <c r="K12" s="31">
        <f t="shared" si="7"/>
        <v>0</v>
      </c>
      <c r="L12" s="31">
        <f t="shared" si="7"/>
        <v>0</v>
      </c>
      <c r="M12" s="31">
        <f t="shared" si="7"/>
        <v>463.2901850529101</v>
      </c>
      <c r="N12" s="31">
        <f t="shared" si="7"/>
        <v>267.1950527777778</v>
      </c>
      <c r="O12" s="31">
        <f t="shared" si="7"/>
        <v>453.4653048786181</v>
      </c>
      <c r="P12" s="31">
        <f t="shared" si="7"/>
        <v>1183.950542709306</v>
      </c>
      <c r="Q12" s="31">
        <f t="shared" si="7"/>
        <v>453.4653048786181</v>
      </c>
      <c r="R12" s="31">
        <f t="shared" si="7"/>
        <v>267.1950527777778</v>
      </c>
      <c r="S12" s="31">
        <f t="shared" si="7"/>
        <v>267.1950527777778</v>
      </c>
      <c r="T12" s="31">
        <f t="shared" si="7"/>
        <v>1446.8678456889747</v>
      </c>
      <c r="U12" s="31">
        <f t="shared" si="7"/>
        <v>4836.111777919482</v>
      </c>
      <c r="V12" s="31">
        <f t="shared" si="7"/>
        <v>345.96406931913117</v>
      </c>
      <c r="W12" s="31">
        <f t="shared" si="7"/>
        <v>338.9189604700855</v>
      </c>
      <c r="X12" s="31">
        <f t="shared" si="7"/>
        <v>374.1746242063492</v>
      </c>
      <c r="Y12" s="31">
        <f t="shared" si="7"/>
        <v>3120.7235627264085</v>
      </c>
      <c r="Z12" s="31">
        <f t="shared" si="7"/>
        <v>561.6908087904101</v>
      </c>
      <c r="AA12" s="31">
        <f t="shared" si="7"/>
        <v>364.2290011855903</v>
      </c>
      <c r="AB12" s="31">
        <f t="shared" si="7"/>
        <v>549.132577956743</v>
      </c>
      <c r="AC12" s="31">
        <f t="shared" si="7"/>
        <v>12925.668638697345</v>
      </c>
      <c r="AD12" s="31">
        <f t="shared" si="7"/>
        <v>10268.261394695786</v>
      </c>
      <c r="AE12" s="31">
        <f t="shared" si="7"/>
        <v>10071.460147220787</v>
      </c>
      <c r="AF12" s="31">
        <f t="shared" si="7"/>
        <v>9874.658899745787</v>
      </c>
      <c r="AG12" s="31">
        <f t="shared" si="7"/>
        <v>9677.857652270788</v>
      </c>
      <c r="AH12" s="31">
        <f t="shared" si="7"/>
        <v>9481.056404795787</v>
      </c>
      <c r="AI12" s="31">
        <f t="shared" si="7"/>
        <v>9288.35518330985</v>
      </c>
    </row>
    <row r="13" spans="1:35" ht="12.75">
      <c r="A13" s="28" t="s">
        <v>285</v>
      </c>
      <c r="B13" s="27">
        <f>P13+AC13+AD13+AE13+AF13+AG13+AH13+AI13</f>
        <v>3407.7119999999995</v>
      </c>
      <c r="C13" s="32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7">
        <f aca="true" t="shared" si="8" ref="P13:P22">SUM(D13:O13)</f>
        <v>0</v>
      </c>
      <c r="Q13" s="29"/>
      <c r="R13" s="29"/>
      <c r="S13" s="29"/>
      <c r="T13" s="29"/>
      <c r="U13" s="290">
        <f>Исх!$C$25*Исх!$C$31/10*Исх!$C$43</f>
        <v>3407.7119999999995</v>
      </c>
      <c r="V13" s="29"/>
      <c r="W13" s="29"/>
      <c r="X13" s="29"/>
      <c r="Y13" s="29"/>
      <c r="Z13" s="29"/>
      <c r="AA13" s="29"/>
      <c r="AB13" s="29"/>
      <c r="AC13" s="27">
        <f aca="true" t="shared" si="9" ref="AC13:AC22">SUM(Q13:AB13)</f>
        <v>3407.7119999999995</v>
      </c>
      <c r="AD13" s="29"/>
      <c r="AE13" s="29"/>
      <c r="AF13" s="29"/>
      <c r="AG13" s="29"/>
      <c r="AH13" s="29"/>
      <c r="AI13" s="29"/>
    </row>
    <row r="14" spans="1:35" ht="12.75">
      <c r="A14" s="28" t="str">
        <f>'2-ф2'!A9</f>
        <v>Заработная плата</v>
      </c>
      <c r="B14" s="27">
        <f>P14+AC14+AD14+AE14+AF14+AG14+AH14+AI14</f>
        <v>7054.414325360017</v>
      </c>
      <c r="C14" s="32"/>
      <c r="D14" s="29"/>
      <c r="E14" s="29"/>
      <c r="F14" s="29"/>
      <c r="G14" s="29"/>
      <c r="H14" s="29">
        <f>'Расх перем'!D32</f>
        <v>0</v>
      </c>
      <c r="I14" s="29"/>
      <c r="J14" s="29"/>
      <c r="K14" s="29">
        <f>'Расх перем'!AF32</f>
        <v>0</v>
      </c>
      <c r="L14" s="29">
        <f>'Расх перем'!AG32</f>
        <v>0</v>
      </c>
      <c r="M14" s="29">
        <f>'Расх перем'!K32</f>
        <v>77.07513227513229</v>
      </c>
      <c r="N14" s="29">
        <f>'Расх перем'!L32</f>
        <v>0</v>
      </c>
      <c r="O14" s="29">
        <f>'Расх перем'!M32</f>
        <v>25.23025210084033</v>
      </c>
      <c r="P14" s="27">
        <f t="shared" si="8"/>
        <v>102.30538437597262</v>
      </c>
      <c r="Q14" s="29">
        <f>'Расх перем'!B32</f>
        <v>25.23025210084033</v>
      </c>
      <c r="R14" s="29">
        <f>'Расх перем'!C32</f>
        <v>0</v>
      </c>
      <c r="S14" s="29">
        <f>'Расх перем'!D32</f>
        <v>0</v>
      </c>
      <c r="T14" s="29">
        <f>'Расх перем'!E32</f>
        <v>42.12719691119692</v>
      </c>
      <c r="U14" s="29">
        <f>'Расх перем'!F32</f>
        <v>202.30586114170472</v>
      </c>
      <c r="V14" s="29">
        <f>'Расх перем'!G32</f>
        <v>9.345816541353383</v>
      </c>
      <c r="W14" s="29">
        <f>'Расх перем'!H32</f>
        <v>7.967907692307692</v>
      </c>
      <c r="X14" s="29">
        <f>'Расх перем'!I32</f>
        <v>7.398771428571428</v>
      </c>
      <c r="Y14" s="29">
        <f>'Расх перем'!J32</f>
        <v>596.4772299486308</v>
      </c>
      <c r="Z14" s="29">
        <f>'Расх перем'!K32</f>
        <v>77.07513227513229</v>
      </c>
      <c r="AA14" s="29">
        <f>'Расх перем'!L32</f>
        <v>0</v>
      </c>
      <c r="AB14" s="29">
        <f>'Расх перем'!M32</f>
        <v>25.23025210084033</v>
      </c>
      <c r="AC14" s="27">
        <f t="shared" si="9"/>
        <v>993.1584201405778</v>
      </c>
      <c r="AD14" s="29">
        <f>'Расх перем'!$N32</f>
        <v>993.1584201405778</v>
      </c>
      <c r="AE14" s="29">
        <f>'Расх перем'!$N32</f>
        <v>993.1584201405778</v>
      </c>
      <c r="AF14" s="29">
        <f>'Расх перем'!$N32</f>
        <v>993.1584201405778</v>
      </c>
      <c r="AG14" s="29">
        <f>'Расх перем'!$N32</f>
        <v>993.1584201405778</v>
      </c>
      <c r="AH14" s="29">
        <f>'Расх перем'!$N32</f>
        <v>993.1584201405778</v>
      </c>
      <c r="AI14" s="29">
        <f>'Расх перем'!$N32</f>
        <v>993.1584201405778</v>
      </c>
    </row>
    <row r="15" spans="1:35" ht="12.75">
      <c r="A15" s="28" t="str">
        <f>'2-ф2'!A10</f>
        <v>ГСМ</v>
      </c>
      <c r="B15" s="27">
        <f>P15+AC15+AD15+AE15+AF15+AG15+AH15+AI15</f>
        <v>15015.308219999999</v>
      </c>
      <c r="C15" s="32"/>
      <c r="D15" s="29"/>
      <c r="E15" s="29"/>
      <c r="F15" s="29"/>
      <c r="G15" s="29"/>
      <c r="H15" s="29">
        <f>'Расх перем'!D33</f>
        <v>0</v>
      </c>
      <c r="I15" s="29"/>
      <c r="J15" s="29"/>
      <c r="K15" s="29">
        <f>'Расх перем'!AF33</f>
        <v>0</v>
      </c>
      <c r="L15" s="29">
        <f>'Расх перем'!AG33</f>
        <v>0</v>
      </c>
      <c r="M15" s="29">
        <f>'Расх перем'!K33</f>
        <v>119.02000000000001</v>
      </c>
      <c r="N15" s="29">
        <f>'Расх перем'!L33</f>
        <v>0</v>
      </c>
      <c r="O15" s="29">
        <f>'Расх перем'!M33</f>
        <v>161.04</v>
      </c>
      <c r="P15" s="27">
        <f>SUM(D15:O15)</f>
        <v>280.06</v>
      </c>
      <c r="Q15" s="29">
        <f>'Расх перем'!B33</f>
        <v>161.04</v>
      </c>
      <c r="R15" s="29">
        <f>'Расх перем'!C33</f>
        <v>0</v>
      </c>
      <c r="S15" s="29">
        <f>'Расх перем'!D33</f>
        <v>0</v>
      </c>
      <c r="T15" s="29">
        <f>'Расх перем'!E33</f>
        <v>77.37175599999998</v>
      </c>
      <c r="U15" s="29">
        <f>'Расх перем'!F33</f>
        <v>677.7626240000001</v>
      </c>
      <c r="V15" s="29">
        <f>'Расх перем'!G33</f>
        <v>69.42320000000001</v>
      </c>
      <c r="W15" s="29">
        <f>'Расх перем'!H33</f>
        <v>63.756</v>
      </c>
      <c r="X15" s="29">
        <f>'Расх перем'!I33</f>
        <v>99.5808</v>
      </c>
      <c r="Y15" s="29">
        <f>'Расх перем'!J33</f>
        <v>676.04108</v>
      </c>
      <c r="Z15" s="29">
        <f>'Расх перем'!K33</f>
        <v>119.02000000000001</v>
      </c>
      <c r="AA15" s="29">
        <f>'Расх перем'!L33</f>
        <v>0</v>
      </c>
      <c r="AB15" s="29">
        <f>'Расх перем'!M33</f>
        <v>161.04</v>
      </c>
      <c r="AC15" s="27">
        <f>SUM(Q15:AB15)</f>
        <v>2105.03546</v>
      </c>
      <c r="AD15" s="29">
        <f>'Расх перем'!$N33</f>
        <v>2105.03546</v>
      </c>
      <c r="AE15" s="29">
        <f>'Расх перем'!$N33</f>
        <v>2105.03546</v>
      </c>
      <c r="AF15" s="29">
        <f>'Расх перем'!$N33</f>
        <v>2105.03546</v>
      </c>
      <c r="AG15" s="29">
        <f>'Расх перем'!$N33</f>
        <v>2105.03546</v>
      </c>
      <c r="AH15" s="29">
        <f>'Расх перем'!$N33</f>
        <v>2105.03546</v>
      </c>
      <c r="AI15" s="29">
        <f>'Расх перем'!$N33</f>
        <v>2105.03546</v>
      </c>
    </row>
    <row r="16" spans="1:35" ht="12.75">
      <c r="A16" s="28" t="str">
        <f>'2-ф2'!A11</f>
        <v>Химпрепараты</v>
      </c>
      <c r="B16" s="27">
        <f>P16+AC16+AD16+AE16+AF16+AG16+AH16+AI16</f>
        <v>7421.216879999998</v>
      </c>
      <c r="C16" s="32"/>
      <c r="D16" s="29"/>
      <c r="E16" s="29"/>
      <c r="F16" s="29"/>
      <c r="G16" s="29"/>
      <c r="H16" s="29">
        <f>'Расх перем'!D34</f>
        <v>0</v>
      </c>
      <c r="I16" s="29"/>
      <c r="J16" s="29"/>
      <c r="K16" s="29">
        <f>'Расх перем'!AF34</f>
        <v>0</v>
      </c>
      <c r="L16" s="29">
        <f>'Расх перем'!AG34</f>
        <v>0</v>
      </c>
      <c r="M16" s="29">
        <f>'Расх перем'!K34</f>
        <v>0</v>
      </c>
      <c r="N16" s="29">
        <f>'Расх перем'!L34</f>
        <v>0</v>
      </c>
      <c r="O16" s="29">
        <f>'Расх перем'!M34</f>
        <v>0</v>
      </c>
      <c r="P16" s="27">
        <f>SUM(D16:O16)</f>
        <v>0</v>
      </c>
      <c r="Q16" s="29">
        <f>'Расх перем'!B34</f>
        <v>0</v>
      </c>
      <c r="R16" s="29">
        <f>'Расх перем'!C34</f>
        <v>0</v>
      </c>
      <c r="S16" s="29">
        <f>'Расх перем'!D34</f>
        <v>0</v>
      </c>
      <c r="T16" s="29">
        <f>'Расх перем'!E34</f>
        <v>1060.17384</v>
      </c>
      <c r="U16" s="29">
        <f>'Расх перем'!F34</f>
        <v>0</v>
      </c>
      <c r="V16" s="29">
        <f>'Расх перем'!G34</f>
        <v>0</v>
      </c>
      <c r="W16" s="29">
        <f>'Расх перем'!H34</f>
        <v>0</v>
      </c>
      <c r="X16" s="29">
        <f>'Расх перем'!I34</f>
        <v>0</v>
      </c>
      <c r="Y16" s="29">
        <f>'Расх перем'!J34</f>
        <v>0</v>
      </c>
      <c r="Z16" s="29">
        <f>'Расх перем'!K34</f>
        <v>0</v>
      </c>
      <c r="AA16" s="29">
        <f>'Расх перем'!L34</f>
        <v>0</v>
      </c>
      <c r="AB16" s="29">
        <f>'Расх перем'!M34</f>
        <v>0</v>
      </c>
      <c r="AC16" s="27">
        <f>SUM(Q16:AB16)</f>
        <v>1060.17384</v>
      </c>
      <c r="AD16" s="29">
        <f>'Расх перем'!$N34</f>
        <v>1060.17384</v>
      </c>
      <c r="AE16" s="29">
        <f>'Расх перем'!$N34</f>
        <v>1060.17384</v>
      </c>
      <c r="AF16" s="29">
        <f>'Расх перем'!$N34</f>
        <v>1060.17384</v>
      </c>
      <c r="AG16" s="29">
        <f>'Расх перем'!$N34</f>
        <v>1060.17384</v>
      </c>
      <c r="AH16" s="29">
        <f>'Расх перем'!$N34</f>
        <v>1060.17384</v>
      </c>
      <c r="AI16" s="29">
        <f>'Расх перем'!$N34</f>
        <v>1060.17384</v>
      </c>
    </row>
    <row r="17" spans="1:35" ht="12.75">
      <c r="A17" s="28" t="str">
        <f>'2-ф2'!A12</f>
        <v>Удобрения</v>
      </c>
      <c r="B17" s="27">
        <f>P17+AC17+AD17+AE17+AF17+AG17+AH17+AI17</f>
        <v>1967.9536800000003</v>
      </c>
      <c r="C17" s="32"/>
      <c r="D17" s="29"/>
      <c r="E17" s="29"/>
      <c r="F17" s="29"/>
      <c r="G17" s="29"/>
      <c r="H17" s="29">
        <f>'Расх перем'!D35</f>
        <v>0</v>
      </c>
      <c r="I17" s="29"/>
      <c r="J17" s="29"/>
      <c r="K17" s="29">
        <f>'Расх перем'!AF35</f>
        <v>0</v>
      </c>
      <c r="L17" s="29">
        <f>'Расх перем'!AG35</f>
        <v>0</v>
      </c>
      <c r="M17" s="29">
        <f>'Расх перем'!K35</f>
        <v>0</v>
      </c>
      <c r="N17" s="29">
        <f>'Расх перем'!L35</f>
        <v>0</v>
      </c>
      <c r="O17" s="29">
        <f>'Расх перем'!M35</f>
        <v>0</v>
      </c>
      <c r="P17" s="27">
        <f>SUM(D17:O17)</f>
        <v>0</v>
      </c>
      <c r="Q17" s="29">
        <f>'Расх перем'!B35</f>
        <v>0</v>
      </c>
      <c r="R17" s="29">
        <f>'Расх перем'!C35</f>
        <v>0</v>
      </c>
      <c r="S17" s="29">
        <f>'Расх перем'!D35</f>
        <v>0</v>
      </c>
      <c r="T17" s="29">
        <f>'Расх перем'!E35</f>
        <v>0</v>
      </c>
      <c r="U17" s="29">
        <f>'Расх перем'!F35</f>
        <v>281.13624000000004</v>
      </c>
      <c r="V17" s="29">
        <f>'Расх перем'!G35</f>
        <v>0</v>
      </c>
      <c r="W17" s="29">
        <f>'Расх перем'!H35</f>
        <v>0</v>
      </c>
      <c r="X17" s="29">
        <f>'Расх перем'!I35</f>
        <v>0</v>
      </c>
      <c r="Y17" s="29">
        <f>'Расх перем'!J35</f>
        <v>0</v>
      </c>
      <c r="Z17" s="29">
        <f>'Расх перем'!K35</f>
        <v>0</v>
      </c>
      <c r="AA17" s="29">
        <f>'Расх перем'!L35</f>
        <v>0</v>
      </c>
      <c r="AB17" s="29">
        <f>'Расх перем'!M35</f>
        <v>0</v>
      </c>
      <c r="AC17" s="27">
        <f>SUM(Q17:AB17)</f>
        <v>281.13624000000004</v>
      </c>
      <c r="AD17" s="29">
        <f>'Расх перем'!$N35</f>
        <v>281.13624000000004</v>
      </c>
      <c r="AE17" s="29">
        <f>'Расх перем'!$N35</f>
        <v>281.13624000000004</v>
      </c>
      <c r="AF17" s="29">
        <f>'Расх перем'!$N35</f>
        <v>281.13624000000004</v>
      </c>
      <c r="AG17" s="29">
        <f>'Расх перем'!$N35</f>
        <v>281.13624000000004</v>
      </c>
      <c r="AH17" s="29">
        <f>'Расх перем'!$N35</f>
        <v>281.13624000000004</v>
      </c>
      <c r="AI17" s="29">
        <f>'Расх перем'!$N35</f>
        <v>281.13624000000004</v>
      </c>
    </row>
    <row r="18" spans="1:35" ht="12.75">
      <c r="A18" s="28" t="str">
        <f>'2-ф2'!A13</f>
        <v>Услуги элеватора</v>
      </c>
      <c r="B18" s="27">
        <f t="shared" si="6"/>
        <v>11067.071400000003</v>
      </c>
      <c r="C18" s="32"/>
      <c r="D18" s="29">
        <f>'2-ф2'!D13*Исх!$C$20</f>
        <v>0</v>
      </c>
      <c r="E18" s="29">
        <f>'2-ф2'!E13*Исх!$C$20</f>
        <v>0</v>
      </c>
      <c r="F18" s="29">
        <f>'2-ф2'!F13*Исх!$C$20</f>
        <v>0</v>
      </c>
      <c r="G18" s="29">
        <f>'2-ф2'!G13*Исх!$C$20</f>
        <v>0</v>
      </c>
      <c r="H18" s="29">
        <f>'2-ф2'!H13*Исх!$C$20</f>
        <v>0</v>
      </c>
      <c r="I18" s="29">
        <f>'2-ф2'!I13*Исх!$C$20</f>
        <v>0</v>
      </c>
      <c r="J18" s="29">
        <f>'2-ф2'!J13*Исх!$C$20</f>
        <v>0</v>
      </c>
      <c r="K18" s="29">
        <f>'Расх перем'!AF36</f>
        <v>0</v>
      </c>
      <c r="L18" s="29">
        <f>'Расх перем'!AG36</f>
        <v>0</v>
      </c>
      <c r="M18" s="29">
        <f>'Расх перем'!K36</f>
        <v>0</v>
      </c>
      <c r="N18" s="29">
        <f>'Расх перем'!L36</f>
        <v>0</v>
      </c>
      <c r="O18" s="29">
        <f>'Расх перем'!M36</f>
        <v>0</v>
      </c>
      <c r="P18" s="27">
        <f t="shared" si="8"/>
        <v>0</v>
      </c>
      <c r="Q18" s="29">
        <f>'Расх перем'!B36</f>
        <v>0</v>
      </c>
      <c r="R18" s="29">
        <f>'Расх перем'!C36</f>
        <v>0</v>
      </c>
      <c r="S18" s="29">
        <f>'Расх перем'!D36</f>
        <v>0</v>
      </c>
      <c r="T18" s="29">
        <f>'Расх перем'!E36</f>
        <v>0</v>
      </c>
      <c r="U18" s="29">
        <f>'Расх перем'!F36</f>
        <v>0</v>
      </c>
      <c r="V18" s="29">
        <f>'Расх перем'!G36</f>
        <v>0</v>
      </c>
      <c r="W18" s="29">
        <f>'Расх перем'!H36</f>
        <v>0</v>
      </c>
      <c r="X18" s="29">
        <f>'Расх перем'!I36</f>
        <v>0</v>
      </c>
      <c r="Y18" s="29">
        <f>'Расх перем'!J36</f>
        <v>1581.0102000000002</v>
      </c>
      <c r="Z18" s="29">
        <f>'Расх перем'!K36</f>
        <v>0</v>
      </c>
      <c r="AA18" s="29">
        <f>'Расх перем'!L36</f>
        <v>0</v>
      </c>
      <c r="AB18" s="29">
        <f>'Расх перем'!M36</f>
        <v>0</v>
      </c>
      <c r="AC18" s="27">
        <f t="shared" si="9"/>
        <v>1581.0102000000002</v>
      </c>
      <c r="AD18" s="29">
        <f>'Расх перем'!$N36</f>
        <v>1581.0102000000002</v>
      </c>
      <c r="AE18" s="29">
        <f>'Расх перем'!$N36</f>
        <v>1581.0102000000002</v>
      </c>
      <c r="AF18" s="29">
        <f>'Расх перем'!$N36</f>
        <v>1581.0102000000002</v>
      </c>
      <c r="AG18" s="29">
        <f>'Расх перем'!$N36</f>
        <v>1581.0102000000002</v>
      </c>
      <c r="AH18" s="29">
        <f>'Расх перем'!$N36</f>
        <v>1581.0102000000002</v>
      </c>
      <c r="AI18" s="29">
        <f>'Расх перем'!$N36</f>
        <v>1581.0102000000002</v>
      </c>
    </row>
    <row r="19" spans="1:35" ht="12.75">
      <c r="A19" s="28" t="s">
        <v>148</v>
      </c>
      <c r="B19" s="27">
        <f t="shared" si="6"/>
        <v>23180.477925</v>
      </c>
      <c r="C19" s="27"/>
      <c r="D19" s="29"/>
      <c r="E19" s="29"/>
      <c r="F19" s="29"/>
      <c r="G19" s="29"/>
      <c r="H19" s="29"/>
      <c r="I19" s="29"/>
      <c r="J19" s="29"/>
      <c r="K19" s="29"/>
      <c r="L19" s="29"/>
      <c r="M19" s="29">
        <f>(Пост!$C$15-Пост!$C$6)*Исх!$C$20+Пост!$C$6+Пост!$C$17+Пост!$C$20</f>
        <v>266.442275</v>
      </c>
      <c r="N19" s="29">
        <f>(Пост!$C$15-Пост!$C$6)*Исх!$C$20+Пост!$C$6+Пост!$C$17+Пост!$C$20</f>
        <v>266.442275</v>
      </c>
      <c r="O19" s="29">
        <f>(Пост!$C$15-Пост!$C$6)*Исх!$C$20+Пост!$C$6+Пост!$C$17+Пост!$C$20</f>
        <v>266.442275</v>
      </c>
      <c r="P19" s="27">
        <f t="shared" si="8"/>
        <v>799.326825</v>
      </c>
      <c r="Q19" s="29">
        <f>(Пост!$D$15-Пост!$D$6)*Исх!$C$20+Пост!$D$6+Пост!$D$17+Пост!$D$20</f>
        <v>266.442275</v>
      </c>
      <c r="R19" s="29">
        <f>(Пост!$D$15-Пост!$D$6)*Исх!$C$20+Пост!$D$6+Пост!$D$17+Пост!$D$20</f>
        <v>266.442275</v>
      </c>
      <c r="S19" s="29">
        <f>(Пост!$D$15-Пост!$D$6)*Исх!$C$20+Пост!$D$6+Пост!$D$17+Пост!$D$20</f>
        <v>266.442275</v>
      </c>
      <c r="T19" s="29">
        <f>(Пост!$D$15-Пост!$D$6)*Исх!$C$20+Пост!$D$6+Пост!$D$17+Пост!$D$20</f>
        <v>266.442275</v>
      </c>
      <c r="U19" s="29">
        <f>(Пост!$D$15-Пост!$D$6)*Исх!$C$20+Пост!$D$6+Пост!$D$17+Пост!$D$20</f>
        <v>266.442275</v>
      </c>
      <c r="V19" s="29">
        <f>(Пост!$D$15-Пост!$D$6)*Исх!$C$20+Пост!$D$6+Пост!$D$17+Пост!$D$20</f>
        <v>266.442275</v>
      </c>
      <c r="W19" s="29">
        <f>(Пост!$D$15-Пост!$D$6)*Исх!$C$20+Пост!$D$6+Пост!$D$17+Пост!$D$20</f>
        <v>266.442275</v>
      </c>
      <c r="X19" s="29">
        <f>(Пост!$D$15-Пост!$D$6)*Исх!$C$20+Пост!$D$6+Пост!$D$17+Пост!$D$20</f>
        <v>266.442275</v>
      </c>
      <c r="Y19" s="29">
        <f>(Пост!$D$15-Пост!$D$6)*Исх!$C$20+Пост!$D$6+Пост!$D$17+Пост!$D$20</f>
        <v>266.442275</v>
      </c>
      <c r="Z19" s="29">
        <f>(Пост!$D$15-Пост!$D$6)*Исх!$C$20+Пост!$D$6+Пост!$D$17+Пост!$D$20</f>
        <v>266.442275</v>
      </c>
      <c r="AA19" s="29">
        <f>(Пост!$D$15-Пост!$D$6)*Исх!$C$20+Пост!$D$6+Пост!$D$17+Пост!$D$20</f>
        <v>266.442275</v>
      </c>
      <c r="AB19" s="29">
        <f>(Пост!$D$15-Пост!$D$6)*Исх!$C$20+Пост!$D$6+Пост!$D$17+Пост!$D$20</f>
        <v>266.442275</v>
      </c>
      <c r="AC19" s="27">
        <f t="shared" si="9"/>
        <v>3197.307299999999</v>
      </c>
      <c r="AD19" s="29">
        <f>((Пост!E15-Пост!E6)*Исх!$C$20+Пост!E6+Пост!E17+Пост!E20)*12</f>
        <v>3197.3073</v>
      </c>
      <c r="AE19" s="29">
        <f>((Пост!F15-Пост!F6)*Исх!$C$20+Пост!F6+Пост!F17+Пост!F20)*12</f>
        <v>3197.3073</v>
      </c>
      <c r="AF19" s="29">
        <f>((Пост!G15-Пост!G6)*Исх!$C$20+Пост!G6+Пост!G17+Пост!G20)*12</f>
        <v>3197.3073</v>
      </c>
      <c r="AG19" s="29">
        <f>((Пост!H15-Пост!H6)*Исх!$C$20+Пост!H6+Пост!H17+Пост!H20)*12</f>
        <v>3197.3073</v>
      </c>
      <c r="AH19" s="29">
        <f>((Пост!I15-Пост!I6)*Исх!$C$20+Пост!I6+Пост!I17+Пост!I20)*12</f>
        <v>3197.3073</v>
      </c>
      <c r="AI19" s="29">
        <f>((Пост!J15-Пост!J6)*Исх!$C$20+Пост!J6+Пост!J17+Пост!J20)*12</f>
        <v>3197.3073</v>
      </c>
    </row>
    <row r="20" spans="1:35" ht="12.75">
      <c r="A20" s="28" t="s">
        <v>52</v>
      </c>
      <c r="B20" s="27">
        <f t="shared" si="6"/>
        <v>3591.6227664187554</v>
      </c>
      <c r="C20" s="27"/>
      <c r="D20" s="29">
        <f>кр!C11</f>
        <v>0</v>
      </c>
      <c r="E20" s="29">
        <f>кр!D11</f>
        <v>0</v>
      </c>
      <c r="F20" s="29">
        <f>кр!E11</f>
        <v>0</v>
      </c>
      <c r="G20" s="29">
        <f>кр!F11</f>
        <v>0</v>
      </c>
      <c r="H20" s="29">
        <f>кр!G11</f>
        <v>0</v>
      </c>
      <c r="I20" s="29">
        <f>кр!H11</f>
        <v>0</v>
      </c>
      <c r="J20" s="29">
        <f>кр!I11</f>
        <v>0</v>
      </c>
      <c r="K20" s="29">
        <f>кр!J11</f>
        <v>0</v>
      </c>
      <c r="L20" s="29">
        <f>кр!K11</f>
        <v>0</v>
      </c>
      <c r="M20" s="29">
        <f>кр!L11</f>
        <v>0</v>
      </c>
      <c r="N20" s="29">
        <f>кр!M11</f>
        <v>0</v>
      </c>
      <c r="O20" s="29">
        <f>кр!N11</f>
        <v>0</v>
      </c>
      <c r="P20" s="27">
        <f t="shared" si="8"/>
        <v>0</v>
      </c>
      <c r="Q20" s="29">
        <f>кр!P11</f>
        <v>0</v>
      </c>
      <c r="R20" s="29">
        <f>кр!Q11</f>
        <v>0</v>
      </c>
      <c r="S20" s="29">
        <f>кр!R11</f>
        <v>0</v>
      </c>
      <c r="T20" s="29">
        <f>кр!S11</f>
        <v>0</v>
      </c>
      <c r="U20" s="29">
        <f>кр!T11</f>
        <v>0</v>
      </c>
      <c r="V20" s="29">
        <f>кр!U11</f>
        <v>0</v>
      </c>
      <c r="W20" s="29">
        <f>кр!V11</f>
        <v>0</v>
      </c>
      <c r="X20" s="29">
        <f>кр!W11</f>
        <v>0</v>
      </c>
      <c r="Y20" s="29">
        <f>кр!X11</f>
        <v>0</v>
      </c>
      <c r="Z20" s="29">
        <f>кр!Y11</f>
        <v>98.4006237375</v>
      </c>
      <c r="AA20" s="29">
        <f>кр!Z11</f>
        <v>97.0339484078125</v>
      </c>
      <c r="AB20" s="29">
        <f>кр!AA11</f>
        <v>95.66727307812499</v>
      </c>
      <c r="AC20" s="27">
        <f t="shared" si="9"/>
        <v>291.1018452234375</v>
      </c>
      <c r="AD20" s="33">
        <f>кр!AO11</f>
        <v>1041.406601221875</v>
      </c>
      <c r="AE20" s="33">
        <f>кр!BB11</f>
        <v>844.6053537468753</v>
      </c>
      <c r="AF20" s="33">
        <f>кр!BO11</f>
        <v>647.8041062718758</v>
      </c>
      <c r="AG20" s="33">
        <f>кр!CB11</f>
        <v>451.00285879687635</v>
      </c>
      <c r="AH20" s="33">
        <f>кр!CO11</f>
        <v>254.20161132187647</v>
      </c>
      <c r="AI20" s="33">
        <f>кр!DB11</f>
        <v>61.50038983593897</v>
      </c>
    </row>
    <row r="21" spans="1:35" ht="12.75">
      <c r="A21" s="28" t="s">
        <v>238</v>
      </c>
      <c r="B21" s="27">
        <f t="shared" si="6"/>
        <v>65.49166666666667</v>
      </c>
      <c r="C21" s="27"/>
      <c r="D21" s="29">
        <f>'2-ф2'!D19</f>
        <v>0</v>
      </c>
      <c r="E21" s="29">
        <f>'2-ф2'!E19</f>
        <v>0</v>
      </c>
      <c r="F21" s="29">
        <f>'2-ф2'!F19</f>
        <v>0</v>
      </c>
      <c r="G21" s="29">
        <f>'2-ф2'!G19</f>
        <v>0</v>
      </c>
      <c r="H21" s="29">
        <f>'2-ф2'!H19</f>
        <v>0</v>
      </c>
      <c r="I21" s="29">
        <f>'2-ф2'!I19</f>
        <v>0</v>
      </c>
      <c r="J21" s="29">
        <f>'2-ф2'!J19</f>
        <v>0</v>
      </c>
      <c r="K21" s="29">
        <f>'2-ф2'!K19</f>
        <v>0</v>
      </c>
      <c r="L21" s="29">
        <f>'2-ф2'!L19</f>
        <v>0</v>
      </c>
      <c r="M21" s="29">
        <f>'2-ф2'!M19</f>
        <v>0.7527777777777779</v>
      </c>
      <c r="N21" s="29">
        <f>'2-ф2'!N19</f>
        <v>0.7527777777777779</v>
      </c>
      <c r="O21" s="29">
        <f>'2-ф2'!O19</f>
        <v>0.7527777777777779</v>
      </c>
      <c r="P21" s="27">
        <f t="shared" si="8"/>
        <v>2.2583333333333337</v>
      </c>
      <c r="Q21" s="29">
        <f>'2-ф2'!Q19</f>
        <v>0.7527777777777779</v>
      </c>
      <c r="R21" s="29">
        <f>'2-ф2'!R19</f>
        <v>0.7527777777777779</v>
      </c>
      <c r="S21" s="29">
        <f>'2-ф2'!S19</f>
        <v>0.7527777777777779</v>
      </c>
      <c r="T21" s="29">
        <f>'2-ф2'!T19</f>
        <v>0.7527777777777779</v>
      </c>
      <c r="U21" s="29">
        <f>'2-ф2'!U19</f>
        <v>0.7527777777777779</v>
      </c>
      <c r="V21" s="29">
        <f>'2-ф2'!V19</f>
        <v>0.7527777777777779</v>
      </c>
      <c r="W21" s="29">
        <f>'2-ф2'!W19</f>
        <v>0.7527777777777779</v>
      </c>
      <c r="X21" s="29">
        <f>'2-ф2'!X19</f>
        <v>0.7527777777777779</v>
      </c>
      <c r="Y21" s="29">
        <f>'2-ф2'!Y19</f>
        <v>0.7527777777777779</v>
      </c>
      <c r="Z21" s="29">
        <f>'2-ф2'!Z19</f>
        <v>0.7527777777777779</v>
      </c>
      <c r="AA21" s="29">
        <f>'2-ф2'!AA19</f>
        <v>0.7527777777777779</v>
      </c>
      <c r="AB21" s="29">
        <f>'2-ф2'!AB19</f>
        <v>0.7527777777777779</v>
      </c>
      <c r="AC21" s="27">
        <f t="shared" si="9"/>
        <v>9.033333333333337</v>
      </c>
      <c r="AD21" s="29">
        <f>'2-ф2'!AD19</f>
        <v>9.033333333333335</v>
      </c>
      <c r="AE21" s="29">
        <f>'2-ф2'!AE19</f>
        <v>9.033333333333335</v>
      </c>
      <c r="AF21" s="29">
        <f>'2-ф2'!AF19</f>
        <v>9.033333333333335</v>
      </c>
      <c r="AG21" s="29">
        <f>'2-ф2'!AG19</f>
        <v>9.033333333333335</v>
      </c>
      <c r="AH21" s="29">
        <f>'2-ф2'!AH19</f>
        <v>9.033333333333335</v>
      </c>
      <c r="AI21" s="29">
        <f>'2-ф2'!AI19</f>
        <v>9.033333333333335</v>
      </c>
    </row>
    <row r="22" spans="1:35" ht="12.75">
      <c r="A22" s="28" t="s">
        <v>31</v>
      </c>
      <c r="B22" s="27">
        <f t="shared" si="6"/>
        <v>0</v>
      </c>
      <c r="C22" s="27"/>
      <c r="D22" s="29">
        <f>'2-ф2'!D34</f>
        <v>0</v>
      </c>
      <c r="E22" s="29">
        <f>'2-ф2'!E34</f>
        <v>0</v>
      </c>
      <c r="F22" s="29">
        <f>'2-ф2'!F34</f>
        <v>0</v>
      </c>
      <c r="G22" s="29">
        <f>'2-ф2'!G34</f>
        <v>0</v>
      </c>
      <c r="H22" s="29">
        <f>'2-ф2'!H34</f>
        <v>0</v>
      </c>
      <c r="I22" s="29">
        <f>'2-ф2'!I34</f>
        <v>0</v>
      </c>
      <c r="J22" s="29">
        <f>'2-ф2'!J34</f>
        <v>0</v>
      </c>
      <c r="K22" s="29">
        <f>'2-ф2'!K34</f>
        <v>0</v>
      </c>
      <c r="L22" s="29">
        <f>'2-ф2'!L34</f>
        <v>0</v>
      </c>
      <c r="M22" s="29">
        <f>'2-ф2'!M34</f>
        <v>0</v>
      </c>
      <c r="N22" s="29">
        <f>'2-ф2'!N34</f>
        <v>0</v>
      </c>
      <c r="O22" s="29">
        <f>'2-ф2'!O34</f>
        <v>0</v>
      </c>
      <c r="P22" s="27">
        <f t="shared" si="8"/>
        <v>0</v>
      </c>
      <c r="Q22" s="29">
        <f>'2-ф2'!Q34</f>
        <v>0</v>
      </c>
      <c r="R22" s="29">
        <f>'2-ф2'!R34</f>
        <v>0</v>
      </c>
      <c r="S22" s="29">
        <f>'2-ф2'!S34</f>
        <v>0</v>
      </c>
      <c r="T22" s="29">
        <f>'2-ф2'!T34</f>
        <v>0</v>
      </c>
      <c r="U22" s="29">
        <f>'2-ф2'!U34</f>
        <v>0</v>
      </c>
      <c r="V22" s="29">
        <f>'2-ф2'!V34</f>
        <v>0</v>
      </c>
      <c r="W22" s="29">
        <f>'2-ф2'!W34</f>
        <v>0</v>
      </c>
      <c r="X22" s="29">
        <f>'2-ф2'!X34</f>
        <v>0</v>
      </c>
      <c r="Y22" s="29">
        <f>'2-ф2'!Y34</f>
        <v>0</v>
      </c>
      <c r="Z22" s="29">
        <f>'2-ф2'!Z34</f>
        <v>0</v>
      </c>
      <c r="AA22" s="29">
        <f>'2-ф2'!AA34</f>
        <v>0</v>
      </c>
      <c r="AB22" s="29">
        <f>'2-ф2'!AB34</f>
        <v>0</v>
      </c>
      <c r="AC22" s="27">
        <f t="shared" si="9"/>
        <v>0</v>
      </c>
      <c r="AD22" s="29">
        <f>'2-ф2'!AD34</f>
        <v>0</v>
      </c>
      <c r="AE22" s="29">
        <f>'2-ф2'!AE34</f>
        <v>0</v>
      </c>
      <c r="AF22" s="29">
        <f>'2-ф2'!AF34</f>
        <v>0</v>
      </c>
      <c r="AG22" s="29">
        <f>'2-ф2'!AG34</f>
        <v>0</v>
      </c>
      <c r="AH22" s="29">
        <f>'2-ф2'!AH34</f>
        <v>0</v>
      </c>
      <c r="AI22" s="29">
        <f>'2-ф2'!AI34</f>
        <v>0</v>
      </c>
    </row>
    <row r="23" spans="1:35" s="21" customFormat="1" ht="25.5">
      <c r="A23" s="34" t="s">
        <v>17</v>
      </c>
      <c r="B23" s="18">
        <f>B9-B12</f>
        <v>36052.83113655457</v>
      </c>
      <c r="C23" s="18"/>
      <c r="D23" s="18">
        <f aca="true" t="shared" si="10" ref="D23:AI23">D9-D12</f>
        <v>0</v>
      </c>
      <c r="E23" s="18">
        <f t="shared" si="10"/>
        <v>0</v>
      </c>
      <c r="F23" s="18">
        <f t="shared" si="10"/>
        <v>0</v>
      </c>
      <c r="G23" s="18">
        <f t="shared" si="10"/>
        <v>0</v>
      </c>
      <c r="H23" s="18">
        <f t="shared" si="10"/>
        <v>0</v>
      </c>
      <c r="I23" s="18">
        <f t="shared" si="10"/>
        <v>0</v>
      </c>
      <c r="J23" s="18">
        <f t="shared" si="10"/>
        <v>0</v>
      </c>
      <c r="K23" s="18">
        <f t="shared" si="10"/>
        <v>0</v>
      </c>
      <c r="L23" s="18">
        <f t="shared" si="10"/>
        <v>0</v>
      </c>
      <c r="M23" s="18">
        <f t="shared" si="10"/>
        <v>-463.2901850529101</v>
      </c>
      <c r="N23" s="18">
        <f t="shared" si="10"/>
        <v>-267.1950527777778</v>
      </c>
      <c r="O23" s="18">
        <f t="shared" si="10"/>
        <v>-453.4653048786181</v>
      </c>
      <c r="P23" s="18">
        <f t="shared" si="10"/>
        <v>-1183.950542709306</v>
      </c>
      <c r="Q23" s="18">
        <f t="shared" si="10"/>
        <v>-453.4653048786181</v>
      </c>
      <c r="R23" s="18">
        <f t="shared" si="10"/>
        <v>-267.1950527777778</v>
      </c>
      <c r="S23" s="18">
        <f t="shared" si="10"/>
        <v>-267.1950527777778</v>
      </c>
      <c r="T23" s="18">
        <f t="shared" si="10"/>
        <v>-1446.8678456889747</v>
      </c>
      <c r="U23" s="18">
        <f t="shared" si="10"/>
        <v>-4836.111777919482</v>
      </c>
      <c r="V23" s="18">
        <f t="shared" si="10"/>
        <v>-345.96406931913117</v>
      </c>
      <c r="W23" s="18">
        <f t="shared" si="10"/>
        <v>-338.9189604700855</v>
      </c>
      <c r="X23" s="18">
        <f t="shared" si="10"/>
        <v>-374.1746242063492</v>
      </c>
      <c r="Y23" s="18">
        <f t="shared" si="10"/>
        <v>-3120.7235627264085</v>
      </c>
      <c r="Z23" s="18">
        <f t="shared" si="10"/>
        <v>2449.0091912095904</v>
      </c>
      <c r="AA23" s="18">
        <f t="shared" si="10"/>
        <v>2646.4709988144104</v>
      </c>
      <c r="AB23" s="18">
        <f t="shared" si="10"/>
        <v>2461.5674220432575</v>
      </c>
      <c r="AC23" s="18">
        <f t="shared" si="10"/>
        <v>-3893.568638697343</v>
      </c>
      <c r="AD23" s="18">
        <f t="shared" si="10"/>
        <v>6363.738605304217</v>
      </c>
      <c r="AE23" s="18">
        <f t="shared" si="10"/>
        <v>6560.539852779217</v>
      </c>
      <c r="AF23" s="18">
        <f t="shared" si="10"/>
        <v>6757.341100254216</v>
      </c>
      <c r="AG23" s="18">
        <f t="shared" si="10"/>
        <v>6954.1423477292155</v>
      </c>
      <c r="AH23" s="18">
        <f t="shared" si="10"/>
        <v>7150.943595204217</v>
      </c>
      <c r="AI23" s="18">
        <f t="shared" si="10"/>
        <v>7343.644816690154</v>
      </c>
    </row>
    <row r="24" spans="1:35" s="21" customFormat="1" ht="12.75">
      <c r="A24" s="22" t="s">
        <v>18</v>
      </c>
      <c r="B24" s="23"/>
      <c r="C24" s="2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35"/>
      <c r="AD24" s="35"/>
      <c r="AE24" s="35"/>
      <c r="AF24" s="35"/>
      <c r="AG24" s="35"/>
      <c r="AH24" s="35"/>
      <c r="AI24" s="35"/>
    </row>
    <row r="25" spans="1:35" s="21" customFormat="1" ht="12.75">
      <c r="A25" s="26" t="s">
        <v>5</v>
      </c>
      <c r="B25" s="27"/>
      <c r="C25" s="2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7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27"/>
      <c r="AD25" s="27"/>
      <c r="AE25" s="27"/>
      <c r="AF25" s="27"/>
      <c r="AG25" s="27"/>
      <c r="AH25" s="27"/>
      <c r="AI25" s="27"/>
    </row>
    <row r="26" spans="1:35" s="21" customFormat="1" ht="12.75">
      <c r="A26" s="26" t="s">
        <v>6</v>
      </c>
      <c r="B26" s="27">
        <f>SUM(B27:B28)</f>
        <v>15851.537999999999</v>
      </c>
      <c r="C26" s="27"/>
      <c r="D26" s="27">
        <f aca="true" t="shared" si="11" ref="D26:AC26">SUM(D27:D28)</f>
        <v>0</v>
      </c>
      <c r="E26" s="27">
        <f t="shared" si="11"/>
        <v>0</v>
      </c>
      <c r="F26" s="27">
        <f t="shared" si="11"/>
        <v>0</v>
      </c>
      <c r="G26" s="27">
        <f t="shared" si="11"/>
        <v>0</v>
      </c>
      <c r="H26" s="27">
        <f>SUM(H27:H28)</f>
        <v>0</v>
      </c>
      <c r="I26" s="27">
        <f t="shared" si="11"/>
        <v>0</v>
      </c>
      <c r="J26" s="27">
        <f t="shared" si="11"/>
        <v>0</v>
      </c>
      <c r="K26" s="27">
        <f t="shared" si="11"/>
        <v>0</v>
      </c>
      <c r="L26" s="27">
        <f t="shared" si="11"/>
        <v>0</v>
      </c>
      <c r="M26" s="27">
        <f t="shared" si="11"/>
        <v>15851.537999999999</v>
      </c>
      <c r="N26" s="27">
        <f t="shared" si="11"/>
        <v>0</v>
      </c>
      <c r="O26" s="27">
        <f t="shared" si="11"/>
        <v>0</v>
      </c>
      <c r="P26" s="27">
        <f t="shared" si="11"/>
        <v>15851.537999999999</v>
      </c>
      <c r="Q26" s="27">
        <f t="shared" si="11"/>
        <v>0</v>
      </c>
      <c r="R26" s="27">
        <f t="shared" si="11"/>
        <v>0</v>
      </c>
      <c r="S26" s="27">
        <f t="shared" si="11"/>
        <v>0</v>
      </c>
      <c r="T26" s="27">
        <f t="shared" si="11"/>
        <v>0</v>
      </c>
      <c r="U26" s="27">
        <f t="shared" si="11"/>
        <v>0</v>
      </c>
      <c r="V26" s="27">
        <f t="shared" si="11"/>
        <v>0</v>
      </c>
      <c r="W26" s="27">
        <f t="shared" si="11"/>
        <v>0</v>
      </c>
      <c r="X26" s="27">
        <f t="shared" si="11"/>
        <v>0</v>
      </c>
      <c r="Y26" s="27">
        <f t="shared" si="11"/>
        <v>0</v>
      </c>
      <c r="Z26" s="27">
        <f t="shared" si="11"/>
        <v>0</v>
      </c>
      <c r="AA26" s="27">
        <f t="shared" si="11"/>
        <v>0</v>
      </c>
      <c r="AB26" s="27">
        <f t="shared" si="11"/>
        <v>0</v>
      </c>
      <c r="AC26" s="27">
        <f t="shared" si="11"/>
        <v>0</v>
      </c>
      <c r="AD26" s="27">
        <f aca="true" t="shared" si="12" ref="AD26:AI26">SUM(AD27:AD28)</f>
        <v>0</v>
      </c>
      <c r="AE26" s="27">
        <f t="shared" si="12"/>
        <v>0</v>
      </c>
      <c r="AF26" s="27">
        <f t="shared" si="12"/>
        <v>0</v>
      </c>
      <c r="AG26" s="27">
        <f t="shared" si="12"/>
        <v>0</v>
      </c>
      <c r="AH26" s="27">
        <f t="shared" si="12"/>
        <v>0</v>
      </c>
      <c r="AI26" s="27">
        <f t="shared" si="12"/>
        <v>0</v>
      </c>
    </row>
    <row r="27" spans="1:35" ht="12.75">
      <c r="A27" s="37" t="s">
        <v>19</v>
      </c>
      <c r="B27" s="27">
        <f>P27+AC27+AD27+AE27+AF27+AG27+AH27+AI27</f>
        <v>15851.537999999999</v>
      </c>
      <c r="C27" s="27"/>
      <c r="D27" s="29">
        <f>Инв!E31</f>
        <v>0</v>
      </c>
      <c r="E27" s="29">
        <f>Инв!F31</f>
        <v>0</v>
      </c>
      <c r="F27" s="29">
        <f>Инв!G31</f>
        <v>0</v>
      </c>
      <c r="G27" s="29">
        <f>Инв!H31</f>
        <v>0</v>
      </c>
      <c r="H27" s="29">
        <f>Инв!I31</f>
        <v>0</v>
      </c>
      <c r="I27" s="29">
        <f>Инв!J31</f>
        <v>0</v>
      </c>
      <c r="J27" s="29">
        <f>Инв!K31</f>
        <v>0</v>
      </c>
      <c r="K27" s="29"/>
      <c r="L27" s="29">
        <f>Инв!M31</f>
        <v>0</v>
      </c>
      <c r="M27" s="29">
        <f>Инв!N31</f>
        <v>15851.537999999999</v>
      </c>
      <c r="N27" s="29">
        <f>Инв!O31</f>
        <v>0</v>
      </c>
      <c r="O27" s="29">
        <f>Инв!P31</f>
        <v>0</v>
      </c>
      <c r="P27" s="27">
        <f>SUM(D27:O27)</f>
        <v>15851.537999999999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7">
        <f>SUM(Q27:AB27)</f>
        <v>0</v>
      </c>
      <c r="AD27" s="27"/>
      <c r="AE27" s="27"/>
      <c r="AF27" s="27"/>
      <c r="AG27" s="27"/>
      <c r="AH27" s="27"/>
      <c r="AI27" s="27"/>
    </row>
    <row r="28" spans="1:35" ht="12.75" hidden="1" outlineLevel="1">
      <c r="A28" s="37"/>
      <c r="B28" s="27">
        <f>P28+AC28+AD28+AE28+AF28+AG28+AH28+AI28</f>
        <v>0</v>
      </c>
      <c r="C28" s="27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7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7"/>
      <c r="AD28" s="27"/>
      <c r="AE28" s="27"/>
      <c r="AF28" s="27"/>
      <c r="AG28" s="27"/>
      <c r="AH28" s="27"/>
      <c r="AI28" s="27"/>
    </row>
    <row r="29" spans="1:35" s="21" customFormat="1" ht="25.5" collapsed="1">
      <c r="A29" s="38" t="s">
        <v>20</v>
      </c>
      <c r="B29" s="18">
        <f>B25-B26</f>
        <v>-15851.537999999999</v>
      </c>
      <c r="C29" s="18"/>
      <c r="D29" s="18">
        <f>D25-D26</f>
        <v>0</v>
      </c>
      <c r="E29" s="18">
        <f aca="true" t="shared" si="13" ref="E29:O29">E25-E26</f>
        <v>0</v>
      </c>
      <c r="F29" s="18">
        <f t="shared" si="13"/>
        <v>0</v>
      </c>
      <c r="G29" s="18">
        <f t="shared" si="13"/>
        <v>0</v>
      </c>
      <c r="H29" s="18">
        <f t="shared" si="13"/>
        <v>0</v>
      </c>
      <c r="I29" s="18">
        <f t="shared" si="13"/>
        <v>0</v>
      </c>
      <c r="J29" s="18">
        <f>J25-J26</f>
        <v>0</v>
      </c>
      <c r="K29" s="18">
        <f t="shared" si="13"/>
        <v>0</v>
      </c>
      <c r="L29" s="18">
        <f t="shared" si="13"/>
        <v>0</v>
      </c>
      <c r="M29" s="18">
        <f t="shared" si="13"/>
        <v>-15851.537999999999</v>
      </c>
      <c r="N29" s="18">
        <f t="shared" si="13"/>
        <v>0</v>
      </c>
      <c r="O29" s="18">
        <f t="shared" si="13"/>
        <v>0</v>
      </c>
      <c r="P29" s="18">
        <f>SUM(D29:O29)</f>
        <v>-15851.537999999999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s="42" customFormat="1" ht="12.75">
      <c r="A30" s="39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/>
      <c r="AD30" s="41"/>
      <c r="AE30" s="41"/>
      <c r="AF30" s="41"/>
      <c r="AG30" s="41"/>
      <c r="AH30" s="41"/>
      <c r="AI30" s="41"/>
    </row>
    <row r="31" spans="1:35" s="21" customFormat="1" ht="12.75">
      <c r="A31" s="22" t="s">
        <v>22</v>
      </c>
      <c r="B31" s="23"/>
      <c r="C31" s="23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3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35"/>
      <c r="AD31" s="35"/>
      <c r="AE31" s="35"/>
      <c r="AF31" s="35"/>
      <c r="AG31" s="35"/>
      <c r="AH31" s="35"/>
      <c r="AI31" s="35"/>
    </row>
    <row r="32" spans="1:35" s="21" customFormat="1" ht="12.75">
      <c r="A32" s="26" t="s">
        <v>5</v>
      </c>
      <c r="B32" s="27">
        <f>SUM(B33:B34)</f>
        <v>28486.10479347391</v>
      </c>
      <c r="C32" s="27"/>
      <c r="D32" s="27">
        <f>SUM(D33:D34)</f>
        <v>0</v>
      </c>
      <c r="E32" s="27">
        <f aca="true" t="shared" si="14" ref="E32:O32">SUM(E33:E34)</f>
        <v>0</v>
      </c>
      <c r="F32" s="27">
        <f t="shared" si="14"/>
        <v>0</v>
      </c>
      <c r="G32" s="27">
        <f t="shared" si="14"/>
        <v>0</v>
      </c>
      <c r="H32" s="27">
        <f t="shared" si="14"/>
        <v>0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27">
        <f t="shared" si="14"/>
        <v>0</v>
      </c>
      <c r="M32" s="27">
        <f t="shared" si="14"/>
        <v>16314.82818505291</v>
      </c>
      <c r="N32" s="27">
        <f t="shared" si="14"/>
        <v>267.1950527777778</v>
      </c>
      <c r="O32" s="27">
        <f t="shared" si="14"/>
        <v>453.4653048786181</v>
      </c>
      <c r="P32" s="27">
        <f aca="true" t="shared" si="15" ref="P32:AD32">SUM(P33:P34)</f>
        <v>17035.488542709303</v>
      </c>
      <c r="Q32" s="27">
        <f t="shared" si="15"/>
        <v>453.4653048786181</v>
      </c>
      <c r="R32" s="27">
        <f t="shared" si="15"/>
        <v>267.1950527777778</v>
      </c>
      <c r="S32" s="27">
        <f t="shared" si="15"/>
        <v>267.1950527777778</v>
      </c>
      <c r="T32" s="27">
        <f t="shared" si="15"/>
        <v>1446.8678456889747</v>
      </c>
      <c r="U32" s="27">
        <f t="shared" si="15"/>
        <v>4836.111777919482</v>
      </c>
      <c r="V32" s="27">
        <f t="shared" si="15"/>
        <v>345.96406931913117</v>
      </c>
      <c r="W32" s="27">
        <f t="shared" si="15"/>
        <v>338.9189604700855</v>
      </c>
      <c r="X32" s="27">
        <f t="shared" si="15"/>
        <v>374.1746242063492</v>
      </c>
      <c r="Y32" s="27">
        <f t="shared" si="15"/>
        <v>3120.7235627264085</v>
      </c>
      <c r="Z32" s="27">
        <f t="shared" si="15"/>
        <v>0</v>
      </c>
      <c r="AA32" s="27">
        <f t="shared" si="15"/>
        <v>0</v>
      </c>
      <c r="AB32" s="27">
        <f t="shared" si="15"/>
        <v>0</v>
      </c>
      <c r="AC32" s="27">
        <f t="shared" si="15"/>
        <v>11450.616250764606</v>
      </c>
      <c r="AD32" s="27">
        <f t="shared" si="15"/>
        <v>0</v>
      </c>
      <c r="AE32" s="27">
        <f>SUM(AE33:AE34)</f>
        <v>0</v>
      </c>
      <c r="AF32" s="27">
        <f>SUM(AF33:AF34)</f>
        <v>0</v>
      </c>
      <c r="AG32" s="27">
        <f>SUM(AG33:AG34)</f>
        <v>0</v>
      </c>
      <c r="AH32" s="27">
        <f>SUM(AH33:AH34)</f>
        <v>0</v>
      </c>
      <c r="AI32" s="27">
        <f>SUM(AI33:AI34)</f>
        <v>0</v>
      </c>
    </row>
    <row r="33" spans="1:35" ht="12.75" customHeight="1">
      <c r="A33" s="37" t="s">
        <v>54</v>
      </c>
      <c r="B33" s="27">
        <f>P33+AC33+AD33+AE33+AF33+AG33+AH33+AI33</f>
        <v>12634.566793473912</v>
      </c>
      <c r="C33" s="27"/>
      <c r="D33" s="29">
        <f>(-D23-D29)*Исх!$C$8</f>
        <v>0</v>
      </c>
      <c r="E33" s="29">
        <f>(-E23-E29)*Исх!$C$8</f>
        <v>0</v>
      </c>
      <c r="F33" s="29">
        <f>(-F23-F29)*Исх!$C$8</f>
        <v>0</v>
      </c>
      <c r="G33" s="29">
        <f>G14+G19+G13+G18</f>
        <v>0</v>
      </c>
      <c r="H33" s="29">
        <f>H14+H19+H13+H18</f>
        <v>0</v>
      </c>
      <c r="I33" s="29">
        <f>I14+I19+I13+I18</f>
        <v>0</v>
      </c>
      <c r="J33" s="29">
        <f>J14+J19+J13+J18</f>
        <v>0</v>
      </c>
      <c r="K33" s="29">
        <f>Инв!L5*Исх!$C$21</f>
        <v>0</v>
      </c>
      <c r="L33" s="29">
        <f>Инв!M5*Исх!$C$21</f>
        <v>0</v>
      </c>
      <c r="M33" s="29">
        <f>M13+M14+M15+M16+M17+M18+M19+M21</f>
        <v>463.2901850529101</v>
      </c>
      <c r="N33" s="29">
        <f aca="true" t="shared" si="16" ref="N33:Y33">N13+N14+N15+N16+N17+N18+N19+N21</f>
        <v>267.1950527777778</v>
      </c>
      <c r="O33" s="29">
        <f t="shared" si="16"/>
        <v>453.4653048786181</v>
      </c>
      <c r="P33" s="27">
        <f>SUM(D33:O33)</f>
        <v>1183.9505427093059</v>
      </c>
      <c r="Q33" s="29">
        <f t="shared" si="16"/>
        <v>453.4653048786181</v>
      </c>
      <c r="R33" s="29">
        <f t="shared" si="16"/>
        <v>267.1950527777778</v>
      </c>
      <c r="S33" s="29">
        <f t="shared" si="16"/>
        <v>267.1950527777778</v>
      </c>
      <c r="T33" s="29">
        <f t="shared" si="16"/>
        <v>1446.8678456889747</v>
      </c>
      <c r="U33" s="29">
        <f t="shared" si="16"/>
        <v>4836.111777919482</v>
      </c>
      <c r="V33" s="29">
        <f t="shared" si="16"/>
        <v>345.96406931913117</v>
      </c>
      <c r="W33" s="29">
        <f t="shared" si="16"/>
        <v>338.9189604700855</v>
      </c>
      <c r="X33" s="29">
        <f t="shared" si="16"/>
        <v>374.1746242063492</v>
      </c>
      <c r="Y33" s="29">
        <f t="shared" si="16"/>
        <v>3120.7235627264085</v>
      </c>
      <c r="Z33" s="29"/>
      <c r="AA33" s="29"/>
      <c r="AB33" s="29"/>
      <c r="AC33" s="27">
        <f>SUM(Q33:AB33)</f>
        <v>11450.616250764606</v>
      </c>
      <c r="AD33" s="27"/>
      <c r="AE33" s="27"/>
      <c r="AF33" s="27"/>
      <c r="AG33" s="27"/>
      <c r="AH33" s="27"/>
      <c r="AI33" s="27"/>
    </row>
    <row r="34" spans="1:35" ht="12.75">
      <c r="A34" s="43" t="s">
        <v>163</v>
      </c>
      <c r="B34" s="27">
        <f>P34+AC34+AD34+AE34+AF34+AG34+AH34+AI34</f>
        <v>15851.537999999999</v>
      </c>
      <c r="C34" s="27"/>
      <c r="D34" s="44">
        <f>(-D23-D29)-D33</f>
        <v>0</v>
      </c>
      <c r="E34" s="44">
        <f>(-E23-E29)-E33</f>
        <v>0</v>
      </c>
      <c r="F34" s="44">
        <f>(-F23-F29)-F33</f>
        <v>0</v>
      </c>
      <c r="G34" s="44"/>
      <c r="H34" s="44"/>
      <c r="I34" s="44"/>
      <c r="J34" s="44">
        <f>Инв!K31</f>
        <v>0</v>
      </c>
      <c r="K34" s="44">
        <f>Инв!L31-'1-Ф3'!K33</f>
        <v>0</v>
      </c>
      <c r="L34" s="44">
        <f>Инв!M31-'1-Ф3'!L33</f>
        <v>0</v>
      </c>
      <c r="M34" s="44">
        <f>Инв!N31</f>
        <v>15851.537999999999</v>
      </c>
      <c r="N34" s="44"/>
      <c r="O34" s="44"/>
      <c r="P34" s="27">
        <f>SUM(D34:O34)</f>
        <v>15851.537999999999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7">
        <f>SUM(Q34:AB34)</f>
        <v>0</v>
      </c>
      <c r="AD34" s="27"/>
      <c r="AE34" s="27"/>
      <c r="AF34" s="27"/>
      <c r="AG34" s="27"/>
      <c r="AH34" s="27"/>
      <c r="AI34" s="27"/>
    </row>
    <row r="35" spans="1:35" s="21" customFormat="1" ht="12.75">
      <c r="A35" s="26" t="s">
        <v>6</v>
      </c>
      <c r="B35" s="27">
        <f>SUM(B36:B37)</f>
        <v>16868.678355</v>
      </c>
      <c r="C35" s="27"/>
      <c r="D35" s="27">
        <f>SUM(D36:D37)</f>
        <v>0</v>
      </c>
      <c r="E35" s="27">
        <f aca="true" t="shared" si="17" ref="E35:AF35">SUM(E36:E37)</f>
        <v>0</v>
      </c>
      <c r="F35" s="27">
        <f t="shared" si="17"/>
        <v>0</v>
      </c>
      <c r="G35" s="27">
        <f t="shared" si="17"/>
        <v>0</v>
      </c>
      <c r="H35" s="27">
        <f t="shared" si="17"/>
        <v>0</v>
      </c>
      <c r="I35" s="27">
        <f>SUM(I36:I37)</f>
        <v>0</v>
      </c>
      <c r="J35" s="27">
        <f t="shared" si="17"/>
        <v>0</v>
      </c>
      <c r="K35" s="27">
        <f t="shared" si="17"/>
        <v>0</v>
      </c>
      <c r="L35" s="27">
        <f t="shared" si="17"/>
        <v>0</v>
      </c>
      <c r="M35" s="27">
        <f t="shared" si="17"/>
        <v>0</v>
      </c>
      <c r="N35" s="27">
        <f t="shared" si="17"/>
        <v>0</v>
      </c>
      <c r="O35" s="27">
        <f t="shared" si="17"/>
        <v>0</v>
      </c>
      <c r="P35" s="27">
        <f t="shared" si="17"/>
        <v>0</v>
      </c>
      <c r="Q35" s="27">
        <f t="shared" si="17"/>
        <v>0</v>
      </c>
      <c r="R35" s="27">
        <f t="shared" si="17"/>
        <v>0</v>
      </c>
      <c r="S35" s="27">
        <f t="shared" si="17"/>
        <v>0</v>
      </c>
      <c r="T35" s="27">
        <f t="shared" si="17"/>
        <v>0</v>
      </c>
      <c r="U35" s="27">
        <f t="shared" si="17"/>
        <v>0</v>
      </c>
      <c r="V35" s="27">
        <f t="shared" si="17"/>
        <v>0</v>
      </c>
      <c r="W35" s="27">
        <f t="shared" si="17"/>
        <v>0</v>
      </c>
      <c r="X35" s="27">
        <f t="shared" si="17"/>
        <v>0</v>
      </c>
      <c r="Y35" s="27">
        <f t="shared" si="17"/>
        <v>0</v>
      </c>
      <c r="Z35" s="27">
        <f t="shared" si="17"/>
        <v>234.287199375</v>
      </c>
      <c r="AA35" s="27">
        <f t="shared" si="17"/>
        <v>234.287199375</v>
      </c>
      <c r="AB35" s="27">
        <f t="shared" si="17"/>
        <v>234.287199375</v>
      </c>
      <c r="AC35" s="27">
        <f t="shared" si="17"/>
        <v>702.861598125</v>
      </c>
      <c r="AD35" s="27">
        <f t="shared" si="17"/>
        <v>2811.4463925</v>
      </c>
      <c r="AE35" s="27">
        <f t="shared" si="17"/>
        <v>2811.4463925</v>
      </c>
      <c r="AF35" s="27">
        <f t="shared" si="17"/>
        <v>2811.4463925</v>
      </c>
      <c r="AG35" s="27">
        <f>SUM(AG36:AG37)</f>
        <v>2811.4463925</v>
      </c>
      <c r="AH35" s="27">
        <f>SUM(AH36:AH37)</f>
        <v>2811.4463925</v>
      </c>
      <c r="AI35" s="27">
        <f>SUM(AI36:AI37)</f>
        <v>2108.584794375</v>
      </c>
    </row>
    <row r="36" spans="1:35" ht="12.75">
      <c r="A36" s="28" t="s">
        <v>30</v>
      </c>
      <c r="B36" s="27">
        <f>P36+AC36+AD36+AE36+AF36+AG36+AH36+AI36</f>
        <v>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27">
        <f>SUM(D36:O36)</f>
        <v>0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27">
        <f>SUM(Q36:AB36)</f>
        <v>0</v>
      </c>
      <c r="AD36" s="33"/>
      <c r="AE36" s="27"/>
      <c r="AF36" s="27"/>
      <c r="AG36" s="27"/>
      <c r="AH36" s="27"/>
      <c r="AI36" s="27"/>
    </row>
    <row r="37" spans="1:35" ht="13.5" customHeight="1">
      <c r="A37" s="37" t="s">
        <v>162</v>
      </c>
      <c r="B37" s="27">
        <f>P37+AC37+AD37+AE37+AF37+AG37+AH37+AI37</f>
        <v>16868.678355</v>
      </c>
      <c r="C37" s="27"/>
      <c r="D37" s="33">
        <f>кр!C10</f>
        <v>0</v>
      </c>
      <c r="E37" s="33">
        <f>кр!D10</f>
        <v>0</v>
      </c>
      <c r="F37" s="33">
        <f>кр!E10</f>
        <v>0</v>
      </c>
      <c r="G37" s="33">
        <f>кр!F10</f>
        <v>0</v>
      </c>
      <c r="H37" s="33">
        <f>кр!G10</f>
        <v>0</v>
      </c>
      <c r="I37" s="33">
        <f>кр!H10</f>
        <v>0</v>
      </c>
      <c r="J37" s="33">
        <f>кр!I10</f>
        <v>0</v>
      </c>
      <c r="K37" s="33">
        <f>кр!J10</f>
        <v>0</v>
      </c>
      <c r="L37" s="33">
        <f>кр!K10</f>
        <v>0</v>
      </c>
      <c r="M37" s="33">
        <f>кр!L10</f>
        <v>0</v>
      </c>
      <c r="N37" s="33">
        <f>кр!M10</f>
        <v>0</v>
      </c>
      <c r="O37" s="33">
        <f>кр!N10</f>
        <v>0</v>
      </c>
      <c r="P37" s="27">
        <f>SUM(D37:O37)</f>
        <v>0</v>
      </c>
      <c r="Q37" s="33">
        <f>кр!P10</f>
        <v>0</v>
      </c>
      <c r="R37" s="33">
        <f>кр!Q10</f>
        <v>0</v>
      </c>
      <c r="S37" s="33">
        <f>кр!R10</f>
        <v>0</v>
      </c>
      <c r="T37" s="33">
        <f>кр!S10</f>
        <v>0</v>
      </c>
      <c r="U37" s="33">
        <f>кр!T10</f>
        <v>0</v>
      </c>
      <c r="V37" s="33">
        <f>кр!U10</f>
        <v>0</v>
      </c>
      <c r="W37" s="33">
        <f>кр!V10</f>
        <v>0</v>
      </c>
      <c r="X37" s="33">
        <f>кр!W10</f>
        <v>0</v>
      </c>
      <c r="Y37" s="33">
        <f>кр!X10</f>
        <v>0</v>
      </c>
      <c r="Z37" s="33">
        <f>кр!Y10</f>
        <v>234.287199375</v>
      </c>
      <c r="AA37" s="33">
        <f>кр!Z10</f>
        <v>234.287199375</v>
      </c>
      <c r="AB37" s="33">
        <f>кр!AA10</f>
        <v>234.287199375</v>
      </c>
      <c r="AC37" s="27">
        <f>SUM(Q37:AB37)</f>
        <v>702.861598125</v>
      </c>
      <c r="AD37" s="33">
        <f>кр!AO10</f>
        <v>2811.4463925</v>
      </c>
      <c r="AE37" s="33">
        <f>кр!BB10</f>
        <v>2811.4463925</v>
      </c>
      <c r="AF37" s="33">
        <f>кр!BO10</f>
        <v>2811.4463925</v>
      </c>
      <c r="AG37" s="33">
        <f>кр!CB10</f>
        <v>2811.4463925</v>
      </c>
      <c r="AH37" s="33">
        <f>кр!CO10</f>
        <v>2811.4463925</v>
      </c>
      <c r="AI37" s="33">
        <f>кр!DB10</f>
        <v>2108.584794375</v>
      </c>
    </row>
    <row r="38" spans="1:35" s="21" customFormat="1" ht="25.5">
      <c r="A38" s="38" t="s">
        <v>23</v>
      </c>
      <c r="B38" s="18">
        <f>B32-B35</f>
        <v>11617.42643847391</v>
      </c>
      <c r="C38" s="18"/>
      <c r="D38" s="18">
        <f>D32-D35</f>
        <v>0</v>
      </c>
      <c r="E38" s="18">
        <f aca="true" t="shared" si="18" ref="E38:AF38">E32-E35</f>
        <v>0</v>
      </c>
      <c r="F38" s="18">
        <f t="shared" si="18"/>
        <v>0</v>
      </c>
      <c r="G38" s="18">
        <f t="shared" si="18"/>
        <v>0</v>
      </c>
      <c r="H38" s="18">
        <f t="shared" si="18"/>
        <v>0</v>
      </c>
      <c r="I38" s="18">
        <f t="shared" si="18"/>
        <v>0</v>
      </c>
      <c r="J38" s="18">
        <f t="shared" si="18"/>
        <v>0</v>
      </c>
      <c r="K38" s="18">
        <f t="shared" si="18"/>
        <v>0</v>
      </c>
      <c r="L38" s="18">
        <f t="shared" si="18"/>
        <v>0</v>
      </c>
      <c r="M38" s="18">
        <f t="shared" si="18"/>
        <v>16314.82818505291</v>
      </c>
      <c r="N38" s="18">
        <f t="shared" si="18"/>
        <v>267.1950527777778</v>
      </c>
      <c r="O38" s="18">
        <f t="shared" si="18"/>
        <v>453.4653048786181</v>
      </c>
      <c r="P38" s="18">
        <f t="shared" si="18"/>
        <v>17035.488542709303</v>
      </c>
      <c r="Q38" s="18">
        <f t="shared" si="18"/>
        <v>453.4653048786181</v>
      </c>
      <c r="R38" s="18">
        <f t="shared" si="18"/>
        <v>267.1950527777778</v>
      </c>
      <c r="S38" s="18">
        <f t="shared" si="18"/>
        <v>267.1950527777778</v>
      </c>
      <c r="T38" s="18">
        <f t="shared" si="18"/>
        <v>1446.8678456889747</v>
      </c>
      <c r="U38" s="18">
        <f t="shared" si="18"/>
        <v>4836.111777919482</v>
      </c>
      <c r="V38" s="18">
        <f t="shared" si="18"/>
        <v>345.96406931913117</v>
      </c>
      <c r="W38" s="18">
        <f t="shared" si="18"/>
        <v>338.9189604700855</v>
      </c>
      <c r="X38" s="18">
        <f t="shared" si="18"/>
        <v>374.1746242063492</v>
      </c>
      <c r="Y38" s="18">
        <f t="shared" si="18"/>
        <v>3120.7235627264085</v>
      </c>
      <c r="Z38" s="18">
        <f t="shared" si="18"/>
        <v>-234.287199375</v>
      </c>
      <c r="AA38" s="18">
        <f t="shared" si="18"/>
        <v>-234.287199375</v>
      </c>
      <c r="AB38" s="18">
        <f t="shared" si="18"/>
        <v>-234.287199375</v>
      </c>
      <c r="AC38" s="18">
        <f t="shared" si="18"/>
        <v>10747.754652639605</v>
      </c>
      <c r="AD38" s="18">
        <f t="shared" si="18"/>
        <v>-2811.4463925</v>
      </c>
      <c r="AE38" s="18">
        <f t="shared" si="18"/>
        <v>-2811.4463925</v>
      </c>
      <c r="AF38" s="18">
        <f t="shared" si="18"/>
        <v>-2811.4463925</v>
      </c>
      <c r="AG38" s="18">
        <f>AG32-AG35</f>
        <v>-2811.4463925</v>
      </c>
      <c r="AH38" s="18">
        <f>AH32-AH35</f>
        <v>-2811.4463925</v>
      </c>
      <c r="AI38" s="18">
        <f>AI32-AI35</f>
        <v>-2108.584794375</v>
      </c>
    </row>
    <row r="39" spans="1:35" s="47" customFormat="1" ht="12.75">
      <c r="A39" s="45" t="s">
        <v>24</v>
      </c>
      <c r="B39" s="46">
        <f>B23+B29+B38</f>
        <v>31818.719575028477</v>
      </c>
      <c r="C39" s="27"/>
      <c r="D39" s="46">
        <f>D23+D29+D38</f>
        <v>0</v>
      </c>
      <c r="E39" s="46">
        <f aca="true" t="shared" si="19" ref="E39:AF39">E23+E29+E38</f>
        <v>0</v>
      </c>
      <c r="F39" s="46">
        <f t="shared" si="19"/>
        <v>0</v>
      </c>
      <c r="G39" s="46">
        <f t="shared" si="19"/>
        <v>0</v>
      </c>
      <c r="H39" s="46">
        <f t="shared" si="19"/>
        <v>0</v>
      </c>
      <c r="I39" s="46">
        <f t="shared" si="19"/>
        <v>0</v>
      </c>
      <c r="J39" s="46">
        <f t="shared" si="19"/>
        <v>0</v>
      </c>
      <c r="K39" s="46">
        <f t="shared" si="19"/>
        <v>0</v>
      </c>
      <c r="L39" s="46">
        <f t="shared" si="19"/>
        <v>0</v>
      </c>
      <c r="M39" s="46">
        <f t="shared" si="19"/>
        <v>0</v>
      </c>
      <c r="N39" s="46">
        <f t="shared" si="19"/>
        <v>0</v>
      </c>
      <c r="O39" s="46">
        <f t="shared" si="19"/>
        <v>0</v>
      </c>
      <c r="P39" s="46">
        <f t="shared" si="19"/>
        <v>0</v>
      </c>
      <c r="Q39" s="46">
        <f t="shared" si="19"/>
        <v>0</v>
      </c>
      <c r="R39" s="46">
        <f t="shared" si="19"/>
        <v>0</v>
      </c>
      <c r="S39" s="46">
        <f t="shared" si="19"/>
        <v>0</v>
      </c>
      <c r="T39" s="46">
        <f t="shared" si="19"/>
        <v>0</v>
      </c>
      <c r="U39" s="46">
        <f t="shared" si="19"/>
        <v>0</v>
      </c>
      <c r="V39" s="46">
        <f t="shared" si="19"/>
        <v>0</v>
      </c>
      <c r="W39" s="46">
        <f t="shared" si="19"/>
        <v>0</v>
      </c>
      <c r="X39" s="46">
        <f t="shared" si="19"/>
        <v>0</v>
      </c>
      <c r="Y39" s="46">
        <f t="shared" si="19"/>
        <v>0</v>
      </c>
      <c r="Z39" s="46">
        <f t="shared" si="19"/>
        <v>2214.7219918345904</v>
      </c>
      <c r="AA39" s="46">
        <f t="shared" si="19"/>
        <v>2412.1837994394104</v>
      </c>
      <c r="AB39" s="46">
        <f t="shared" si="19"/>
        <v>2227.2802226682575</v>
      </c>
      <c r="AC39" s="46">
        <f>AC23+AC29+AC38</f>
        <v>6854.186013942262</v>
      </c>
      <c r="AD39" s="46">
        <f t="shared" si="19"/>
        <v>3552.2922128042173</v>
      </c>
      <c r="AE39" s="46">
        <f t="shared" si="19"/>
        <v>3749.0934602792167</v>
      </c>
      <c r="AF39" s="46">
        <f t="shared" si="19"/>
        <v>3945.894707754216</v>
      </c>
      <c r="AG39" s="46">
        <f>AG23+AG29+AG38</f>
        <v>4142.6959552292155</v>
      </c>
      <c r="AH39" s="46">
        <f>AH23+AH29+AH38</f>
        <v>4339.497202704217</v>
      </c>
      <c r="AI39" s="46">
        <f>AI23+AI29+AI38</f>
        <v>5235.060022315154</v>
      </c>
    </row>
    <row r="40" spans="1:46" s="21" customFormat="1" ht="12.75">
      <c r="A40" s="48" t="s">
        <v>53</v>
      </c>
      <c r="B40" s="27">
        <f>B7+B23+B29+B38</f>
        <v>31818.719575028477</v>
      </c>
      <c r="C40" s="49"/>
      <c r="D40" s="50">
        <f aca="true" t="shared" si="20" ref="D40:O40">D7+D23+D29+D38</f>
        <v>0</v>
      </c>
      <c r="E40" s="50">
        <f t="shared" si="20"/>
        <v>0</v>
      </c>
      <c r="F40" s="50">
        <f t="shared" si="20"/>
        <v>0</v>
      </c>
      <c r="G40" s="50">
        <f t="shared" si="20"/>
        <v>0</v>
      </c>
      <c r="H40" s="50">
        <f t="shared" si="20"/>
        <v>0</v>
      </c>
      <c r="I40" s="50">
        <f t="shared" si="20"/>
        <v>0</v>
      </c>
      <c r="J40" s="50">
        <f t="shared" si="20"/>
        <v>0</v>
      </c>
      <c r="K40" s="50">
        <f t="shared" si="20"/>
        <v>0</v>
      </c>
      <c r="L40" s="50">
        <f t="shared" si="20"/>
        <v>0</v>
      </c>
      <c r="M40" s="50">
        <f t="shared" si="20"/>
        <v>0</v>
      </c>
      <c r="N40" s="50">
        <f t="shared" si="20"/>
        <v>0</v>
      </c>
      <c r="O40" s="50">
        <f t="shared" si="20"/>
        <v>0</v>
      </c>
      <c r="P40" s="51">
        <f>O40</f>
        <v>0</v>
      </c>
      <c r="Q40" s="50">
        <f>P40+Q23+Q29+Q38</f>
        <v>0</v>
      </c>
      <c r="R40" s="50">
        <f aca="true" t="shared" si="21" ref="R40:AB40">Q40+R23+R29+R38</f>
        <v>0</v>
      </c>
      <c r="S40" s="50">
        <f t="shared" si="21"/>
        <v>0</v>
      </c>
      <c r="T40" s="50">
        <f t="shared" si="21"/>
        <v>0</v>
      </c>
      <c r="U40" s="50">
        <f t="shared" si="21"/>
        <v>0</v>
      </c>
      <c r="V40" s="50">
        <f t="shared" si="21"/>
        <v>0</v>
      </c>
      <c r="W40" s="50">
        <f t="shared" si="21"/>
        <v>0</v>
      </c>
      <c r="X40" s="50">
        <f t="shared" si="21"/>
        <v>0</v>
      </c>
      <c r="Y40" s="50">
        <f t="shared" si="21"/>
        <v>0</v>
      </c>
      <c r="Z40" s="50">
        <f t="shared" si="21"/>
        <v>2214.7219918345904</v>
      </c>
      <c r="AA40" s="50">
        <f t="shared" si="21"/>
        <v>4626.905791274001</v>
      </c>
      <c r="AB40" s="50">
        <f t="shared" si="21"/>
        <v>6854.186013942259</v>
      </c>
      <c r="AC40" s="50">
        <f>AB40</f>
        <v>6854.186013942259</v>
      </c>
      <c r="AD40" s="50">
        <f aca="true" t="shared" si="22" ref="AD40:AI40">AC40+AD23+AD29+AD38</f>
        <v>10406.478226746476</v>
      </c>
      <c r="AE40" s="50">
        <f t="shared" si="22"/>
        <v>14155.571687025693</v>
      </c>
      <c r="AF40" s="50">
        <f t="shared" si="22"/>
        <v>18101.466394779905</v>
      </c>
      <c r="AG40" s="50">
        <f t="shared" si="22"/>
        <v>22244.162350009123</v>
      </c>
      <c r="AH40" s="50">
        <f t="shared" si="22"/>
        <v>26583.65955271334</v>
      </c>
      <c r="AI40" s="50">
        <f t="shared" si="22"/>
        <v>31818.71957502849</v>
      </c>
      <c r="AJ40" s="7">
        <v>2013</v>
      </c>
      <c r="AK40" s="7">
        <f aca="true" t="shared" si="23" ref="AK40:AN41">AJ40+1</f>
        <v>2014</v>
      </c>
      <c r="AL40" s="7">
        <f t="shared" si="23"/>
        <v>2015</v>
      </c>
      <c r="AM40" s="7">
        <f t="shared" si="23"/>
        <v>2016</v>
      </c>
      <c r="AN40" s="7">
        <f t="shared" si="23"/>
        <v>2017</v>
      </c>
      <c r="AO40" s="7">
        <f aca="true" t="shared" si="24" ref="AO40:AT41">AN40+1</f>
        <v>2018</v>
      </c>
      <c r="AP40" s="7">
        <f t="shared" si="24"/>
        <v>2019</v>
      </c>
      <c r="AQ40" s="7">
        <f t="shared" si="24"/>
        <v>2020</v>
      </c>
      <c r="AR40" s="7">
        <f t="shared" si="24"/>
        <v>2021</v>
      </c>
      <c r="AS40" s="7">
        <f t="shared" si="24"/>
        <v>2022</v>
      </c>
      <c r="AT40" s="7">
        <f t="shared" si="24"/>
        <v>2023</v>
      </c>
    </row>
    <row r="41" spans="1:46" ht="12.75">
      <c r="A41" s="52"/>
      <c r="B41" s="53">
        <f>AI40</f>
        <v>31818.71957502849</v>
      </c>
      <c r="C41" s="54"/>
      <c r="D41" s="55">
        <f aca="true" t="shared" si="25" ref="D41:AI41">D7+D39-D40</f>
        <v>0</v>
      </c>
      <c r="E41" s="55">
        <f t="shared" si="25"/>
        <v>0</v>
      </c>
      <c r="F41" s="55">
        <f t="shared" si="25"/>
        <v>0</v>
      </c>
      <c r="G41" s="55">
        <f t="shared" si="25"/>
        <v>0</v>
      </c>
      <c r="H41" s="55">
        <f t="shared" si="25"/>
        <v>0</v>
      </c>
      <c r="I41" s="55">
        <f t="shared" si="25"/>
        <v>0</v>
      </c>
      <c r="J41" s="55">
        <f t="shared" si="25"/>
        <v>0</v>
      </c>
      <c r="K41" s="55">
        <f t="shared" si="25"/>
        <v>0</v>
      </c>
      <c r="L41" s="55">
        <f t="shared" si="25"/>
        <v>0</v>
      </c>
      <c r="M41" s="55">
        <f t="shared" si="25"/>
        <v>0</v>
      </c>
      <c r="N41" s="55">
        <f t="shared" si="25"/>
        <v>0</v>
      </c>
      <c r="O41" s="55">
        <f t="shared" si="25"/>
        <v>0</v>
      </c>
      <c r="P41" s="55">
        <f t="shared" si="25"/>
        <v>0</v>
      </c>
      <c r="Q41" s="55">
        <f t="shared" si="25"/>
        <v>0</v>
      </c>
      <c r="R41" s="55">
        <f t="shared" si="25"/>
        <v>0</v>
      </c>
      <c r="S41" s="55">
        <f t="shared" si="25"/>
        <v>0</v>
      </c>
      <c r="T41" s="55">
        <f t="shared" si="25"/>
        <v>0</v>
      </c>
      <c r="U41" s="55">
        <f t="shared" si="25"/>
        <v>0</v>
      </c>
      <c r="V41" s="55">
        <f t="shared" si="25"/>
        <v>0</v>
      </c>
      <c r="W41" s="55">
        <f t="shared" si="25"/>
        <v>0</v>
      </c>
      <c r="X41" s="55">
        <f t="shared" si="25"/>
        <v>0</v>
      </c>
      <c r="Y41" s="55">
        <f t="shared" si="25"/>
        <v>0</v>
      </c>
      <c r="Z41" s="55">
        <f t="shared" si="25"/>
        <v>0</v>
      </c>
      <c r="AA41" s="55">
        <f t="shared" si="25"/>
        <v>0</v>
      </c>
      <c r="AB41" s="55">
        <f t="shared" si="25"/>
        <v>0</v>
      </c>
      <c r="AC41" s="55">
        <f t="shared" si="25"/>
        <v>0</v>
      </c>
      <c r="AD41" s="55">
        <f t="shared" si="25"/>
        <v>0</v>
      </c>
      <c r="AE41" s="55">
        <f t="shared" si="25"/>
        <v>0</v>
      </c>
      <c r="AF41" s="55">
        <f t="shared" si="25"/>
        <v>0</v>
      </c>
      <c r="AG41" s="55">
        <f t="shared" si="25"/>
        <v>0</v>
      </c>
      <c r="AH41" s="55">
        <f t="shared" si="25"/>
        <v>0</v>
      </c>
      <c r="AI41" s="55">
        <f t="shared" si="25"/>
        <v>0</v>
      </c>
      <c r="AJ41" s="62">
        <v>0</v>
      </c>
      <c r="AK41" s="62">
        <f t="shared" si="23"/>
        <v>1</v>
      </c>
      <c r="AL41" s="62">
        <f t="shared" si="23"/>
        <v>2</v>
      </c>
      <c r="AM41" s="62">
        <f t="shared" si="23"/>
        <v>3</v>
      </c>
      <c r="AN41" s="62">
        <f t="shared" si="23"/>
        <v>4</v>
      </c>
      <c r="AO41" s="62">
        <f t="shared" si="24"/>
        <v>5</v>
      </c>
      <c r="AP41" s="62">
        <f t="shared" si="24"/>
        <v>6</v>
      </c>
      <c r="AQ41" s="62">
        <f t="shared" si="24"/>
        <v>7</v>
      </c>
      <c r="AR41" s="62">
        <f t="shared" si="24"/>
        <v>8</v>
      </c>
      <c r="AS41" s="62">
        <f t="shared" si="24"/>
        <v>9</v>
      </c>
      <c r="AT41" s="62">
        <f t="shared" si="24"/>
        <v>10</v>
      </c>
    </row>
    <row r="42" spans="1:46" ht="12.75">
      <c r="A42" s="52" t="s">
        <v>59</v>
      </c>
      <c r="B42" s="63">
        <f>B40-B41</f>
        <v>0</v>
      </c>
      <c r="C42" s="54"/>
      <c r="Q42" s="57"/>
      <c r="AJ42" s="57">
        <f>P39</f>
        <v>0</v>
      </c>
      <c r="AK42" s="57">
        <f aca="true" t="shared" si="26" ref="AK42:AP42">AC39</f>
        <v>6854.186013942262</v>
      </c>
      <c r="AL42" s="57">
        <f t="shared" si="26"/>
        <v>3552.2922128042173</v>
      </c>
      <c r="AM42" s="57">
        <f t="shared" si="26"/>
        <v>3749.0934602792167</v>
      </c>
      <c r="AN42" s="57">
        <f t="shared" si="26"/>
        <v>3945.894707754216</v>
      </c>
      <c r="AO42" s="57">
        <f t="shared" si="26"/>
        <v>4142.6959552292155</v>
      </c>
      <c r="AP42" s="57">
        <f t="shared" si="26"/>
        <v>4339.497202704217</v>
      </c>
      <c r="AQ42" s="57">
        <f>AP42+AH37+AH20</f>
        <v>7405.145206526093</v>
      </c>
      <c r="AR42" s="57">
        <f>AQ42</f>
        <v>7405.145206526093</v>
      </c>
      <c r="AS42" s="57">
        <f>AR42</f>
        <v>7405.145206526093</v>
      </c>
      <c r="AT42" s="57">
        <f>AS42</f>
        <v>7405.145206526093</v>
      </c>
    </row>
    <row r="43" spans="1:46" ht="12.75">
      <c r="A43" s="52" t="s">
        <v>60</v>
      </c>
      <c r="B43" s="54"/>
      <c r="C43" s="54"/>
      <c r="AJ43" s="57">
        <f>AJ42+P37+P36+P20</f>
        <v>0</v>
      </c>
      <c r="AK43" s="57">
        <f aca="true" t="shared" si="27" ref="AK43:AP43">AK42+AC37+AC36+AC20</f>
        <v>7848.1494572907</v>
      </c>
      <c r="AL43" s="57">
        <f t="shared" si="27"/>
        <v>7405.145206526093</v>
      </c>
      <c r="AM43" s="57">
        <f t="shared" si="27"/>
        <v>7405.145206526092</v>
      </c>
      <c r="AN43" s="57">
        <f t="shared" si="27"/>
        <v>7405.145206526092</v>
      </c>
      <c r="AO43" s="57">
        <f t="shared" si="27"/>
        <v>7405.145206526092</v>
      </c>
      <c r="AP43" s="57">
        <f t="shared" si="27"/>
        <v>7405.145206526093</v>
      </c>
      <c r="AQ43" s="57">
        <f>AQ42+AJ37+AJ36+AJ20</f>
        <v>7405.145206526093</v>
      </c>
      <c r="AR43" s="57">
        <f>AR42+AK37+AK36+AK20</f>
        <v>7405.145206526093</v>
      </c>
      <c r="AS43" s="57">
        <f>AS42+AL37+AL36+AL20</f>
        <v>7405.145206526093</v>
      </c>
      <c r="AT43" s="57">
        <f>AT42+AM37+AM36+AM20</f>
        <v>7405.145206526093</v>
      </c>
    </row>
    <row r="44" spans="1:46" ht="12.75">
      <c r="A44" s="52" t="s">
        <v>61</v>
      </c>
      <c r="B44" s="54"/>
      <c r="C44" s="54"/>
      <c r="V44" s="57"/>
      <c r="AJ44" s="57">
        <f>P32</f>
        <v>17035.488542709303</v>
      </c>
      <c r="AK44" s="57">
        <f>AC32</f>
        <v>11450.616250764606</v>
      </c>
      <c r="AL44" s="57"/>
      <c r="AM44" s="57"/>
      <c r="AN44" s="57"/>
      <c r="AO44" s="57"/>
      <c r="AP44" s="57"/>
      <c r="AQ44" s="57"/>
      <c r="AR44" s="57"/>
      <c r="AS44" s="57"/>
      <c r="AT44" s="57"/>
    </row>
    <row r="45" spans="1:46" ht="12.75">
      <c r="A45" s="64" t="s">
        <v>62</v>
      </c>
      <c r="B45" s="54"/>
      <c r="C45" s="54"/>
      <c r="AJ45" s="65">
        <f aca="true" t="shared" si="28" ref="AJ45:AP45">AJ43-AJ44</f>
        <v>-17035.488542709303</v>
      </c>
      <c r="AK45" s="65">
        <f t="shared" si="28"/>
        <v>-3602.4667934739055</v>
      </c>
      <c r="AL45" s="65">
        <f t="shared" si="28"/>
        <v>7405.145206526093</v>
      </c>
      <c r="AM45" s="65">
        <f t="shared" si="28"/>
        <v>7405.145206526092</v>
      </c>
      <c r="AN45" s="65">
        <f t="shared" si="28"/>
        <v>7405.145206526092</v>
      </c>
      <c r="AO45" s="65">
        <f t="shared" si="28"/>
        <v>7405.145206526092</v>
      </c>
      <c r="AP45" s="65">
        <f t="shared" si="28"/>
        <v>7405.145206526093</v>
      </c>
      <c r="AQ45" s="65">
        <f>AQ43-AQ44</f>
        <v>7405.145206526093</v>
      </c>
      <c r="AR45" s="65">
        <f>AR43-AR44</f>
        <v>7405.145206526093</v>
      </c>
      <c r="AS45" s="65">
        <f>AS43-AS44</f>
        <v>7405.145206526093</v>
      </c>
      <c r="AT45" s="65">
        <f>AT43-AT44</f>
        <v>7405.145206526093</v>
      </c>
    </row>
    <row r="46" spans="1:46" ht="12.75">
      <c r="A46" s="66" t="s">
        <v>63</v>
      </c>
      <c r="B46" s="54"/>
      <c r="C46" s="54"/>
      <c r="AJ46" s="67">
        <f>AJ45/(1+Исх!$C$7)^'1-Ф3'!AJ41</f>
        <v>-17035.488542709303</v>
      </c>
      <c r="AK46" s="67">
        <f>AK45/(1+Исх!$C$7)^'1-Ф3'!AK41</f>
        <v>-3274.969812249005</v>
      </c>
      <c r="AL46" s="67">
        <f>AL45/(1+Исх!$C$7)^'1-Ф3'!AL41</f>
        <v>6119.954716137266</v>
      </c>
      <c r="AM46" s="67">
        <f>AM45/(1+Исх!$C$7)^'1-Ф3'!AM41</f>
        <v>5563.595196488422</v>
      </c>
      <c r="AN46" s="67">
        <f>AN45/(1+Исх!$C$7)^'1-Ф3'!AN41</f>
        <v>5057.813814989475</v>
      </c>
      <c r="AO46" s="67">
        <f>AO45/(1+Исх!$C$7)^'1-Ф3'!AO41</f>
        <v>4598.01255908134</v>
      </c>
      <c r="AP46" s="67">
        <f>AP45/(1+Исх!$C$7)^'1-Ф3'!AP41</f>
        <v>4180.011417346673</v>
      </c>
      <c r="AQ46" s="67">
        <f>AQ45/(1+Исх!$C$7)^'1-Ф3'!AQ41</f>
        <v>3800.0103794060656</v>
      </c>
      <c r="AR46" s="67">
        <f>AR45/(1+Исх!$C$7)^'1-Ф3'!AR41</f>
        <v>3454.554890369151</v>
      </c>
      <c r="AS46" s="67">
        <f>AS45/(1+Исх!$C$7)^'1-Ф3'!AS41</f>
        <v>3140.504445790137</v>
      </c>
      <c r="AT46" s="67">
        <f>AT45/(1+Исх!$C$7)^'1-Ф3'!AT41</f>
        <v>2855.004041627397</v>
      </c>
    </row>
    <row r="47" spans="1:46" ht="12.75">
      <c r="A47" s="64" t="s">
        <v>64</v>
      </c>
      <c r="B47" s="54"/>
      <c r="C47" s="54"/>
      <c r="AJ47" s="65">
        <f>AJ45</f>
        <v>-17035.488542709303</v>
      </c>
      <c r="AK47" s="65">
        <f aca="true" t="shared" si="29" ref="AK47:AN48">AJ47+AK45</f>
        <v>-20637.955336183208</v>
      </c>
      <c r="AL47" s="65">
        <f t="shared" si="29"/>
        <v>-13232.810129657115</v>
      </c>
      <c r="AM47" s="65">
        <f t="shared" si="29"/>
        <v>-5827.664923131023</v>
      </c>
      <c r="AN47" s="65">
        <f t="shared" si="29"/>
        <v>1577.480283395069</v>
      </c>
      <c r="AO47" s="65">
        <f aca="true" t="shared" si="30" ref="AO47:AT48">AN47+AO45</f>
        <v>8982.62548992116</v>
      </c>
      <c r="AP47" s="65">
        <f t="shared" si="30"/>
        <v>16387.770696447253</v>
      </c>
      <c r="AQ47" s="65">
        <f t="shared" si="30"/>
        <v>23792.915902973346</v>
      </c>
      <c r="AR47" s="65">
        <f t="shared" si="30"/>
        <v>31198.06110949944</v>
      </c>
      <c r="AS47" s="65">
        <f t="shared" si="30"/>
        <v>38603.206316025535</v>
      </c>
      <c r="AT47" s="65">
        <f t="shared" si="30"/>
        <v>46008.35152255163</v>
      </c>
    </row>
    <row r="48" spans="1:46" ht="12.75">
      <c r="A48" s="66" t="s">
        <v>65</v>
      </c>
      <c r="B48" s="54"/>
      <c r="C48" s="54"/>
      <c r="AJ48" s="67">
        <f>AJ46</f>
        <v>-17035.488542709303</v>
      </c>
      <c r="AK48" s="67">
        <f t="shared" si="29"/>
        <v>-20310.458354958308</v>
      </c>
      <c r="AL48" s="67">
        <f t="shared" si="29"/>
        <v>-14190.503638821043</v>
      </c>
      <c r="AM48" s="67">
        <f t="shared" si="29"/>
        <v>-8626.90844233262</v>
      </c>
      <c r="AN48" s="67">
        <f t="shared" si="29"/>
        <v>-3569.0946273431455</v>
      </c>
      <c r="AO48" s="67">
        <f t="shared" si="30"/>
        <v>1028.917931738195</v>
      </c>
      <c r="AP48" s="67">
        <f t="shared" si="30"/>
        <v>5208.929349084868</v>
      </c>
      <c r="AQ48" s="67">
        <f t="shared" si="30"/>
        <v>9008.939728490934</v>
      </c>
      <c r="AR48" s="67">
        <f t="shared" si="30"/>
        <v>12463.494618860084</v>
      </c>
      <c r="AS48" s="67">
        <f t="shared" si="30"/>
        <v>15603.999064650221</v>
      </c>
      <c r="AT48" s="67">
        <f t="shared" si="30"/>
        <v>18459.003106277618</v>
      </c>
    </row>
    <row r="49" spans="1:46" ht="12.75">
      <c r="A49" s="52" t="s">
        <v>66</v>
      </c>
      <c r="B49" s="54"/>
      <c r="C49" s="54"/>
      <c r="AJ49" s="57">
        <f>NPV(Исх!$C$7,'1-Ф3'!$AJ43:AJ43)</f>
        <v>0</v>
      </c>
      <c r="AK49" s="57">
        <f>NPV(Исх!$C$7,'1-Ф3'!$AJ43:AK43)</f>
        <v>6486.073931645205</v>
      </c>
      <c r="AL49" s="57">
        <f>NPV(Исх!$C$7,'1-Ф3'!$AJ43:AL43)</f>
        <v>12049.669128133628</v>
      </c>
      <c r="AM49" s="57">
        <f>NPV(Исх!$C$7,'1-Ф3'!$AJ43:AM43)</f>
        <v>17107.482943123105</v>
      </c>
      <c r="AN49" s="57">
        <f>NPV(Исх!$C$7,'1-Ф3'!$AJ43:AN43)</f>
        <v>21705.49550220444</v>
      </c>
      <c r="AO49" s="57">
        <f>NPV(Исх!$C$7,'1-Ф3'!$AJ43:AO43)</f>
        <v>25885.506919551113</v>
      </c>
      <c r="AP49" s="57">
        <f>NPV(Исх!$C$7,'1-Ф3'!$AJ43:AP43)</f>
        <v>29685.51729895718</v>
      </c>
      <c r="AQ49" s="57">
        <f>NPV(Исх!$C$7,'1-Ф3'!$AJ43:AQ43)</f>
        <v>33140.072189326325</v>
      </c>
      <c r="AR49" s="57">
        <f>NPV(Исх!$C$7,'1-Ф3'!$AJ43:AR43)</f>
        <v>36280.576635116464</v>
      </c>
      <c r="AS49" s="57">
        <f>NPV(Исх!$C$7,'1-Ф3'!$AJ43:AS43)</f>
        <v>39135.58067674386</v>
      </c>
      <c r="AT49" s="57">
        <f>NPV(Исх!$C$7,'1-Ф3'!$AJ43:AT43)</f>
        <v>41731.03889640514</v>
      </c>
    </row>
    <row r="50" spans="1:46" ht="12.75">
      <c r="A50" s="52" t="s">
        <v>67</v>
      </c>
      <c r="B50" s="54"/>
      <c r="C50" s="54"/>
      <c r="AJ50" s="57">
        <f>NPV(Исх!$C$7,'1-Ф3'!$AJ44:AJ44)</f>
        <v>15486.807766099366</v>
      </c>
      <c r="AK50" s="57">
        <f>NPV(Исх!$C$7,'1-Ф3'!$AJ44:AK44)</f>
        <v>24950.126981607304</v>
      </c>
      <c r="AL50" s="57">
        <f>NPV(Исх!$C$7,'1-Ф3'!$AJ44:AL44)</f>
        <v>24950.126981607304</v>
      </c>
      <c r="AM50" s="57">
        <f>NPV(Исх!$C$7,'1-Ф3'!$AJ44:AM44)</f>
        <v>24950.126981607304</v>
      </c>
      <c r="AN50" s="57">
        <f>NPV(Исх!$C$7,'1-Ф3'!$AJ44:AN44)</f>
        <v>24950.126981607304</v>
      </c>
      <c r="AO50" s="57">
        <f>NPV(Исх!$C$7,'1-Ф3'!$AJ44:AO44)</f>
        <v>24950.126981607304</v>
      </c>
      <c r="AP50" s="57">
        <f>NPV(Исх!$C$7,'1-Ф3'!$AJ44:AP44)</f>
        <v>24950.126981607304</v>
      </c>
      <c r="AQ50" s="57">
        <f>NPV(Исх!$C$7,'1-Ф3'!$AJ44:AQ44)</f>
        <v>24950.126981607304</v>
      </c>
      <c r="AR50" s="57">
        <f>NPV(Исх!$C$7,'1-Ф3'!$AJ44:AR44)</f>
        <v>24950.126981607304</v>
      </c>
      <c r="AS50" s="57">
        <f>NPV(Исх!$C$7,'1-Ф3'!$AJ44:AS44)</f>
        <v>24950.126981607304</v>
      </c>
      <c r="AT50" s="57">
        <f>NPV(Исх!$C$7,'1-Ф3'!$AJ44:AT44)</f>
        <v>24950.126981607304</v>
      </c>
    </row>
    <row r="51" spans="1:46" ht="12.75">
      <c r="A51" s="52" t="s">
        <v>68</v>
      </c>
      <c r="B51" s="54"/>
      <c r="C51" s="54"/>
      <c r="AJ51" s="57">
        <f aca="true" t="shared" si="31" ref="AJ51:AP51">AJ49-AJ50</f>
        <v>-15486.807766099366</v>
      </c>
      <c r="AK51" s="57">
        <f t="shared" si="31"/>
        <v>-18464.053049962098</v>
      </c>
      <c r="AL51" s="57">
        <f t="shared" si="31"/>
        <v>-12900.457853473676</v>
      </c>
      <c r="AM51" s="57">
        <f t="shared" si="31"/>
        <v>-7842.644038484199</v>
      </c>
      <c r="AN51" s="57">
        <f t="shared" si="31"/>
        <v>-3244.631479402862</v>
      </c>
      <c r="AO51" s="57">
        <f t="shared" si="31"/>
        <v>935.3799379438096</v>
      </c>
      <c r="AP51" s="57">
        <f t="shared" si="31"/>
        <v>4735.390317349877</v>
      </c>
      <c r="AQ51" s="57">
        <f>AQ49-AQ50</f>
        <v>8189.945207719022</v>
      </c>
      <c r="AR51" s="57">
        <f>AR49-AR50</f>
        <v>11330.44965350916</v>
      </c>
      <c r="AS51" s="57">
        <f>AS49-AS50</f>
        <v>14185.453695136559</v>
      </c>
      <c r="AT51" s="57">
        <f>AT49-AT50</f>
        <v>16780.911914797834</v>
      </c>
    </row>
    <row r="52" spans="1:46" ht="12.75">
      <c r="A52" s="52" t="s">
        <v>69</v>
      </c>
      <c r="B52" s="54"/>
      <c r="C52" s="54"/>
      <c r="AJ52" s="68">
        <f aca="true" t="shared" si="32" ref="AJ52:AP52">AJ49/AJ50</f>
        <v>0</v>
      </c>
      <c r="AK52" s="68">
        <f t="shared" si="32"/>
        <v>0.2599615599722839</v>
      </c>
      <c r="AL52" s="68">
        <f t="shared" si="32"/>
        <v>0.48295021251861303</v>
      </c>
      <c r="AM52" s="68">
        <f t="shared" si="32"/>
        <v>0.6856671693789123</v>
      </c>
      <c r="AN52" s="68">
        <f t="shared" si="32"/>
        <v>0.8699553119791841</v>
      </c>
      <c r="AO52" s="68">
        <f t="shared" si="32"/>
        <v>1.0374899870703405</v>
      </c>
      <c r="AP52" s="68">
        <f t="shared" si="32"/>
        <v>1.1897942371532098</v>
      </c>
      <c r="AQ52" s="68">
        <f>AQ49/AQ50</f>
        <v>1.3282526463194546</v>
      </c>
      <c r="AR52" s="68">
        <f>AR49/AR50</f>
        <v>1.4541239273796773</v>
      </c>
      <c r="AS52" s="68">
        <f>AS49/AS50</f>
        <v>1.5685523647071524</v>
      </c>
      <c r="AT52" s="68">
        <f>AT49/AT50</f>
        <v>1.672578216823039</v>
      </c>
    </row>
    <row r="53" spans="1:46" ht="12.75">
      <c r="A53" s="52" t="s">
        <v>70</v>
      </c>
      <c r="B53" s="54"/>
      <c r="C53" s="54"/>
      <c r="AG53" s="69" t="str">
        <f>IF(ISERROR(IRR($AJ45:AJ$45))," ",IF(IRR($AJ45:AJ$45)&lt;0," ",IRR($AJ45:AJ$45)))</f>
        <v> </v>
      </c>
      <c r="AH53" s="69"/>
      <c r="AI53" s="69"/>
      <c r="AJ53" s="69" t="str">
        <f>IF(ISERROR(IRR($AJ45:AJ$45))," ",IF(IRR($AJ45:AJ$45)&lt;0," ",IRR($AJ45:AJ$45)))</f>
        <v> </v>
      </c>
      <c r="AK53" s="69" t="str">
        <f>IF(ISERROR(IRR($AJ45:AK$45))," ",IF(IRR($AJ45:AK$45)&lt;0," ",IRR($AJ45:AK$45)))</f>
        <v> </v>
      </c>
      <c r="AL53" s="69" t="str">
        <f>IF(ISERROR(IRR($AJ45:AL$45))," ",IF(IRR($AJ45:AL$45)&lt;0," ",IRR($AJ45:AL$45)))</f>
        <v> </v>
      </c>
      <c r="AM53" s="69" t="str">
        <f>IF(ISERROR(IRR($AJ45:AM$45))," ",IF(IRR($AJ45:AM$45)&lt;0," ",IRR($AJ45:AM$45)))</f>
        <v> </v>
      </c>
      <c r="AN53" s="69">
        <f>IF(ISERROR(IRR($AJ45:AN$45))," ",IF(IRR($AJ45:AN$45)&lt;0," ",IRR($AJ45:AN$45)))</f>
        <v>0.026476306977220032</v>
      </c>
      <c r="AO53" s="69">
        <f>IF(ISERROR(IRR($AJ45:AO$45))," ",IF(IRR($AJ45:AO$45)&lt;0," ",IRR($AJ45:AO$45)))</f>
        <v>0.11705794401269465</v>
      </c>
      <c r="AP53" s="69">
        <f>IF(ISERROR(IRR($AJ45:AP$45))," ",IF(IRR($AJ45:AP$45)&lt;0," ",IRR($AJ45:AP$45)))</f>
        <v>0.17221193018463854</v>
      </c>
      <c r="AQ53" s="69">
        <f>IF(ISERROR(IRR($AJ45:AQ$45))," ",IF(IRR($AJ45:AQ$45)&lt;0," ",IRR($AJ45:AQ$45)))</f>
        <v>0.20751988664128262</v>
      </c>
      <c r="AR53" s="69">
        <f>IF(ISERROR(IRR($AJ45:AR$45))," ",IF(IRR($AJ45:AR$45)&lt;0," ",IRR($AJ45:AR$45)))</f>
        <v>0.2310008920390596</v>
      </c>
      <c r="AS53" s="69">
        <f>IF(ISERROR(IRR($AJ45:AS$45))," ",IF(IRR($AJ45:AS$45)&lt;0," ",IRR($AJ45:AS$45)))</f>
        <v>0.2470841556449832</v>
      </c>
      <c r="AT53" s="69">
        <f>IF(ISERROR(IRR($AJ45:AT$45))," ",IF(IRR($AJ45:AT$45)&lt;0," ",IRR($AJ45:AT$45)))</f>
        <v>0.25835898010885816</v>
      </c>
    </row>
    <row r="54" spans="1:3" ht="12.75">
      <c r="A54" s="70" t="s">
        <v>32</v>
      </c>
      <c r="B54" s="58">
        <f>AM41-AM47/AN45</f>
        <v>3.7869751045523254</v>
      </c>
      <c r="C54" s="54"/>
    </row>
    <row r="55" spans="1:3" ht="12.75">
      <c r="A55" s="70" t="s">
        <v>27</v>
      </c>
      <c r="B55" s="58">
        <f>AN41-AN48/AO46</f>
        <v>4.776225506451473</v>
      </c>
      <c r="C55" s="54"/>
    </row>
    <row r="56" spans="1:3" ht="12.75">
      <c r="A56" s="52"/>
      <c r="B56" s="54"/>
      <c r="C56" s="54"/>
    </row>
    <row r="57" spans="1:3" ht="12.75">
      <c r="A57" s="52"/>
      <c r="B57" s="54"/>
      <c r="C57" s="54"/>
    </row>
    <row r="58" spans="1:3" ht="12.75">
      <c r="A58" s="52"/>
      <c r="B58" s="54"/>
      <c r="C58" s="54"/>
    </row>
    <row r="59" spans="1:3" ht="12.75">
      <c r="A59" s="52"/>
      <c r="B59" s="54"/>
      <c r="C59" s="54"/>
    </row>
    <row r="60" spans="1:3" ht="12.75">
      <c r="A60" s="52"/>
      <c r="B60" s="54"/>
      <c r="C60" s="54"/>
    </row>
    <row r="61" spans="1:3" ht="12.75">
      <c r="A61" s="52"/>
      <c r="B61" s="54"/>
      <c r="C61" s="54"/>
    </row>
    <row r="62" spans="1:3" ht="12.75">
      <c r="A62" s="52"/>
      <c r="B62" s="54"/>
      <c r="C62" s="54"/>
    </row>
    <row r="63" spans="1:3" ht="12.75">
      <c r="A63" s="52"/>
      <c r="B63" s="54"/>
      <c r="C63" s="54"/>
    </row>
    <row r="64" spans="1:3" ht="12.75">
      <c r="A64" s="52"/>
      <c r="B64" s="54"/>
      <c r="C64" s="54"/>
    </row>
    <row r="65" spans="1:3" ht="12.75">
      <c r="A65" s="52"/>
      <c r="B65" s="54"/>
      <c r="C65" s="54"/>
    </row>
    <row r="66" spans="1:3" ht="12.75">
      <c r="A66" s="52"/>
      <c r="B66" s="54"/>
      <c r="C66" s="54"/>
    </row>
    <row r="67" spans="1:3" ht="12.75">
      <c r="A67" s="52"/>
      <c r="B67" s="54"/>
      <c r="C67" s="54"/>
    </row>
    <row r="68" spans="1:3" ht="12.75">
      <c r="A68" s="52"/>
      <c r="B68" s="54"/>
      <c r="C68" s="54"/>
    </row>
    <row r="69" spans="1:3" ht="12.75">
      <c r="A69" s="52"/>
      <c r="B69" s="54"/>
      <c r="C69" s="54"/>
    </row>
    <row r="70" spans="1:3" ht="12.75">
      <c r="A70" s="52"/>
      <c r="B70" s="54"/>
      <c r="C70" s="54"/>
    </row>
    <row r="71" spans="1:3" ht="12.75">
      <c r="A71" s="52"/>
      <c r="B71" s="54"/>
      <c r="C71" s="54"/>
    </row>
    <row r="72" spans="1:3" ht="12.75">
      <c r="A72" s="52"/>
      <c r="B72" s="54"/>
      <c r="C72" s="54"/>
    </row>
    <row r="73" spans="1:3" ht="12.75">
      <c r="A73" s="52"/>
      <c r="B73" s="54"/>
      <c r="C73" s="54"/>
    </row>
    <row r="74" spans="1:3" ht="12.75">
      <c r="A74" s="52"/>
      <c r="B74" s="54"/>
      <c r="C74" s="54"/>
    </row>
    <row r="75" spans="1:3" ht="12.75">
      <c r="A75" s="52"/>
      <c r="B75" s="54"/>
      <c r="C75" s="54"/>
    </row>
    <row r="76" spans="1:3" ht="12.75">
      <c r="A76" s="52"/>
      <c r="B76" s="54"/>
      <c r="C76" s="54"/>
    </row>
    <row r="77" spans="1:3" ht="12.75">
      <c r="A77" s="52"/>
      <c r="B77" s="54"/>
      <c r="C77" s="54"/>
    </row>
    <row r="78" spans="1:3" ht="12.75">
      <c r="A78" s="52"/>
      <c r="B78" s="54"/>
      <c r="C78" s="54"/>
    </row>
    <row r="79" spans="1:3" ht="12.75">
      <c r="A79" s="52"/>
      <c r="B79" s="54"/>
      <c r="C79" s="54"/>
    </row>
    <row r="80" spans="1:3" ht="12.75">
      <c r="A80" s="52"/>
      <c r="B80" s="54"/>
      <c r="C80" s="54"/>
    </row>
    <row r="81" spans="1:3" ht="12.75">
      <c r="A81" s="52"/>
      <c r="B81" s="54"/>
      <c r="C81" s="54"/>
    </row>
    <row r="82" spans="1:3" ht="12.75">
      <c r="A82" s="52"/>
      <c r="B82" s="54"/>
      <c r="C82" s="54"/>
    </row>
    <row r="83" spans="1:3" ht="12.75">
      <c r="A83" s="52"/>
      <c r="B83" s="54"/>
      <c r="C83" s="54"/>
    </row>
    <row r="84" spans="1:3" ht="12.75">
      <c r="A84" s="52"/>
      <c r="B84" s="54"/>
      <c r="C84" s="54"/>
    </row>
    <row r="85" spans="1:3" ht="12.75">
      <c r="A85" s="52"/>
      <c r="B85" s="54"/>
      <c r="C85" s="54"/>
    </row>
    <row r="86" spans="1:3" ht="12.75">
      <c r="A86" s="52"/>
      <c r="B86" s="54"/>
      <c r="C86" s="54"/>
    </row>
    <row r="87" spans="1:3" ht="12.75">
      <c r="A87" s="52"/>
      <c r="B87" s="54"/>
      <c r="C87" s="54"/>
    </row>
    <row r="88" spans="1:3" ht="12.75">
      <c r="A88" s="52"/>
      <c r="B88" s="54"/>
      <c r="C88" s="54"/>
    </row>
    <row r="89" spans="1:3" ht="12.75">
      <c r="A89" s="52"/>
      <c r="B89" s="54"/>
      <c r="C89" s="54"/>
    </row>
    <row r="90" spans="1:3" ht="12.75">
      <c r="A90" s="52"/>
      <c r="B90" s="54"/>
      <c r="C90" s="54"/>
    </row>
    <row r="91" spans="1:3" ht="12.75">
      <c r="A91" s="52"/>
      <c r="B91" s="54"/>
      <c r="C91" s="54"/>
    </row>
    <row r="92" spans="1:3" ht="12.75">
      <c r="A92" s="52"/>
      <c r="B92" s="54"/>
      <c r="C92" s="54"/>
    </row>
    <row r="93" spans="1:3" ht="12.75">
      <c r="A93" s="52"/>
      <c r="B93" s="54"/>
      <c r="C93" s="54"/>
    </row>
    <row r="94" spans="1:3" ht="12.75">
      <c r="A94" s="52"/>
      <c r="B94" s="54"/>
      <c r="C94" s="54"/>
    </row>
    <row r="95" spans="1:3" ht="12.75">
      <c r="A95" s="52"/>
      <c r="B95" s="54"/>
      <c r="C95" s="54"/>
    </row>
    <row r="96" spans="1:3" ht="12.75">
      <c r="A96" s="52"/>
      <c r="B96" s="54"/>
      <c r="C96" s="54"/>
    </row>
    <row r="97" spans="1:3" ht="12.75">
      <c r="A97" s="52"/>
      <c r="B97" s="54"/>
      <c r="C97" s="54"/>
    </row>
    <row r="98" spans="1:3" ht="12.75">
      <c r="A98" s="52"/>
      <c r="B98" s="54"/>
      <c r="C98" s="54"/>
    </row>
    <row r="99" spans="1:3" ht="12.75">
      <c r="A99" s="52"/>
      <c r="B99" s="54"/>
      <c r="C99" s="54"/>
    </row>
    <row r="100" spans="1:3" ht="12.75">
      <c r="A100" s="52"/>
      <c r="B100" s="54"/>
      <c r="C100" s="54"/>
    </row>
    <row r="101" spans="1:3" ht="12.75">
      <c r="A101" s="52"/>
      <c r="B101" s="54"/>
      <c r="C101" s="54"/>
    </row>
    <row r="102" spans="1:3" ht="12.75">
      <c r="A102" s="52"/>
      <c r="B102" s="54"/>
      <c r="C102" s="54"/>
    </row>
    <row r="103" spans="1:3" ht="12.75">
      <c r="A103" s="52"/>
      <c r="B103" s="54"/>
      <c r="C103" s="54"/>
    </row>
    <row r="104" spans="1:3" ht="12.75">
      <c r="A104" s="52"/>
      <c r="B104" s="54"/>
      <c r="C104" s="54"/>
    </row>
    <row r="105" spans="1:3" ht="12.75">
      <c r="A105" s="52"/>
      <c r="B105" s="54"/>
      <c r="C105" s="54"/>
    </row>
    <row r="106" spans="1:3" ht="12.75">
      <c r="A106" s="52"/>
      <c r="B106" s="54"/>
      <c r="C106" s="54"/>
    </row>
    <row r="107" spans="1:3" ht="12.75">
      <c r="A107" s="52"/>
      <c r="B107" s="54"/>
      <c r="C107" s="54"/>
    </row>
    <row r="108" spans="1:3" ht="12.75">
      <c r="A108" s="52"/>
      <c r="B108" s="54"/>
      <c r="C108" s="54"/>
    </row>
    <row r="109" spans="1:3" ht="12.75">
      <c r="A109" s="52"/>
      <c r="B109" s="54"/>
      <c r="C109" s="54"/>
    </row>
    <row r="110" spans="1:3" ht="12.75">
      <c r="A110" s="52"/>
      <c r="B110" s="54"/>
      <c r="C110" s="54"/>
    </row>
    <row r="111" spans="1:3" ht="12.75">
      <c r="A111" s="52"/>
      <c r="B111" s="54"/>
      <c r="C111" s="54"/>
    </row>
    <row r="112" spans="1:3" ht="12.75">
      <c r="A112" s="52"/>
      <c r="B112" s="54"/>
      <c r="C112" s="54"/>
    </row>
    <row r="113" spans="1:3" ht="12.75">
      <c r="A113" s="52"/>
      <c r="B113" s="54"/>
      <c r="C113" s="54"/>
    </row>
    <row r="114" spans="1:3" ht="12.75">
      <c r="A114" s="52"/>
      <c r="B114" s="54"/>
      <c r="C114" s="54"/>
    </row>
    <row r="115" spans="1:3" ht="12.75">
      <c r="A115" s="52"/>
      <c r="B115" s="54"/>
      <c r="C115" s="54"/>
    </row>
    <row r="116" spans="1:3" ht="12.75">
      <c r="A116" s="52"/>
      <c r="B116" s="54"/>
      <c r="C116" s="54"/>
    </row>
    <row r="117" spans="1:3" ht="12.75">
      <c r="A117" s="52"/>
      <c r="B117" s="54"/>
      <c r="C117" s="54"/>
    </row>
    <row r="118" spans="1:3" ht="12.75">
      <c r="A118" s="52"/>
      <c r="B118" s="54"/>
      <c r="C118" s="54"/>
    </row>
    <row r="119" spans="1:3" ht="12.75">
      <c r="A119" s="52"/>
      <c r="B119" s="54"/>
      <c r="C119" s="54"/>
    </row>
    <row r="120" spans="1:3" ht="12.75">
      <c r="A120" s="52"/>
      <c r="B120" s="54"/>
      <c r="C120" s="54"/>
    </row>
    <row r="121" spans="1:3" ht="12.75">
      <c r="A121" s="52"/>
      <c r="B121" s="54"/>
      <c r="C121" s="54"/>
    </row>
    <row r="122" spans="1:3" ht="12.75">
      <c r="A122" s="52"/>
      <c r="B122" s="54"/>
      <c r="C122" s="54"/>
    </row>
    <row r="123" spans="1:3" ht="12.75">
      <c r="A123" s="52"/>
      <c r="B123" s="54"/>
      <c r="C123" s="54"/>
    </row>
    <row r="124" spans="1:3" ht="12.75">
      <c r="A124" s="52"/>
      <c r="B124" s="54"/>
      <c r="C124" s="54"/>
    </row>
    <row r="125" spans="1:3" ht="12.75">
      <c r="A125" s="52"/>
      <c r="B125" s="54"/>
      <c r="C125" s="54"/>
    </row>
    <row r="126" spans="1:3" ht="12.75">
      <c r="A126" s="52"/>
      <c r="B126" s="54"/>
      <c r="C126" s="54"/>
    </row>
    <row r="127" spans="1:3" ht="12.75">
      <c r="A127" s="52"/>
      <c r="B127" s="54"/>
      <c r="C127" s="54"/>
    </row>
    <row r="128" spans="1:3" ht="12.75">
      <c r="A128" s="52"/>
      <c r="B128" s="54"/>
      <c r="C128" s="54"/>
    </row>
    <row r="129" spans="1:3" ht="12.75">
      <c r="A129" s="52"/>
      <c r="B129" s="54"/>
      <c r="C129" s="54"/>
    </row>
    <row r="130" spans="1:3" ht="12.75">
      <c r="A130" s="52"/>
      <c r="B130" s="54"/>
      <c r="C130" s="54"/>
    </row>
    <row r="131" spans="1:3" ht="12.75">
      <c r="A131" s="52"/>
      <c r="B131" s="54"/>
      <c r="C131" s="54"/>
    </row>
    <row r="132" spans="1:3" ht="12.75">
      <c r="A132" s="52"/>
      <c r="B132" s="54"/>
      <c r="C132" s="54"/>
    </row>
    <row r="133" spans="1:3" ht="12.75">
      <c r="A133" s="52"/>
      <c r="B133" s="54"/>
      <c r="C133" s="54"/>
    </row>
    <row r="134" spans="1:3" ht="12.75">
      <c r="A134" s="52"/>
      <c r="B134" s="54"/>
      <c r="C134" s="54"/>
    </row>
    <row r="135" spans="1:3" ht="12.75">
      <c r="A135" s="52"/>
      <c r="B135" s="54"/>
      <c r="C135" s="54"/>
    </row>
    <row r="136" spans="1:3" ht="12.75">
      <c r="A136" s="52"/>
      <c r="B136" s="54"/>
      <c r="C136" s="54"/>
    </row>
    <row r="137" spans="1:3" ht="12.75">
      <c r="A137" s="52"/>
      <c r="B137" s="54"/>
      <c r="C137" s="54"/>
    </row>
    <row r="138" spans="1:3" ht="12.75">
      <c r="A138" s="52"/>
      <c r="B138" s="54"/>
      <c r="C138" s="54"/>
    </row>
    <row r="139" spans="1:3" ht="12.75">
      <c r="A139" s="52"/>
      <c r="B139" s="54"/>
      <c r="C139" s="54"/>
    </row>
    <row r="140" spans="1:3" ht="12.75">
      <c r="A140" s="52"/>
      <c r="B140" s="54"/>
      <c r="C140" s="54"/>
    </row>
    <row r="141" spans="1:3" ht="12.75">
      <c r="A141" s="52"/>
      <c r="B141" s="54"/>
      <c r="C141" s="54"/>
    </row>
    <row r="142" spans="1:3" ht="12.75">
      <c r="A142" s="52"/>
      <c r="B142" s="54"/>
      <c r="C142" s="54"/>
    </row>
    <row r="143" spans="1:3" ht="12.75">
      <c r="A143" s="52"/>
      <c r="B143" s="54"/>
      <c r="C143" s="54"/>
    </row>
    <row r="144" spans="1:3" ht="12.75">
      <c r="A144" s="52"/>
      <c r="B144" s="54"/>
      <c r="C144" s="54"/>
    </row>
    <row r="145" spans="1:3" ht="12.75">
      <c r="A145" s="52"/>
      <c r="B145" s="54"/>
      <c r="C145" s="54"/>
    </row>
    <row r="146" spans="1:3" ht="12.75">
      <c r="A146" s="52"/>
      <c r="B146" s="54"/>
      <c r="C146" s="54"/>
    </row>
    <row r="147" spans="1:3" ht="12.75">
      <c r="A147" s="52"/>
      <c r="B147" s="54"/>
      <c r="C147" s="54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49" bottom="0.35433070866141736" header="0.35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DC17"/>
  <sheetViews>
    <sheetView showGridLines="0" zoomScalePageLayoutView="0" workbookViewId="0" topLeftCell="A1">
      <pane xSplit="2" ySplit="6" topLeftCell="O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Y16" sqref="CY16"/>
    </sheetView>
  </sheetViews>
  <sheetFormatPr defaultColWidth="9.00390625" defaultRowHeight="12.75" outlineLevelRow="1" outlineLevelCol="1"/>
  <cols>
    <col min="1" max="1" width="23.25390625" style="173" customWidth="1"/>
    <col min="2" max="2" width="12.125" style="173" customWidth="1"/>
    <col min="3" max="14" width="9.125" style="173" hidden="1" customWidth="1" outlineLevel="1"/>
    <col min="15" max="15" width="10.125" style="174" bestFit="1" customWidth="1" collapsed="1"/>
    <col min="16" max="27" width="9.125" style="173" hidden="1" customWidth="1" outlineLevel="1"/>
    <col min="28" max="28" width="10.125" style="174" bestFit="1" customWidth="1" collapsed="1"/>
    <col min="29" max="40" width="9.125" style="173" hidden="1" customWidth="1" outlineLevel="1"/>
    <col min="41" max="41" width="10.125" style="174" bestFit="1" customWidth="1" collapsed="1"/>
    <col min="42" max="47" width="9.125" style="173" hidden="1" customWidth="1" outlineLevel="1"/>
    <col min="48" max="48" width="9.25390625" style="173" hidden="1" customWidth="1" outlineLevel="1"/>
    <col min="49" max="53" width="8.75390625" style="173" hidden="1" customWidth="1" outlineLevel="1"/>
    <col min="54" max="54" width="10.125" style="174" bestFit="1" customWidth="1" collapsed="1"/>
    <col min="55" max="66" width="8.75390625" style="173" hidden="1" customWidth="1" outlineLevel="1"/>
    <col min="67" max="67" width="10.125" style="174" bestFit="1" customWidth="1" collapsed="1"/>
    <col min="68" max="79" width="8.75390625" style="173" hidden="1" customWidth="1" outlineLevel="1"/>
    <col min="80" max="80" width="10.125" style="174" bestFit="1" customWidth="1" collapsed="1"/>
    <col min="81" max="92" width="8.75390625" style="173" hidden="1" customWidth="1" outlineLevel="1"/>
    <col min="93" max="93" width="10.125" style="174" bestFit="1" customWidth="1" collapsed="1"/>
    <col min="94" max="105" width="8.75390625" style="173" hidden="1" customWidth="1" outlineLevel="1"/>
    <col min="106" max="106" width="10.125" style="174" bestFit="1" customWidth="1" collapsed="1"/>
    <col min="107" max="16384" width="9.125" style="173" customWidth="1"/>
  </cols>
  <sheetData>
    <row r="1" ht="9.75" customHeight="1"/>
    <row r="2" spans="1:15" ht="18.75" customHeight="1">
      <c r="A2" s="174" t="s">
        <v>98</v>
      </c>
      <c r="B2" s="175"/>
      <c r="D2" s="176"/>
      <c r="E2" s="176"/>
      <c r="F2" s="177"/>
      <c r="G2" s="176"/>
      <c r="O2" s="178"/>
    </row>
    <row r="3" spans="1:15" ht="13.5" customHeight="1">
      <c r="A3" s="179"/>
      <c r="B3" s="175"/>
      <c r="D3" s="176"/>
      <c r="E3" s="176"/>
      <c r="F3" s="177"/>
      <c r="G3" s="176"/>
      <c r="O3" s="178"/>
    </row>
    <row r="4" spans="1:2" ht="12.75">
      <c r="A4" s="180"/>
      <c r="B4" s="181"/>
    </row>
    <row r="5" spans="1:106" ht="15.75" customHeight="1">
      <c r="A5" s="182" t="s">
        <v>10</v>
      </c>
      <c r="B5" s="183">
        <f>Исх!C54</f>
        <v>0.07</v>
      </c>
      <c r="C5" s="354">
        <v>2013</v>
      </c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>
        <v>2014</v>
      </c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>
        <v>2015</v>
      </c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>
        <v>2016</v>
      </c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>
        <v>2017</v>
      </c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>
        <v>2018</v>
      </c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>
        <v>2019</v>
      </c>
      <c r="CD5" s="354"/>
      <c r="CE5" s="354"/>
      <c r="CF5" s="354"/>
      <c r="CG5" s="354"/>
      <c r="CH5" s="354"/>
      <c r="CI5" s="354"/>
      <c r="CJ5" s="354"/>
      <c r="CK5" s="354"/>
      <c r="CL5" s="354"/>
      <c r="CM5" s="354"/>
      <c r="CN5" s="354"/>
      <c r="CO5" s="354"/>
      <c r="CP5" s="354">
        <v>2020</v>
      </c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4"/>
    </row>
    <row r="6" spans="1:106" s="188" customFormat="1" ht="15" customHeight="1">
      <c r="A6" s="184" t="s">
        <v>8</v>
      </c>
      <c r="B6" s="185" t="s">
        <v>86</v>
      </c>
      <c r="C6" s="186">
        <v>1</v>
      </c>
      <c r="D6" s="186">
        <v>2</v>
      </c>
      <c r="E6" s="186">
        <f>D6+1</f>
        <v>3</v>
      </c>
      <c r="F6" s="186">
        <f aca="true" t="shared" si="0" ref="F6:N6">E6+1</f>
        <v>4</v>
      </c>
      <c r="G6" s="186">
        <f t="shared" si="0"/>
        <v>5</v>
      </c>
      <c r="H6" s="186">
        <f t="shared" si="0"/>
        <v>6</v>
      </c>
      <c r="I6" s="186">
        <f t="shared" si="0"/>
        <v>7</v>
      </c>
      <c r="J6" s="186">
        <f t="shared" si="0"/>
        <v>8</v>
      </c>
      <c r="K6" s="186">
        <f t="shared" si="0"/>
        <v>9</v>
      </c>
      <c r="L6" s="186">
        <f t="shared" si="0"/>
        <v>10</v>
      </c>
      <c r="M6" s="186">
        <f t="shared" si="0"/>
        <v>11</v>
      </c>
      <c r="N6" s="186">
        <f t="shared" si="0"/>
        <v>12</v>
      </c>
      <c r="O6" s="187" t="s">
        <v>0</v>
      </c>
      <c r="P6" s="186">
        <v>1</v>
      </c>
      <c r="Q6" s="186">
        <v>2</v>
      </c>
      <c r="R6" s="186">
        <f>Q6+1</f>
        <v>3</v>
      </c>
      <c r="S6" s="186">
        <f aca="true" t="shared" si="1" ref="S6:AA6">R6+1</f>
        <v>4</v>
      </c>
      <c r="T6" s="186">
        <f t="shared" si="1"/>
        <v>5</v>
      </c>
      <c r="U6" s="186">
        <f t="shared" si="1"/>
        <v>6</v>
      </c>
      <c r="V6" s="186">
        <f t="shared" si="1"/>
        <v>7</v>
      </c>
      <c r="W6" s="186">
        <f t="shared" si="1"/>
        <v>8</v>
      </c>
      <c r="X6" s="186">
        <f t="shared" si="1"/>
        <v>9</v>
      </c>
      <c r="Y6" s="186">
        <f t="shared" si="1"/>
        <v>10</v>
      </c>
      <c r="Z6" s="186">
        <f t="shared" si="1"/>
        <v>11</v>
      </c>
      <c r="AA6" s="186">
        <f t="shared" si="1"/>
        <v>12</v>
      </c>
      <c r="AB6" s="187" t="s">
        <v>0</v>
      </c>
      <c r="AC6" s="186">
        <v>1</v>
      </c>
      <c r="AD6" s="186">
        <v>2</v>
      </c>
      <c r="AE6" s="186">
        <f aca="true" t="shared" si="2" ref="AE6:BN6">AD6+1</f>
        <v>3</v>
      </c>
      <c r="AF6" s="186">
        <f t="shared" si="2"/>
        <v>4</v>
      </c>
      <c r="AG6" s="186">
        <f t="shared" si="2"/>
        <v>5</v>
      </c>
      <c r="AH6" s="186">
        <f t="shared" si="2"/>
        <v>6</v>
      </c>
      <c r="AI6" s="186">
        <f t="shared" si="2"/>
        <v>7</v>
      </c>
      <c r="AJ6" s="186">
        <f t="shared" si="2"/>
        <v>8</v>
      </c>
      <c r="AK6" s="186">
        <f t="shared" si="2"/>
        <v>9</v>
      </c>
      <c r="AL6" s="186">
        <f t="shared" si="2"/>
        <v>10</v>
      </c>
      <c r="AM6" s="186">
        <f t="shared" si="2"/>
        <v>11</v>
      </c>
      <c r="AN6" s="186">
        <f t="shared" si="2"/>
        <v>12</v>
      </c>
      <c r="AO6" s="187" t="s">
        <v>0</v>
      </c>
      <c r="AP6" s="186">
        <v>1</v>
      </c>
      <c r="AQ6" s="186">
        <v>2</v>
      </c>
      <c r="AR6" s="186">
        <f>AQ6+1</f>
        <v>3</v>
      </c>
      <c r="AS6" s="186">
        <f t="shared" si="2"/>
        <v>4</v>
      </c>
      <c r="AT6" s="186">
        <f t="shared" si="2"/>
        <v>5</v>
      </c>
      <c r="AU6" s="186">
        <f t="shared" si="2"/>
        <v>6</v>
      </c>
      <c r="AV6" s="186">
        <f t="shared" si="2"/>
        <v>7</v>
      </c>
      <c r="AW6" s="186">
        <f t="shared" si="2"/>
        <v>8</v>
      </c>
      <c r="AX6" s="186">
        <f t="shared" si="2"/>
        <v>9</v>
      </c>
      <c r="AY6" s="186">
        <f t="shared" si="2"/>
        <v>10</v>
      </c>
      <c r="AZ6" s="186">
        <f t="shared" si="2"/>
        <v>11</v>
      </c>
      <c r="BA6" s="186">
        <f t="shared" si="2"/>
        <v>12</v>
      </c>
      <c r="BB6" s="187" t="s">
        <v>0</v>
      </c>
      <c r="BC6" s="186">
        <v>1</v>
      </c>
      <c r="BD6" s="186">
        <v>2</v>
      </c>
      <c r="BE6" s="186">
        <f>BD6+1</f>
        <v>3</v>
      </c>
      <c r="BF6" s="186">
        <f t="shared" si="2"/>
        <v>4</v>
      </c>
      <c r="BG6" s="186">
        <f t="shared" si="2"/>
        <v>5</v>
      </c>
      <c r="BH6" s="186">
        <f t="shared" si="2"/>
        <v>6</v>
      </c>
      <c r="BI6" s="186">
        <f t="shared" si="2"/>
        <v>7</v>
      </c>
      <c r="BJ6" s="186">
        <f t="shared" si="2"/>
        <v>8</v>
      </c>
      <c r="BK6" s="186">
        <f t="shared" si="2"/>
        <v>9</v>
      </c>
      <c r="BL6" s="186">
        <f t="shared" si="2"/>
        <v>10</v>
      </c>
      <c r="BM6" s="186">
        <f t="shared" si="2"/>
        <v>11</v>
      </c>
      <c r="BN6" s="186">
        <f t="shared" si="2"/>
        <v>12</v>
      </c>
      <c r="BO6" s="187" t="s">
        <v>0</v>
      </c>
      <c r="BP6" s="186">
        <v>1</v>
      </c>
      <c r="BQ6" s="186">
        <v>2</v>
      </c>
      <c r="BR6" s="186">
        <f aca="true" t="shared" si="3" ref="BR6:CA6">BQ6+1</f>
        <v>3</v>
      </c>
      <c r="BS6" s="186">
        <f t="shared" si="3"/>
        <v>4</v>
      </c>
      <c r="BT6" s="186">
        <f t="shared" si="3"/>
        <v>5</v>
      </c>
      <c r="BU6" s="186">
        <f t="shared" si="3"/>
        <v>6</v>
      </c>
      <c r="BV6" s="186">
        <f t="shared" si="3"/>
        <v>7</v>
      </c>
      <c r="BW6" s="186">
        <f t="shared" si="3"/>
        <v>8</v>
      </c>
      <c r="BX6" s="186">
        <f t="shared" si="3"/>
        <v>9</v>
      </c>
      <c r="BY6" s="186">
        <f t="shared" si="3"/>
        <v>10</v>
      </c>
      <c r="BZ6" s="186">
        <f t="shared" si="3"/>
        <v>11</v>
      </c>
      <c r="CA6" s="186">
        <f t="shared" si="3"/>
        <v>12</v>
      </c>
      <c r="CB6" s="187" t="s">
        <v>0</v>
      </c>
      <c r="CC6" s="186">
        <v>1</v>
      </c>
      <c r="CD6" s="186">
        <v>2</v>
      </c>
      <c r="CE6" s="186">
        <f aca="true" t="shared" si="4" ref="CE6:CN6">CD6+1</f>
        <v>3</v>
      </c>
      <c r="CF6" s="186">
        <f t="shared" si="4"/>
        <v>4</v>
      </c>
      <c r="CG6" s="186">
        <f t="shared" si="4"/>
        <v>5</v>
      </c>
      <c r="CH6" s="186">
        <f t="shared" si="4"/>
        <v>6</v>
      </c>
      <c r="CI6" s="186">
        <f t="shared" si="4"/>
        <v>7</v>
      </c>
      <c r="CJ6" s="186">
        <f t="shared" si="4"/>
        <v>8</v>
      </c>
      <c r="CK6" s="186">
        <f t="shared" si="4"/>
        <v>9</v>
      </c>
      <c r="CL6" s="186">
        <f t="shared" si="4"/>
        <v>10</v>
      </c>
      <c r="CM6" s="186">
        <f t="shared" si="4"/>
        <v>11</v>
      </c>
      <c r="CN6" s="186">
        <f t="shared" si="4"/>
        <v>12</v>
      </c>
      <c r="CO6" s="187" t="s">
        <v>0</v>
      </c>
      <c r="CP6" s="186">
        <v>1</v>
      </c>
      <c r="CQ6" s="186">
        <v>2</v>
      </c>
      <c r="CR6" s="186">
        <f aca="true" t="shared" si="5" ref="CR6:DA6">CQ6+1</f>
        <v>3</v>
      </c>
      <c r="CS6" s="186">
        <f t="shared" si="5"/>
        <v>4</v>
      </c>
      <c r="CT6" s="186">
        <f t="shared" si="5"/>
        <v>5</v>
      </c>
      <c r="CU6" s="186">
        <f t="shared" si="5"/>
        <v>6</v>
      </c>
      <c r="CV6" s="186">
        <f t="shared" si="5"/>
        <v>7</v>
      </c>
      <c r="CW6" s="186">
        <f t="shared" si="5"/>
        <v>8</v>
      </c>
      <c r="CX6" s="186">
        <f t="shared" si="5"/>
        <v>9</v>
      </c>
      <c r="CY6" s="186">
        <f t="shared" si="5"/>
        <v>10</v>
      </c>
      <c r="CZ6" s="186">
        <f t="shared" si="5"/>
        <v>11</v>
      </c>
      <c r="DA6" s="186">
        <f t="shared" si="5"/>
        <v>12</v>
      </c>
      <c r="DB6" s="187" t="s">
        <v>0</v>
      </c>
    </row>
    <row r="7" spans="1:107" ht="12.75">
      <c r="A7" s="184" t="s">
        <v>106</v>
      </c>
      <c r="B7" s="189">
        <f>O7+AB7+AO7+BB7+BO7+CB7+CO7+DB7</f>
        <v>15851.537999999999</v>
      </c>
      <c r="C7" s="190"/>
      <c r="D7" s="190"/>
      <c r="E7" s="190"/>
      <c r="F7" s="190"/>
      <c r="G7" s="190"/>
      <c r="H7" s="190"/>
      <c r="I7" s="190"/>
      <c r="J7" s="190"/>
      <c r="K7" s="190"/>
      <c r="L7" s="190">
        <f>'1-Ф3'!M34</f>
        <v>15851.537999999999</v>
      </c>
      <c r="M7" s="190"/>
      <c r="N7" s="190"/>
      <c r="O7" s="191">
        <f>SUM(C7:N7)</f>
        <v>15851.537999999999</v>
      </c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1">
        <f>SUM(P7:AA7)</f>
        <v>0</v>
      </c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2"/>
    </row>
    <row r="8" spans="1:106" s="193" customFormat="1" ht="20.25" customHeight="1">
      <c r="A8" s="184" t="s">
        <v>29</v>
      </c>
      <c r="B8" s="189">
        <f>O8+AB8+AO8+BB8+BO8+CB8+CO8+DB8</f>
        <v>1017.1403550000001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>
        <f>SUM(C8:N8)</f>
        <v>0</v>
      </c>
      <c r="P8" s="190"/>
      <c r="Q8" s="190"/>
      <c r="R8" s="190"/>
      <c r="S8" s="190"/>
      <c r="T8" s="190"/>
      <c r="U8" s="190"/>
      <c r="V8" s="190"/>
      <c r="W8" s="190"/>
      <c r="X8" s="190">
        <f>SUM(O9:X9)</f>
        <v>1017.1403550000001</v>
      </c>
      <c r="Y8" s="190"/>
      <c r="Z8" s="190"/>
      <c r="AA8" s="190"/>
      <c r="AB8" s="191">
        <f>SUM(P8:AA8)</f>
        <v>1017.1403550000001</v>
      </c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1">
        <f>SUM(AC8:AN8)</f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1">
        <f>SUM(AP8:BA8)</f>
        <v>0</v>
      </c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1">
        <f>SUM(BC8:BN8)</f>
        <v>0</v>
      </c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1">
        <f>SUM(BP8:CA8)</f>
        <v>0</v>
      </c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1">
        <f>SUM(CC8:CN8)</f>
        <v>0</v>
      </c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1">
        <f>SUM(CP8:DA8)</f>
        <v>0</v>
      </c>
    </row>
    <row r="9" spans="1:106" s="193" customFormat="1" ht="12.75">
      <c r="A9" s="194" t="s">
        <v>11</v>
      </c>
      <c r="B9" s="189">
        <f>O9+AB9+AO9+BB9+BO9+CB9+CO9+DB9</f>
        <v>4608.763121418755</v>
      </c>
      <c r="C9" s="190"/>
      <c r="D9" s="190">
        <f>C12*$B$5/12</f>
        <v>0</v>
      </c>
      <c r="E9" s="190">
        <f>D12*$B$5/12</f>
        <v>0</v>
      </c>
      <c r="F9" s="190">
        <f>E12*$B$5/12</f>
        <v>0</v>
      </c>
      <c r="G9" s="190">
        <f>F12*$B$5/12</f>
        <v>0</v>
      </c>
      <c r="H9" s="190">
        <f>G12*$B$5/12</f>
        <v>0</v>
      </c>
      <c r="I9" s="190">
        <f aca="true" t="shared" si="6" ref="I9:AA9">H12*$B$5/12</f>
        <v>0</v>
      </c>
      <c r="J9" s="190">
        <f t="shared" si="6"/>
        <v>0</v>
      </c>
      <c r="K9" s="190">
        <f t="shared" si="6"/>
        <v>0</v>
      </c>
      <c r="L9" s="190">
        <f>K12*$B$5/12</f>
        <v>0</v>
      </c>
      <c r="M9" s="190">
        <f t="shared" si="6"/>
        <v>92.46730500000001</v>
      </c>
      <c r="N9" s="190">
        <f t="shared" si="6"/>
        <v>92.46730500000001</v>
      </c>
      <c r="O9" s="191">
        <f>SUM(C9:N9)</f>
        <v>184.93461000000002</v>
      </c>
      <c r="P9" s="190">
        <f t="shared" si="6"/>
        <v>92.46730500000001</v>
      </c>
      <c r="Q9" s="190">
        <f t="shared" si="6"/>
        <v>92.46730500000001</v>
      </c>
      <c r="R9" s="190">
        <f t="shared" si="6"/>
        <v>92.46730500000001</v>
      </c>
      <c r="S9" s="190">
        <f t="shared" si="6"/>
        <v>92.46730500000001</v>
      </c>
      <c r="T9" s="190">
        <f t="shared" si="6"/>
        <v>92.46730500000001</v>
      </c>
      <c r="U9" s="190">
        <f t="shared" si="6"/>
        <v>92.46730500000001</v>
      </c>
      <c r="V9" s="190">
        <f t="shared" si="6"/>
        <v>92.46730500000001</v>
      </c>
      <c r="W9" s="190">
        <f t="shared" si="6"/>
        <v>92.46730500000001</v>
      </c>
      <c r="X9" s="190">
        <f t="shared" si="6"/>
        <v>92.46730500000001</v>
      </c>
      <c r="Y9" s="190">
        <f t="shared" si="6"/>
        <v>98.4006237375</v>
      </c>
      <c r="Z9" s="190">
        <f t="shared" si="6"/>
        <v>97.0339484078125</v>
      </c>
      <c r="AA9" s="190">
        <f t="shared" si="6"/>
        <v>95.66727307812499</v>
      </c>
      <c r="AB9" s="191">
        <f>SUM(P9:AA9)</f>
        <v>1123.3075902234375</v>
      </c>
      <c r="AC9" s="190">
        <f aca="true" t="shared" si="7" ref="AC9:AN9">AB12*$B$5/12</f>
        <v>94.3005977484375</v>
      </c>
      <c r="AD9" s="190">
        <f t="shared" si="7"/>
        <v>92.93392241875</v>
      </c>
      <c r="AE9" s="190">
        <f t="shared" si="7"/>
        <v>91.5672470890625</v>
      </c>
      <c r="AF9" s="190">
        <f t="shared" si="7"/>
        <v>90.20057175937501</v>
      </c>
      <c r="AG9" s="190">
        <f t="shared" si="7"/>
        <v>88.83389642968751</v>
      </c>
      <c r="AH9" s="190">
        <f t="shared" si="7"/>
        <v>87.46722110000002</v>
      </c>
      <c r="AI9" s="190">
        <f t="shared" si="7"/>
        <v>86.10054577031251</v>
      </c>
      <c r="AJ9" s="190">
        <f t="shared" si="7"/>
        <v>84.73387044062501</v>
      </c>
      <c r="AK9" s="190">
        <f t="shared" si="7"/>
        <v>83.36719511093752</v>
      </c>
      <c r="AL9" s="190">
        <f t="shared" si="7"/>
        <v>82.00051978125002</v>
      </c>
      <c r="AM9" s="190">
        <f t="shared" si="7"/>
        <v>80.63384445156252</v>
      </c>
      <c r="AN9" s="190">
        <f t="shared" si="7"/>
        <v>79.26716912187503</v>
      </c>
      <c r="AO9" s="191">
        <f>SUM(AC9:AN9)</f>
        <v>1041.406601221875</v>
      </c>
      <c r="AP9" s="190">
        <f aca="true" t="shared" si="8" ref="AP9:BA9">AO12*$B$5/12</f>
        <v>77.90049379218753</v>
      </c>
      <c r="AQ9" s="190">
        <f t="shared" si="8"/>
        <v>76.53381846250004</v>
      </c>
      <c r="AR9" s="190">
        <f t="shared" si="8"/>
        <v>75.16714313281253</v>
      </c>
      <c r="AS9" s="190">
        <f t="shared" si="8"/>
        <v>73.80046780312503</v>
      </c>
      <c r="AT9" s="190">
        <f t="shared" si="8"/>
        <v>72.43379247343753</v>
      </c>
      <c r="AU9" s="190">
        <f t="shared" si="8"/>
        <v>71.06711714375004</v>
      </c>
      <c r="AV9" s="190">
        <f t="shared" si="8"/>
        <v>69.70044181406254</v>
      </c>
      <c r="AW9" s="190">
        <f t="shared" si="8"/>
        <v>68.33376648437505</v>
      </c>
      <c r="AX9" s="190">
        <f t="shared" si="8"/>
        <v>66.96709115468754</v>
      </c>
      <c r="AY9" s="190">
        <f t="shared" si="8"/>
        <v>65.60041582500004</v>
      </c>
      <c r="AZ9" s="190">
        <f t="shared" si="8"/>
        <v>64.23374049531255</v>
      </c>
      <c r="BA9" s="190">
        <f t="shared" si="8"/>
        <v>62.86706516562506</v>
      </c>
      <c r="BB9" s="191">
        <f>SUM(AP9:BA9)</f>
        <v>844.6053537468753</v>
      </c>
      <c r="BC9" s="190">
        <f aca="true" t="shared" si="9" ref="BC9:BN9">BB12*$B$5/12</f>
        <v>61.50038983593756</v>
      </c>
      <c r="BD9" s="190">
        <f t="shared" si="9"/>
        <v>60.133714506250065</v>
      </c>
      <c r="BE9" s="190">
        <f t="shared" si="9"/>
        <v>58.767039176562555</v>
      </c>
      <c r="BF9" s="190">
        <f t="shared" si="9"/>
        <v>57.40036384687506</v>
      </c>
      <c r="BG9" s="190">
        <f t="shared" si="9"/>
        <v>56.033688517187564</v>
      </c>
      <c r="BH9" s="190">
        <f t="shared" si="9"/>
        <v>54.66701318750007</v>
      </c>
      <c r="BI9" s="190">
        <f t="shared" si="9"/>
        <v>53.30033785781257</v>
      </c>
      <c r="BJ9" s="190">
        <f t="shared" si="9"/>
        <v>51.933662528125076</v>
      </c>
      <c r="BK9" s="190">
        <f t="shared" si="9"/>
        <v>50.56698719843757</v>
      </c>
      <c r="BL9" s="190">
        <f t="shared" si="9"/>
        <v>49.20031186875008</v>
      </c>
      <c r="BM9" s="190">
        <f t="shared" si="9"/>
        <v>47.83363653906258</v>
      </c>
      <c r="BN9" s="190">
        <f t="shared" si="9"/>
        <v>46.466961209375086</v>
      </c>
      <c r="BO9" s="191">
        <f>SUM(BC9:BN9)</f>
        <v>647.8041062718758</v>
      </c>
      <c r="BP9" s="190">
        <f aca="true" t="shared" si="10" ref="BP9:CA9">BO12*$B$5/12</f>
        <v>45.10028587968759</v>
      </c>
      <c r="BQ9" s="190">
        <f t="shared" si="10"/>
        <v>43.73361055000009</v>
      </c>
      <c r="BR9" s="190">
        <f t="shared" si="10"/>
        <v>42.36693522031259</v>
      </c>
      <c r="BS9" s="190">
        <f t="shared" si="10"/>
        <v>41.000259890625095</v>
      </c>
      <c r="BT9" s="190">
        <f t="shared" si="10"/>
        <v>39.6335845609376</v>
      </c>
      <c r="BU9" s="190">
        <f t="shared" si="10"/>
        <v>38.266909231250104</v>
      </c>
      <c r="BV9" s="190">
        <f t="shared" si="10"/>
        <v>36.9002339015626</v>
      </c>
      <c r="BW9" s="190">
        <f t="shared" si="10"/>
        <v>35.533558571875105</v>
      </c>
      <c r="BX9" s="190">
        <f t="shared" si="10"/>
        <v>34.16688324218761</v>
      </c>
      <c r="BY9" s="190">
        <f t="shared" si="10"/>
        <v>32.800207912500106</v>
      </c>
      <c r="BZ9" s="190">
        <f t="shared" si="10"/>
        <v>31.433532582812614</v>
      </c>
      <c r="CA9" s="190">
        <f t="shared" si="10"/>
        <v>30.06685725312511</v>
      </c>
      <c r="CB9" s="191">
        <f>SUM(BP9:CA9)</f>
        <v>451.00285879687635</v>
      </c>
      <c r="CC9" s="190">
        <f aca="true" t="shared" si="11" ref="CC9:CN9">CB12*$B$5/12</f>
        <v>28.700181923437615</v>
      </c>
      <c r="CD9" s="190">
        <f t="shared" si="11"/>
        <v>27.33350659375012</v>
      </c>
      <c r="CE9" s="190">
        <f t="shared" si="11"/>
        <v>25.96683126406262</v>
      </c>
      <c r="CF9" s="190">
        <f t="shared" si="11"/>
        <v>24.600155934375124</v>
      </c>
      <c r="CG9" s="190">
        <f t="shared" si="11"/>
        <v>23.233480604687625</v>
      </c>
      <c r="CH9" s="190">
        <f t="shared" si="11"/>
        <v>21.86680527500012</v>
      </c>
      <c r="CI9" s="190">
        <f t="shared" si="11"/>
        <v>20.500129945312626</v>
      </c>
      <c r="CJ9" s="190">
        <f t="shared" si="11"/>
        <v>19.133454615625123</v>
      </c>
      <c r="CK9" s="190">
        <f t="shared" si="11"/>
        <v>17.766779285937623</v>
      </c>
      <c r="CL9" s="190">
        <f t="shared" si="11"/>
        <v>16.400103956250124</v>
      </c>
      <c r="CM9" s="190">
        <f t="shared" si="11"/>
        <v>15.033428626562623</v>
      </c>
      <c r="CN9" s="190">
        <f t="shared" si="11"/>
        <v>13.666753296875124</v>
      </c>
      <c r="CO9" s="191">
        <f>SUM(CC9:CN9)</f>
        <v>254.20161132187647</v>
      </c>
      <c r="CP9" s="190">
        <f aca="true" t="shared" si="12" ref="CP9:DA9">CO12*$B$5/12</f>
        <v>12.300077967187624</v>
      </c>
      <c r="CQ9" s="190">
        <f t="shared" si="12"/>
        <v>10.933402637500123</v>
      </c>
      <c r="CR9" s="190">
        <f t="shared" si="12"/>
        <v>9.566727307812622</v>
      </c>
      <c r="CS9" s="190">
        <f t="shared" si="12"/>
        <v>8.200051978125122</v>
      </c>
      <c r="CT9" s="190">
        <f t="shared" si="12"/>
        <v>6.833376648437622</v>
      </c>
      <c r="CU9" s="190">
        <f t="shared" si="12"/>
        <v>5.466701318750123</v>
      </c>
      <c r="CV9" s="190">
        <f t="shared" si="12"/>
        <v>4.1000259890626225</v>
      </c>
      <c r="CW9" s="190">
        <f t="shared" si="12"/>
        <v>2.7333506593751227</v>
      </c>
      <c r="CX9" s="190">
        <f t="shared" si="12"/>
        <v>1.3666753296876222</v>
      </c>
      <c r="CY9" s="190">
        <f t="shared" si="12"/>
        <v>1.220238724878679E-13</v>
      </c>
      <c r="CZ9" s="190">
        <f t="shared" si="12"/>
        <v>1.220238724878679E-13</v>
      </c>
      <c r="DA9" s="190">
        <f t="shared" si="12"/>
        <v>1.220238724878679E-13</v>
      </c>
      <c r="DB9" s="191">
        <f>SUM(CP9:DA9)</f>
        <v>61.50038983593897</v>
      </c>
    </row>
    <row r="10" spans="1:107" ht="12.75">
      <c r="A10" s="184" t="s">
        <v>12</v>
      </c>
      <c r="B10" s="189">
        <f>O10+AB10+AO10+BB10+BO10+CB10+CO10+DB10</f>
        <v>16868.678355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5"/>
      <c r="M10" s="195"/>
      <c r="N10" s="195"/>
      <c r="O10" s="191">
        <f>SUM(C10:N10)</f>
        <v>0</v>
      </c>
      <c r="P10" s="195"/>
      <c r="Q10" s="195"/>
      <c r="R10" s="195"/>
      <c r="S10" s="195"/>
      <c r="T10" s="195"/>
      <c r="U10" s="195"/>
      <c r="V10" s="195"/>
      <c r="W10" s="195"/>
      <c r="X10" s="195"/>
      <c r="Y10" s="190">
        <f>$X$12/$B$13</f>
        <v>234.287199375</v>
      </c>
      <c r="Z10" s="190">
        <f aca="true" t="shared" si="13" ref="Z10:CK10">$X$12/$B$13</f>
        <v>234.287199375</v>
      </c>
      <c r="AA10" s="190">
        <f t="shared" si="13"/>
        <v>234.287199375</v>
      </c>
      <c r="AB10" s="191">
        <f>SUM(P10:AA10)</f>
        <v>702.861598125</v>
      </c>
      <c r="AC10" s="190">
        <f t="shared" si="13"/>
        <v>234.287199375</v>
      </c>
      <c r="AD10" s="190">
        <f t="shared" si="13"/>
        <v>234.287199375</v>
      </c>
      <c r="AE10" s="190">
        <f t="shared" si="13"/>
        <v>234.287199375</v>
      </c>
      <c r="AF10" s="190">
        <f t="shared" si="13"/>
        <v>234.287199375</v>
      </c>
      <c r="AG10" s="190">
        <f t="shared" si="13"/>
        <v>234.287199375</v>
      </c>
      <c r="AH10" s="190">
        <f t="shared" si="13"/>
        <v>234.287199375</v>
      </c>
      <c r="AI10" s="190">
        <f t="shared" si="13"/>
        <v>234.287199375</v>
      </c>
      <c r="AJ10" s="190">
        <f t="shared" si="13"/>
        <v>234.287199375</v>
      </c>
      <c r="AK10" s="190">
        <f t="shared" si="13"/>
        <v>234.287199375</v>
      </c>
      <c r="AL10" s="190">
        <f t="shared" si="13"/>
        <v>234.287199375</v>
      </c>
      <c r="AM10" s="190">
        <f t="shared" si="13"/>
        <v>234.287199375</v>
      </c>
      <c r="AN10" s="190">
        <f t="shared" si="13"/>
        <v>234.287199375</v>
      </c>
      <c r="AO10" s="191">
        <f>SUM(AC10:AN10)</f>
        <v>2811.4463925</v>
      </c>
      <c r="AP10" s="190">
        <f t="shared" si="13"/>
        <v>234.287199375</v>
      </c>
      <c r="AQ10" s="190">
        <f t="shared" si="13"/>
        <v>234.287199375</v>
      </c>
      <c r="AR10" s="190">
        <f t="shared" si="13"/>
        <v>234.287199375</v>
      </c>
      <c r="AS10" s="190">
        <f t="shared" si="13"/>
        <v>234.287199375</v>
      </c>
      <c r="AT10" s="190">
        <f t="shared" si="13"/>
        <v>234.287199375</v>
      </c>
      <c r="AU10" s="190">
        <f t="shared" si="13"/>
        <v>234.287199375</v>
      </c>
      <c r="AV10" s="190">
        <f t="shared" si="13"/>
        <v>234.287199375</v>
      </c>
      <c r="AW10" s="190">
        <f t="shared" si="13"/>
        <v>234.287199375</v>
      </c>
      <c r="AX10" s="190">
        <f t="shared" si="13"/>
        <v>234.287199375</v>
      </c>
      <c r="AY10" s="190">
        <f t="shared" si="13"/>
        <v>234.287199375</v>
      </c>
      <c r="AZ10" s="190">
        <f t="shared" si="13"/>
        <v>234.287199375</v>
      </c>
      <c r="BA10" s="190">
        <f t="shared" si="13"/>
        <v>234.287199375</v>
      </c>
      <c r="BB10" s="191">
        <f>SUM(AP10:BA10)</f>
        <v>2811.4463925</v>
      </c>
      <c r="BC10" s="190">
        <f t="shared" si="13"/>
        <v>234.287199375</v>
      </c>
      <c r="BD10" s="190">
        <f t="shared" si="13"/>
        <v>234.287199375</v>
      </c>
      <c r="BE10" s="190">
        <f t="shared" si="13"/>
        <v>234.287199375</v>
      </c>
      <c r="BF10" s="190">
        <f t="shared" si="13"/>
        <v>234.287199375</v>
      </c>
      <c r="BG10" s="190">
        <f t="shared" si="13"/>
        <v>234.287199375</v>
      </c>
      <c r="BH10" s="190">
        <f t="shared" si="13"/>
        <v>234.287199375</v>
      </c>
      <c r="BI10" s="190">
        <f t="shared" si="13"/>
        <v>234.287199375</v>
      </c>
      <c r="BJ10" s="190">
        <f t="shared" si="13"/>
        <v>234.287199375</v>
      </c>
      <c r="BK10" s="190">
        <f t="shared" si="13"/>
        <v>234.287199375</v>
      </c>
      <c r="BL10" s="190">
        <f t="shared" si="13"/>
        <v>234.287199375</v>
      </c>
      <c r="BM10" s="190">
        <f t="shared" si="13"/>
        <v>234.287199375</v>
      </c>
      <c r="BN10" s="190">
        <f t="shared" si="13"/>
        <v>234.287199375</v>
      </c>
      <c r="BO10" s="191">
        <f>SUM(BC10:BN10)</f>
        <v>2811.4463925</v>
      </c>
      <c r="BP10" s="190">
        <f t="shared" si="13"/>
        <v>234.287199375</v>
      </c>
      <c r="BQ10" s="190">
        <f t="shared" si="13"/>
        <v>234.287199375</v>
      </c>
      <c r="BR10" s="190">
        <f t="shared" si="13"/>
        <v>234.287199375</v>
      </c>
      <c r="BS10" s="190">
        <f t="shared" si="13"/>
        <v>234.287199375</v>
      </c>
      <c r="BT10" s="190">
        <f t="shared" si="13"/>
        <v>234.287199375</v>
      </c>
      <c r="BU10" s="190">
        <f t="shared" si="13"/>
        <v>234.287199375</v>
      </c>
      <c r="BV10" s="190">
        <f t="shared" si="13"/>
        <v>234.287199375</v>
      </c>
      <c r="BW10" s="190">
        <f t="shared" si="13"/>
        <v>234.287199375</v>
      </c>
      <c r="BX10" s="190">
        <f t="shared" si="13"/>
        <v>234.287199375</v>
      </c>
      <c r="BY10" s="190">
        <f t="shared" si="13"/>
        <v>234.287199375</v>
      </c>
      <c r="BZ10" s="190">
        <f t="shared" si="13"/>
        <v>234.287199375</v>
      </c>
      <c r="CA10" s="190">
        <f t="shared" si="13"/>
        <v>234.287199375</v>
      </c>
      <c r="CB10" s="191">
        <f>SUM(BP10:CA10)</f>
        <v>2811.4463925</v>
      </c>
      <c r="CC10" s="190">
        <f t="shared" si="13"/>
        <v>234.287199375</v>
      </c>
      <c r="CD10" s="190">
        <f t="shared" si="13"/>
        <v>234.287199375</v>
      </c>
      <c r="CE10" s="190">
        <f t="shared" si="13"/>
        <v>234.287199375</v>
      </c>
      <c r="CF10" s="190">
        <f t="shared" si="13"/>
        <v>234.287199375</v>
      </c>
      <c r="CG10" s="190">
        <f t="shared" si="13"/>
        <v>234.287199375</v>
      </c>
      <c r="CH10" s="190">
        <f t="shared" si="13"/>
        <v>234.287199375</v>
      </c>
      <c r="CI10" s="190">
        <f t="shared" si="13"/>
        <v>234.287199375</v>
      </c>
      <c r="CJ10" s="190">
        <f t="shared" si="13"/>
        <v>234.287199375</v>
      </c>
      <c r="CK10" s="190">
        <f t="shared" si="13"/>
        <v>234.287199375</v>
      </c>
      <c r="CL10" s="190">
        <f>$X$12/$B$13</f>
        <v>234.287199375</v>
      </c>
      <c r="CM10" s="190">
        <f>$X$12/$B$13</f>
        <v>234.287199375</v>
      </c>
      <c r="CN10" s="190">
        <f>$X$12/$B$13</f>
        <v>234.287199375</v>
      </c>
      <c r="CO10" s="191">
        <f>SUM(CC10:CN10)</f>
        <v>2811.4463925</v>
      </c>
      <c r="CP10" s="190">
        <f aca="true" t="shared" si="14" ref="CP10:CX10">$X$12/$B$13</f>
        <v>234.287199375</v>
      </c>
      <c r="CQ10" s="190">
        <f t="shared" si="14"/>
        <v>234.287199375</v>
      </c>
      <c r="CR10" s="190">
        <f t="shared" si="14"/>
        <v>234.287199375</v>
      </c>
      <c r="CS10" s="190">
        <f t="shared" si="14"/>
        <v>234.287199375</v>
      </c>
      <c r="CT10" s="190">
        <f t="shared" si="14"/>
        <v>234.287199375</v>
      </c>
      <c r="CU10" s="190">
        <f t="shared" si="14"/>
        <v>234.287199375</v>
      </c>
      <c r="CV10" s="190">
        <f t="shared" si="14"/>
        <v>234.287199375</v>
      </c>
      <c r="CW10" s="190">
        <f t="shared" si="14"/>
        <v>234.287199375</v>
      </c>
      <c r="CX10" s="190">
        <f t="shared" si="14"/>
        <v>234.287199375</v>
      </c>
      <c r="CY10" s="190"/>
      <c r="CZ10" s="190"/>
      <c r="DA10" s="190"/>
      <c r="DB10" s="191">
        <f>SUM(CP10:DA10)</f>
        <v>2108.584794375</v>
      </c>
      <c r="DC10" s="192"/>
    </row>
    <row r="11" spans="1:107" ht="12.75">
      <c r="A11" s="184" t="s">
        <v>13</v>
      </c>
      <c r="B11" s="189">
        <f>O11+AB11+AO11+BB11+BO11+CB11+CO11+DB11</f>
        <v>3591.6227664187554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5"/>
      <c r="M11" s="195"/>
      <c r="N11" s="195"/>
      <c r="O11" s="191">
        <f>SUM(C11:N11)</f>
        <v>0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0">
        <f aca="true" t="shared" si="15" ref="Y11:BN11">Y9</f>
        <v>98.4006237375</v>
      </c>
      <c r="Z11" s="190">
        <f t="shared" si="15"/>
        <v>97.0339484078125</v>
      </c>
      <c r="AA11" s="190">
        <f t="shared" si="15"/>
        <v>95.66727307812499</v>
      </c>
      <c r="AB11" s="191">
        <f>SUM(P11:AA11)</f>
        <v>291.1018452234375</v>
      </c>
      <c r="AC11" s="190">
        <f t="shared" si="15"/>
        <v>94.3005977484375</v>
      </c>
      <c r="AD11" s="190">
        <f t="shared" si="15"/>
        <v>92.93392241875</v>
      </c>
      <c r="AE11" s="190">
        <f t="shared" si="15"/>
        <v>91.5672470890625</v>
      </c>
      <c r="AF11" s="190">
        <f t="shared" si="15"/>
        <v>90.20057175937501</v>
      </c>
      <c r="AG11" s="190">
        <f t="shared" si="15"/>
        <v>88.83389642968751</v>
      </c>
      <c r="AH11" s="190">
        <f t="shared" si="15"/>
        <v>87.46722110000002</v>
      </c>
      <c r="AI11" s="190">
        <f t="shared" si="15"/>
        <v>86.10054577031251</v>
      </c>
      <c r="AJ11" s="190">
        <f t="shared" si="15"/>
        <v>84.73387044062501</v>
      </c>
      <c r="AK11" s="190">
        <f t="shared" si="15"/>
        <v>83.36719511093752</v>
      </c>
      <c r="AL11" s="190">
        <f t="shared" si="15"/>
        <v>82.00051978125002</v>
      </c>
      <c r="AM11" s="190">
        <f t="shared" si="15"/>
        <v>80.63384445156252</v>
      </c>
      <c r="AN11" s="190">
        <f t="shared" si="15"/>
        <v>79.26716912187503</v>
      </c>
      <c r="AO11" s="191">
        <f>SUM(AC11:AN11)</f>
        <v>1041.406601221875</v>
      </c>
      <c r="AP11" s="190">
        <f t="shared" si="15"/>
        <v>77.90049379218753</v>
      </c>
      <c r="AQ11" s="190">
        <f t="shared" si="15"/>
        <v>76.53381846250004</v>
      </c>
      <c r="AR11" s="190">
        <f t="shared" si="15"/>
        <v>75.16714313281253</v>
      </c>
      <c r="AS11" s="190">
        <f t="shared" si="15"/>
        <v>73.80046780312503</v>
      </c>
      <c r="AT11" s="190">
        <f t="shared" si="15"/>
        <v>72.43379247343753</v>
      </c>
      <c r="AU11" s="190">
        <f t="shared" si="15"/>
        <v>71.06711714375004</v>
      </c>
      <c r="AV11" s="190">
        <f t="shared" si="15"/>
        <v>69.70044181406254</v>
      </c>
      <c r="AW11" s="190">
        <f t="shared" si="15"/>
        <v>68.33376648437505</v>
      </c>
      <c r="AX11" s="190">
        <f t="shared" si="15"/>
        <v>66.96709115468754</v>
      </c>
      <c r="AY11" s="190">
        <f t="shared" si="15"/>
        <v>65.60041582500004</v>
      </c>
      <c r="AZ11" s="190">
        <f t="shared" si="15"/>
        <v>64.23374049531255</v>
      </c>
      <c r="BA11" s="190">
        <f t="shared" si="15"/>
        <v>62.86706516562506</v>
      </c>
      <c r="BB11" s="191">
        <f>SUM(AP11:BA11)</f>
        <v>844.6053537468753</v>
      </c>
      <c r="BC11" s="190">
        <f t="shared" si="15"/>
        <v>61.50038983593756</v>
      </c>
      <c r="BD11" s="190">
        <f t="shared" si="15"/>
        <v>60.133714506250065</v>
      </c>
      <c r="BE11" s="190">
        <f t="shared" si="15"/>
        <v>58.767039176562555</v>
      </c>
      <c r="BF11" s="190">
        <f t="shared" si="15"/>
        <v>57.40036384687506</v>
      </c>
      <c r="BG11" s="190">
        <f t="shared" si="15"/>
        <v>56.033688517187564</v>
      </c>
      <c r="BH11" s="190">
        <f t="shared" si="15"/>
        <v>54.66701318750007</v>
      </c>
      <c r="BI11" s="190">
        <f t="shared" si="15"/>
        <v>53.30033785781257</v>
      </c>
      <c r="BJ11" s="190">
        <f t="shared" si="15"/>
        <v>51.933662528125076</v>
      </c>
      <c r="BK11" s="190">
        <f t="shared" si="15"/>
        <v>50.56698719843757</v>
      </c>
      <c r="BL11" s="190">
        <f t="shared" si="15"/>
        <v>49.20031186875008</v>
      </c>
      <c r="BM11" s="190">
        <f t="shared" si="15"/>
        <v>47.83363653906258</v>
      </c>
      <c r="BN11" s="190">
        <f t="shared" si="15"/>
        <v>46.466961209375086</v>
      </c>
      <c r="BO11" s="191">
        <f>SUM(BC11:BN11)</f>
        <v>647.8041062718758</v>
      </c>
      <c r="BP11" s="190">
        <f aca="true" t="shared" si="16" ref="BP11:CA11">BP9</f>
        <v>45.10028587968759</v>
      </c>
      <c r="BQ11" s="190">
        <f t="shared" si="16"/>
        <v>43.73361055000009</v>
      </c>
      <c r="BR11" s="190">
        <f t="shared" si="16"/>
        <v>42.36693522031259</v>
      </c>
      <c r="BS11" s="190">
        <f t="shared" si="16"/>
        <v>41.000259890625095</v>
      </c>
      <c r="BT11" s="190">
        <f t="shared" si="16"/>
        <v>39.6335845609376</v>
      </c>
      <c r="BU11" s="190">
        <f t="shared" si="16"/>
        <v>38.266909231250104</v>
      </c>
      <c r="BV11" s="190">
        <f t="shared" si="16"/>
        <v>36.9002339015626</v>
      </c>
      <c r="BW11" s="190">
        <f t="shared" si="16"/>
        <v>35.533558571875105</v>
      </c>
      <c r="BX11" s="190">
        <f t="shared" si="16"/>
        <v>34.16688324218761</v>
      </c>
      <c r="BY11" s="190">
        <f t="shared" si="16"/>
        <v>32.800207912500106</v>
      </c>
      <c r="BZ11" s="190">
        <f t="shared" si="16"/>
        <v>31.433532582812614</v>
      </c>
      <c r="CA11" s="190">
        <f t="shared" si="16"/>
        <v>30.06685725312511</v>
      </c>
      <c r="CB11" s="191">
        <f>SUM(BP11:CA11)</f>
        <v>451.00285879687635</v>
      </c>
      <c r="CC11" s="190">
        <f aca="true" t="shared" si="17" ref="CC11:CN11">CC9</f>
        <v>28.700181923437615</v>
      </c>
      <c r="CD11" s="190">
        <f t="shared" si="17"/>
        <v>27.33350659375012</v>
      </c>
      <c r="CE11" s="190">
        <f t="shared" si="17"/>
        <v>25.96683126406262</v>
      </c>
      <c r="CF11" s="190">
        <f t="shared" si="17"/>
        <v>24.600155934375124</v>
      </c>
      <c r="CG11" s="190">
        <f t="shared" si="17"/>
        <v>23.233480604687625</v>
      </c>
      <c r="CH11" s="190">
        <f t="shared" si="17"/>
        <v>21.86680527500012</v>
      </c>
      <c r="CI11" s="190">
        <f t="shared" si="17"/>
        <v>20.500129945312626</v>
      </c>
      <c r="CJ11" s="190">
        <f t="shared" si="17"/>
        <v>19.133454615625123</v>
      </c>
      <c r="CK11" s="190">
        <f t="shared" si="17"/>
        <v>17.766779285937623</v>
      </c>
      <c r="CL11" s="190">
        <f t="shared" si="17"/>
        <v>16.400103956250124</v>
      </c>
      <c r="CM11" s="190">
        <f t="shared" si="17"/>
        <v>15.033428626562623</v>
      </c>
      <c r="CN11" s="190">
        <f t="shared" si="17"/>
        <v>13.666753296875124</v>
      </c>
      <c r="CO11" s="191">
        <f>SUM(CC11:CN11)</f>
        <v>254.20161132187647</v>
      </c>
      <c r="CP11" s="190">
        <f aca="true" t="shared" si="18" ref="CP11:DA11">CP9</f>
        <v>12.300077967187624</v>
      </c>
      <c r="CQ11" s="190">
        <f t="shared" si="18"/>
        <v>10.933402637500123</v>
      </c>
      <c r="CR11" s="190">
        <f t="shared" si="18"/>
        <v>9.566727307812622</v>
      </c>
      <c r="CS11" s="190">
        <f t="shared" si="18"/>
        <v>8.200051978125122</v>
      </c>
      <c r="CT11" s="190">
        <f t="shared" si="18"/>
        <v>6.833376648437622</v>
      </c>
      <c r="CU11" s="190">
        <f t="shared" si="18"/>
        <v>5.466701318750123</v>
      </c>
      <c r="CV11" s="190">
        <f t="shared" si="18"/>
        <v>4.1000259890626225</v>
      </c>
      <c r="CW11" s="190">
        <f t="shared" si="18"/>
        <v>2.7333506593751227</v>
      </c>
      <c r="CX11" s="190">
        <f t="shared" si="18"/>
        <v>1.3666753296876222</v>
      </c>
      <c r="CY11" s="190">
        <f t="shared" si="18"/>
        <v>1.220238724878679E-13</v>
      </c>
      <c r="CZ11" s="190">
        <f t="shared" si="18"/>
        <v>1.220238724878679E-13</v>
      </c>
      <c r="DA11" s="190">
        <f t="shared" si="18"/>
        <v>1.220238724878679E-13</v>
      </c>
      <c r="DB11" s="191">
        <f>SUM(CP11:DA11)</f>
        <v>61.50038983593897</v>
      </c>
      <c r="DC11" s="192" t="s">
        <v>56</v>
      </c>
    </row>
    <row r="12" spans="1:107" ht="12.75">
      <c r="A12" s="184" t="s">
        <v>14</v>
      </c>
      <c r="B12" s="189">
        <f>DB12</f>
        <v>2.091837814077735E-11</v>
      </c>
      <c r="C12" s="190">
        <f>C7</f>
        <v>0</v>
      </c>
      <c r="D12" s="190">
        <f>C12+D7-D10+D8</f>
        <v>0</v>
      </c>
      <c r="E12" s="190">
        <f>D12+E7-E10+E8</f>
        <v>0</v>
      </c>
      <c r="F12" s="190">
        <f>E12+F7-F10+F8</f>
        <v>0</v>
      </c>
      <c r="G12" s="190">
        <f aca="true" t="shared" si="19" ref="G12:M12">F12+G7-G10+G8</f>
        <v>0</v>
      </c>
      <c r="H12" s="190">
        <f>G12+H7-H10+H8</f>
        <v>0</v>
      </c>
      <c r="I12" s="190">
        <f t="shared" si="19"/>
        <v>0</v>
      </c>
      <c r="J12" s="190">
        <f t="shared" si="19"/>
        <v>0</v>
      </c>
      <c r="K12" s="190">
        <f t="shared" si="19"/>
        <v>0</v>
      </c>
      <c r="L12" s="190">
        <f t="shared" si="19"/>
        <v>15851.537999999999</v>
      </c>
      <c r="M12" s="190">
        <f t="shared" si="19"/>
        <v>15851.537999999999</v>
      </c>
      <c r="N12" s="190">
        <f>M12+N7-N10+N8</f>
        <v>15851.537999999999</v>
      </c>
      <c r="O12" s="191">
        <f>N12</f>
        <v>15851.537999999999</v>
      </c>
      <c r="P12" s="190">
        <f>O12+P7-P10+P8</f>
        <v>15851.537999999999</v>
      </c>
      <c r="Q12" s="190">
        <f aca="true" t="shared" si="20" ref="Q12:Z12">P12+Q7-Q10+Q8</f>
        <v>15851.537999999999</v>
      </c>
      <c r="R12" s="190">
        <f t="shared" si="20"/>
        <v>15851.537999999999</v>
      </c>
      <c r="S12" s="190">
        <f t="shared" si="20"/>
        <v>15851.537999999999</v>
      </c>
      <c r="T12" s="190">
        <f t="shared" si="20"/>
        <v>15851.537999999999</v>
      </c>
      <c r="U12" s="190">
        <f t="shared" si="20"/>
        <v>15851.537999999999</v>
      </c>
      <c r="V12" s="190">
        <f t="shared" si="20"/>
        <v>15851.537999999999</v>
      </c>
      <c r="W12" s="190">
        <f t="shared" si="20"/>
        <v>15851.537999999999</v>
      </c>
      <c r="X12" s="190">
        <f t="shared" si="20"/>
        <v>16868.678355</v>
      </c>
      <c r="Y12" s="190">
        <f t="shared" si="20"/>
        <v>16634.391155625</v>
      </c>
      <c r="Z12" s="190">
        <f t="shared" si="20"/>
        <v>16400.103956249997</v>
      </c>
      <c r="AA12" s="190">
        <f>Z12+AA7-AA10+AA8</f>
        <v>16165.816756874998</v>
      </c>
      <c r="AB12" s="191">
        <f>AA12</f>
        <v>16165.816756874998</v>
      </c>
      <c r="AC12" s="190">
        <f>AB12+AC7-AC10+AC8</f>
        <v>15931.529557499998</v>
      </c>
      <c r="AD12" s="190">
        <f aca="true" t="shared" si="21" ref="AD12:AN12">AC12+AD7-AD10+AD8</f>
        <v>15697.242358124999</v>
      </c>
      <c r="AE12" s="190">
        <f t="shared" si="21"/>
        <v>15462.95515875</v>
      </c>
      <c r="AF12" s="190">
        <f t="shared" si="21"/>
        <v>15228.667959375</v>
      </c>
      <c r="AG12" s="190">
        <f t="shared" si="21"/>
        <v>14994.38076</v>
      </c>
      <c r="AH12" s="190">
        <f t="shared" si="21"/>
        <v>14760.093560625</v>
      </c>
      <c r="AI12" s="190">
        <f t="shared" si="21"/>
        <v>14525.806361250001</v>
      </c>
      <c r="AJ12" s="190">
        <f t="shared" si="21"/>
        <v>14291.519161875001</v>
      </c>
      <c r="AK12" s="190">
        <f t="shared" si="21"/>
        <v>14057.231962500002</v>
      </c>
      <c r="AL12" s="190">
        <f t="shared" si="21"/>
        <v>13822.944763125002</v>
      </c>
      <c r="AM12" s="190">
        <f t="shared" si="21"/>
        <v>13588.657563750003</v>
      </c>
      <c r="AN12" s="190">
        <f t="shared" si="21"/>
        <v>13354.370364375003</v>
      </c>
      <c r="AO12" s="191">
        <f>AN12</f>
        <v>13354.370364375003</v>
      </c>
      <c r="AP12" s="190">
        <f>AO12+AP7-AP10+AP8</f>
        <v>13120.083165000004</v>
      </c>
      <c r="AQ12" s="190">
        <f aca="true" t="shared" si="22" ref="AQ12:BA12">AP12+AQ7-AQ10+AQ8</f>
        <v>12885.795965625004</v>
      </c>
      <c r="AR12" s="190">
        <f t="shared" si="22"/>
        <v>12651.508766250005</v>
      </c>
      <c r="AS12" s="190">
        <f t="shared" si="22"/>
        <v>12417.221566875005</v>
      </c>
      <c r="AT12" s="190">
        <f t="shared" si="22"/>
        <v>12182.934367500005</v>
      </c>
      <c r="AU12" s="190">
        <f t="shared" si="22"/>
        <v>11948.647168125006</v>
      </c>
      <c r="AV12" s="190">
        <f t="shared" si="22"/>
        <v>11714.359968750006</v>
      </c>
      <c r="AW12" s="190">
        <f t="shared" si="22"/>
        <v>11480.072769375007</v>
      </c>
      <c r="AX12" s="190">
        <f t="shared" si="22"/>
        <v>11245.785570000007</v>
      </c>
      <c r="AY12" s="190">
        <f t="shared" si="22"/>
        <v>11011.498370625008</v>
      </c>
      <c r="AZ12" s="190">
        <f t="shared" si="22"/>
        <v>10777.211171250008</v>
      </c>
      <c r="BA12" s="190">
        <f t="shared" si="22"/>
        <v>10542.923971875009</v>
      </c>
      <c r="BB12" s="191">
        <f>BA12</f>
        <v>10542.923971875009</v>
      </c>
      <c r="BC12" s="190">
        <f>BB12+BC7-BC10+BC8</f>
        <v>10308.63677250001</v>
      </c>
      <c r="BD12" s="190">
        <f aca="true" t="shared" si="23" ref="BD12:BN12">BC12+BD7-BD10+BD8</f>
        <v>10074.34957312501</v>
      </c>
      <c r="BE12" s="190">
        <f t="shared" si="23"/>
        <v>9840.06237375001</v>
      </c>
      <c r="BF12" s="190">
        <f t="shared" si="23"/>
        <v>9605.77517437501</v>
      </c>
      <c r="BG12" s="190">
        <f t="shared" si="23"/>
        <v>9371.487975000011</v>
      </c>
      <c r="BH12" s="190">
        <f t="shared" si="23"/>
        <v>9137.200775625011</v>
      </c>
      <c r="BI12" s="190">
        <f t="shared" si="23"/>
        <v>8902.913576250012</v>
      </c>
      <c r="BJ12" s="190">
        <f t="shared" si="23"/>
        <v>8668.626376875012</v>
      </c>
      <c r="BK12" s="190">
        <f t="shared" si="23"/>
        <v>8434.339177500013</v>
      </c>
      <c r="BL12" s="190">
        <f t="shared" si="23"/>
        <v>8200.051978125013</v>
      </c>
      <c r="BM12" s="190">
        <f t="shared" si="23"/>
        <v>7965.764778750014</v>
      </c>
      <c r="BN12" s="190">
        <f t="shared" si="23"/>
        <v>7731.477579375014</v>
      </c>
      <c r="BO12" s="191">
        <f>BN12</f>
        <v>7731.477579375014</v>
      </c>
      <c r="BP12" s="190">
        <f aca="true" t="shared" si="24" ref="BP12:CA12">BO12+BP7-BP10+BP8</f>
        <v>7497.190380000015</v>
      </c>
      <c r="BQ12" s="190">
        <f t="shared" si="24"/>
        <v>7262.903180625015</v>
      </c>
      <c r="BR12" s="190">
        <f t="shared" si="24"/>
        <v>7028.6159812500155</v>
      </c>
      <c r="BS12" s="190">
        <f t="shared" si="24"/>
        <v>6794.328781875016</v>
      </c>
      <c r="BT12" s="190">
        <f t="shared" si="24"/>
        <v>6560.041582500016</v>
      </c>
      <c r="BU12" s="190">
        <f t="shared" si="24"/>
        <v>6325.754383125017</v>
      </c>
      <c r="BV12" s="190">
        <f t="shared" si="24"/>
        <v>6091.467183750017</v>
      </c>
      <c r="BW12" s="190">
        <f t="shared" si="24"/>
        <v>5857.179984375018</v>
      </c>
      <c r="BX12" s="190">
        <f t="shared" si="24"/>
        <v>5622.892785000018</v>
      </c>
      <c r="BY12" s="190">
        <f t="shared" si="24"/>
        <v>5388.605585625019</v>
      </c>
      <c r="BZ12" s="190">
        <f t="shared" si="24"/>
        <v>5154.318386250019</v>
      </c>
      <c r="CA12" s="190">
        <f t="shared" si="24"/>
        <v>4920.03118687502</v>
      </c>
      <c r="CB12" s="191">
        <f>CA12</f>
        <v>4920.03118687502</v>
      </c>
      <c r="CC12" s="190">
        <f aca="true" t="shared" si="25" ref="CC12:CN12">CB12+CC7-CC10+CC8</f>
        <v>4685.74398750002</v>
      </c>
      <c r="CD12" s="190">
        <f t="shared" si="25"/>
        <v>4451.4567881250205</v>
      </c>
      <c r="CE12" s="190">
        <f t="shared" si="25"/>
        <v>4217.169588750021</v>
      </c>
      <c r="CF12" s="190">
        <f t="shared" si="25"/>
        <v>3982.882389375021</v>
      </c>
      <c r="CG12" s="190">
        <f t="shared" si="25"/>
        <v>3748.595190000021</v>
      </c>
      <c r="CH12" s="190">
        <f t="shared" si="25"/>
        <v>3514.307990625021</v>
      </c>
      <c r="CI12" s="190">
        <f t="shared" si="25"/>
        <v>3280.020791250021</v>
      </c>
      <c r="CJ12" s="190">
        <f t="shared" si="25"/>
        <v>3045.733591875021</v>
      </c>
      <c r="CK12" s="190">
        <f t="shared" si="25"/>
        <v>2811.446392500021</v>
      </c>
      <c r="CL12" s="190">
        <f t="shared" si="25"/>
        <v>2577.159193125021</v>
      </c>
      <c r="CM12" s="190">
        <f t="shared" si="25"/>
        <v>2342.871993750021</v>
      </c>
      <c r="CN12" s="190">
        <f t="shared" si="25"/>
        <v>2108.584794375021</v>
      </c>
      <c r="CO12" s="191">
        <f>CN12</f>
        <v>2108.584794375021</v>
      </c>
      <c r="CP12" s="190">
        <f aca="true" t="shared" si="26" ref="CP12:DA12">CO12+CP7-CP10+CP8</f>
        <v>1874.297595000021</v>
      </c>
      <c r="CQ12" s="190">
        <f t="shared" si="26"/>
        <v>1640.010395625021</v>
      </c>
      <c r="CR12" s="190">
        <f t="shared" si="26"/>
        <v>1405.723196250021</v>
      </c>
      <c r="CS12" s="190">
        <f t="shared" si="26"/>
        <v>1171.435996875021</v>
      </c>
      <c r="CT12" s="190">
        <f t="shared" si="26"/>
        <v>937.1487975000209</v>
      </c>
      <c r="CU12" s="190">
        <f t="shared" si="26"/>
        <v>702.8615981250209</v>
      </c>
      <c r="CV12" s="190">
        <f t="shared" si="26"/>
        <v>468.5743987500209</v>
      </c>
      <c r="CW12" s="190">
        <f t="shared" si="26"/>
        <v>234.28719937502092</v>
      </c>
      <c r="CX12" s="190">
        <f t="shared" si="26"/>
        <v>2.091837814077735E-11</v>
      </c>
      <c r="CY12" s="190">
        <f t="shared" si="26"/>
        <v>2.091837814077735E-11</v>
      </c>
      <c r="CZ12" s="190">
        <f t="shared" si="26"/>
        <v>2.091837814077735E-11</v>
      </c>
      <c r="DA12" s="190">
        <f t="shared" si="26"/>
        <v>2.091837814077735E-11</v>
      </c>
      <c r="DB12" s="191">
        <f>DA12</f>
        <v>2.091837814077735E-11</v>
      </c>
      <c r="DC12" s="196">
        <f>MAX(C12:DB12)</f>
        <v>16868.678355</v>
      </c>
    </row>
    <row r="13" spans="1:107" ht="12.75">
      <c r="A13" s="173" t="s">
        <v>76</v>
      </c>
      <c r="B13" s="173">
        <f>Исх!C55*12-Исх!C56</f>
        <v>72</v>
      </c>
      <c r="DC13" s="176"/>
    </row>
    <row r="16" ht="12.75" outlineLevel="1">
      <c r="A16" s="197">
        <f>B7+B8-B10</f>
        <v>0</v>
      </c>
    </row>
    <row r="17" ht="12.75" outlineLevel="1">
      <c r="A17" s="197">
        <f>B9-B8-B11</f>
        <v>0</v>
      </c>
    </row>
  </sheetData>
  <sheetProtection/>
  <mergeCells count="8">
    <mergeCell ref="CP5:DB5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56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S37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30" sqref="C30"/>
    </sheetView>
  </sheetViews>
  <sheetFormatPr defaultColWidth="8.875" defaultRowHeight="12.75" outlineLevelRow="1" outlineLevelCol="1"/>
  <cols>
    <col min="1" max="1" width="36.25390625" style="71" customWidth="1"/>
    <col min="2" max="2" width="10.00390625" style="71" customWidth="1"/>
    <col min="3" max="3" width="9.00390625" style="71" customWidth="1"/>
    <col min="4" max="4" width="10.00390625" style="71" customWidth="1"/>
    <col min="5" max="10" width="4.875" style="71" customWidth="1" outlineLevel="1"/>
    <col min="11" max="11" width="5.875" style="71" customWidth="1" outlineLevel="1"/>
    <col min="12" max="12" width="6.125" style="71" customWidth="1" outlineLevel="1"/>
    <col min="13" max="13" width="6.00390625" style="71" customWidth="1" outlineLevel="1"/>
    <col min="14" max="14" width="6.625" style="71" bestFit="1" customWidth="1" outlineLevel="1"/>
    <col min="15" max="16" width="6.125" style="71" customWidth="1" outlineLevel="1"/>
    <col min="17" max="17" width="10.125" style="71" customWidth="1"/>
    <col min="18" max="18" width="3.625" style="71" customWidth="1"/>
    <col min="19" max="19" width="16.00390625" style="71" customWidth="1"/>
    <col min="20" max="20" width="12.875" style="71" bestFit="1" customWidth="1"/>
    <col min="21" max="16384" width="8.875" style="71" customWidth="1"/>
  </cols>
  <sheetData>
    <row r="1" ht="8.25" customHeight="1"/>
    <row r="2" spans="1:19" ht="12.75">
      <c r="A2" s="61" t="s">
        <v>448</v>
      </c>
      <c r="B2" s="169"/>
      <c r="Q2" s="144" t="s">
        <v>57</v>
      </c>
      <c r="R2" s="198"/>
      <c r="S2" s="167"/>
    </row>
    <row r="3" spans="1:19" ht="17.25" customHeight="1">
      <c r="A3" s="358" t="s">
        <v>189</v>
      </c>
      <c r="B3" s="359" t="s">
        <v>159</v>
      </c>
      <c r="C3" s="359" t="s">
        <v>160</v>
      </c>
      <c r="D3" s="360" t="s">
        <v>158</v>
      </c>
      <c r="E3" s="355">
        <v>2013</v>
      </c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7"/>
      <c r="Q3" s="86" t="s">
        <v>0</v>
      </c>
      <c r="R3" s="198"/>
      <c r="S3" s="199"/>
    </row>
    <row r="4" spans="1:17" ht="27" customHeight="1">
      <c r="A4" s="358"/>
      <c r="B4" s="359"/>
      <c r="C4" s="359"/>
      <c r="D4" s="360"/>
      <c r="E4" s="200">
        <v>1</v>
      </c>
      <c r="F4" s="200">
        <v>2</v>
      </c>
      <c r="G4" s="200">
        <v>3</v>
      </c>
      <c r="H4" s="200">
        <v>4</v>
      </c>
      <c r="I4" s="200">
        <v>5</v>
      </c>
      <c r="J4" s="200">
        <v>6</v>
      </c>
      <c r="K4" s="200">
        <v>7</v>
      </c>
      <c r="L4" s="200">
        <v>8</v>
      </c>
      <c r="M4" s="200">
        <v>9</v>
      </c>
      <c r="N4" s="200">
        <v>10</v>
      </c>
      <c r="O4" s="200">
        <v>11</v>
      </c>
      <c r="P4" s="200">
        <v>12</v>
      </c>
      <c r="Q4" s="88">
        <v>2013</v>
      </c>
    </row>
    <row r="5" spans="1:17" s="61" customFormat="1" ht="12.75">
      <c r="A5" s="201" t="s">
        <v>188</v>
      </c>
      <c r="B5" s="202"/>
      <c r="C5" s="202"/>
      <c r="D5" s="141">
        <f aca="true" t="shared" si="0" ref="D5:Q5">SUM(D6:D7)</f>
        <v>0</v>
      </c>
      <c r="E5" s="141">
        <f t="shared" si="0"/>
        <v>0</v>
      </c>
      <c r="F5" s="141">
        <f t="shared" si="0"/>
        <v>0</v>
      </c>
      <c r="G5" s="141">
        <f t="shared" si="0"/>
        <v>0</v>
      </c>
      <c r="H5" s="141">
        <f t="shared" si="0"/>
        <v>0</v>
      </c>
      <c r="I5" s="141">
        <f t="shared" si="0"/>
        <v>0</v>
      </c>
      <c r="J5" s="141">
        <f t="shared" si="0"/>
        <v>0</v>
      </c>
      <c r="K5" s="141">
        <f t="shared" si="0"/>
        <v>0</v>
      </c>
      <c r="L5" s="141">
        <f t="shared" si="0"/>
        <v>0</v>
      </c>
      <c r="M5" s="141">
        <f t="shared" si="0"/>
        <v>0</v>
      </c>
      <c r="N5" s="141">
        <f t="shared" si="0"/>
        <v>0</v>
      </c>
      <c r="O5" s="141">
        <f t="shared" si="0"/>
        <v>0</v>
      </c>
      <c r="P5" s="141">
        <f t="shared" si="0"/>
        <v>0</v>
      </c>
      <c r="Q5" s="141">
        <f t="shared" si="0"/>
        <v>0</v>
      </c>
    </row>
    <row r="6" spans="1:19" ht="12.75" hidden="1" outlineLevel="1">
      <c r="A6" s="238"/>
      <c r="B6" s="236"/>
      <c r="C6" s="236"/>
      <c r="D6" s="149">
        <f>B6*C6</f>
        <v>0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>
        <f>SUM(E6:P6)</f>
        <v>0</v>
      </c>
      <c r="S6" s="61"/>
    </row>
    <row r="7" spans="1:19" ht="12.75" hidden="1" outlineLevel="1">
      <c r="A7" s="203"/>
      <c r="B7" s="79"/>
      <c r="C7" s="142"/>
      <c r="D7" s="149">
        <f>B7*C7</f>
        <v>0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>
        <f>SUM(E7:P7)</f>
        <v>0</v>
      </c>
      <c r="S7" s="61"/>
    </row>
    <row r="8" spans="1:19" ht="12.75" collapsed="1">
      <c r="A8" s="201" t="s">
        <v>105</v>
      </c>
      <c r="B8" s="202"/>
      <c r="C8" s="202"/>
      <c r="D8" s="141">
        <f aca="true" t="shared" si="1" ref="D8:Q8">SUM(D9:D10)</f>
        <v>0</v>
      </c>
      <c r="E8" s="141">
        <f t="shared" si="1"/>
        <v>0</v>
      </c>
      <c r="F8" s="141">
        <f t="shared" si="1"/>
        <v>0</v>
      </c>
      <c r="G8" s="141">
        <f t="shared" si="1"/>
        <v>0</v>
      </c>
      <c r="H8" s="141">
        <f t="shared" si="1"/>
        <v>0</v>
      </c>
      <c r="I8" s="141">
        <f t="shared" si="1"/>
        <v>0</v>
      </c>
      <c r="J8" s="141">
        <f t="shared" si="1"/>
        <v>0</v>
      </c>
      <c r="K8" s="141">
        <f t="shared" si="1"/>
        <v>0</v>
      </c>
      <c r="L8" s="141">
        <f t="shared" si="1"/>
        <v>0</v>
      </c>
      <c r="M8" s="141">
        <f t="shared" si="1"/>
        <v>0</v>
      </c>
      <c r="N8" s="141">
        <f t="shared" si="1"/>
        <v>0</v>
      </c>
      <c r="O8" s="141">
        <f t="shared" si="1"/>
        <v>0</v>
      </c>
      <c r="P8" s="141">
        <f t="shared" si="1"/>
        <v>0</v>
      </c>
      <c r="Q8" s="141">
        <f t="shared" si="1"/>
        <v>0</v>
      </c>
      <c r="S8" s="61"/>
    </row>
    <row r="9" spans="1:19" ht="12.75" hidden="1" outlineLevel="1">
      <c r="A9" s="229"/>
      <c r="B9" s="142"/>
      <c r="C9" s="142"/>
      <c r="D9" s="149">
        <f>B9*C9</f>
        <v>0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>
        <f>SUM(E9:P9)</f>
        <v>0</v>
      </c>
      <c r="S9" s="61"/>
    </row>
    <row r="10" spans="1:19" ht="12.75" hidden="1" outlineLevel="1">
      <c r="A10" s="204"/>
      <c r="B10" s="142"/>
      <c r="C10" s="142"/>
      <c r="D10" s="149">
        <f>B10*C10</f>
        <v>0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50">
        <f>SUM(E10:P10)</f>
        <v>0</v>
      </c>
      <c r="S10" s="61"/>
    </row>
    <row r="11" spans="1:19" ht="12.75" collapsed="1">
      <c r="A11" s="201" t="s">
        <v>234</v>
      </c>
      <c r="B11" s="202"/>
      <c r="C11" s="202"/>
      <c r="D11" s="141">
        <f aca="true" t="shared" si="2" ref="D11:Q11">SUM(D12:D30)</f>
        <v>15851.537999999999</v>
      </c>
      <c r="E11" s="141">
        <f t="shared" si="2"/>
        <v>0</v>
      </c>
      <c r="F11" s="141">
        <f t="shared" si="2"/>
        <v>0</v>
      </c>
      <c r="G11" s="141">
        <f t="shared" si="2"/>
        <v>0</v>
      </c>
      <c r="H11" s="141">
        <f t="shared" si="2"/>
        <v>0</v>
      </c>
      <c r="I11" s="141">
        <f t="shared" si="2"/>
        <v>0</v>
      </c>
      <c r="J11" s="141">
        <f t="shared" si="2"/>
        <v>0</v>
      </c>
      <c r="K11" s="141">
        <f t="shared" si="2"/>
        <v>0</v>
      </c>
      <c r="L11" s="141">
        <f t="shared" si="2"/>
        <v>0</v>
      </c>
      <c r="M11" s="141">
        <f t="shared" si="2"/>
        <v>0</v>
      </c>
      <c r="N11" s="141">
        <f t="shared" si="2"/>
        <v>15851.537999999999</v>
      </c>
      <c r="O11" s="141">
        <f t="shared" si="2"/>
        <v>0</v>
      </c>
      <c r="P11" s="141">
        <f t="shared" si="2"/>
        <v>0</v>
      </c>
      <c r="Q11" s="141">
        <f t="shared" si="2"/>
        <v>15851.537999999999</v>
      </c>
      <c r="S11" s="61"/>
    </row>
    <row r="12" spans="1:19" ht="12.75" outlineLevel="1">
      <c r="A12" s="267" t="s">
        <v>222</v>
      </c>
      <c r="B12" s="143"/>
      <c r="C12" s="143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50"/>
      <c r="S12" s="61"/>
    </row>
    <row r="13" spans="1:19" ht="12.75" outlineLevel="1">
      <c r="A13" s="229" t="s">
        <v>221</v>
      </c>
      <c r="B13" s="142">
        <v>2</v>
      </c>
      <c r="C13" s="142">
        <f>9.5*Исх!$C$5</f>
        <v>1439.6299999999999</v>
      </c>
      <c r="D13" s="149">
        <f>B13*C13</f>
        <v>2879.2599999999998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>
        <f>D13</f>
        <v>2879.2599999999998</v>
      </c>
      <c r="O13" s="149"/>
      <c r="P13" s="149"/>
      <c r="Q13" s="150">
        <f>SUM(E13:P13)</f>
        <v>2879.2599999999998</v>
      </c>
      <c r="S13" s="61"/>
    </row>
    <row r="14" spans="1:19" ht="12.75" outlineLevel="1">
      <c r="A14" s="229" t="s">
        <v>445</v>
      </c>
      <c r="B14" s="142">
        <v>1</v>
      </c>
      <c r="C14" s="142">
        <f>19.5*Исх!$C$5</f>
        <v>2955.0299999999997</v>
      </c>
      <c r="D14" s="149">
        <f>B14*C14</f>
        <v>2955.0299999999997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>
        <f aca="true" t="shared" si="3" ref="N14:N30">D14</f>
        <v>2955.0299999999997</v>
      </c>
      <c r="O14" s="149"/>
      <c r="P14" s="149"/>
      <c r="Q14" s="150">
        <f>SUM(E14:P14)</f>
        <v>2955.0299999999997</v>
      </c>
      <c r="S14" s="61"/>
    </row>
    <row r="15" spans="1:19" ht="12.75" outlineLevel="1">
      <c r="A15" s="204" t="s">
        <v>446</v>
      </c>
      <c r="B15" s="142">
        <v>1</v>
      </c>
      <c r="C15" s="142">
        <v>1100</v>
      </c>
      <c r="D15" s="149">
        <f>B15*C15</f>
        <v>1100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>
        <f t="shared" si="3"/>
        <v>1100</v>
      </c>
      <c r="O15" s="149"/>
      <c r="P15" s="149"/>
      <c r="Q15" s="150">
        <f>SUM(E15:P15)</f>
        <v>1100</v>
      </c>
      <c r="S15" s="61"/>
    </row>
    <row r="16" spans="1:19" ht="12.75" outlineLevel="1">
      <c r="A16" s="229" t="s">
        <v>447</v>
      </c>
      <c r="B16" s="142">
        <v>1</v>
      </c>
      <c r="C16" s="142">
        <f>5.1*Исх!$C$5</f>
        <v>772.8539999999999</v>
      </c>
      <c r="D16" s="149">
        <f>B16*C16</f>
        <v>772.8539999999999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>
        <f t="shared" si="3"/>
        <v>772.8539999999999</v>
      </c>
      <c r="O16" s="149"/>
      <c r="P16" s="149"/>
      <c r="Q16" s="150">
        <f>SUM(E16:P16)</f>
        <v>772.8539999999999</v>
      </c>
      <c r="S16" s="61"/>
    </row>
    <row r="17" spans="1:19" ht="12.75" outlineLevel="1">
      <c r="A17" s="267" t="s">
        <v>223</v>
      </c>
      <c r="B17" s="143"/>
      <c r="C17" s="143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>
        <f t="shared" si="3"/>
        <v>0</v>
      </c>
      <c r="O17" s="149"/>
      <c r="P17" s="149"/>
      <c r="Q17" s="150"/>
      <c r="S17" s="61"/>
    </row>
    <row r="18" spans="1:19" ht="12.75" outlineLevel="1">
      <c r="A18" s="204" t="s">
        <v>224</v>
      </c>
      <c r="B18" s="142">
        <v>2</v>
      </c>
      <c r="C18" s="142">
        <f>3.05*Исх!$C$5</f>
        <v>462.19699999999995</v>
      </c>
      <c r="D18" s="149">
        <f aca="true" t="shared" si="4" ref="D18:D30">B18*C18</f>
        <v>924.3939999999999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>
        <f t="shared" si="3"/>
        <v>924.3939999999999</v>
      </c>
      <c r="O18" s="149"/>
      <c r="P18" s="149"/>
      <c r="Q18" s="150">
        <f aca="true" t="shared" si="5" ref="Q18:Q30">SUM(E18:P18)</f>
        <v>924.3939999999999</v>
      </c>
      <c r="S18" s="61"/>
    </row>
    <row r="19" spans="1:19" ht="12.75" outlineLevel="1">
      <c r="A19" s="204" t="s">
        <v>225</v>
      </c>
      <c r="B19" s="142">
        <v>1</v>
      </c>
      <c r="C19" s="142">
        <v>950</v>
      </c>
      <c r="D19" s="149">
        <f t="shared" si="4"/>
        <v>950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>
        <f t="shared" si="3"/>
        <v>950</v>
      </c>
      <c r="O19" s="149"/>
      <c r="P19" s="149"/>
      <c r="Q19" s="150">
        <f t="shared" si="5"/>
        <v>950</v>
      </c>
      <c r="S19" s="61"/>
    </row>
    <row r="20" spans="1:19" ht="12.75" outlineLevel="1">
      <c r="A20" s="229" t="s">
        <v>226</v>
      </c>
      <c r="B20" s="142">
        <v>5</v>
      </c>
      <c r="C20" s="142">
        <v>180</v>
      </c>
      <c r="D20" s="149">
        <f t="shared" si="4"/>
        <v>900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>
        <f t="shared" si="3"/>
        <v>900</v>
      </c>
      <c r="O20" s="149"/>
      <c r="P20" s="149"/>
      <c r="Q20" s="150">
        <f t="shared" si="5"/>
        <v>900</v>
      </c>
      <c r="S20" s="61"/>
    </row>
    <row r="21" spans="1:19" ht="12.75" outlineLevel="1">
      <c r="A21" s="204" t="s">
        <v>227</v>
      </c>
      <c r="B21" s="142">
        <v>1</v>
      </c>
      <c r="C21" s="142">
        <v>950</v>
      </c>
      <c r="D21" s="149">
        <f t="shared" si="4"/>
        <v>950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>
        <f t="shared" si="3"/>
        <v>950</v>
      </c>
      <c r="O21" s="149"/>
      <c r="P21" s="149"/>
      <c r="Q21" s="150">
        <f t="shared" si="5"/>
        <v>950</v>
      </c>
      <c r="S21" s="61"/>
    </row>
    <row r="22" spans="1:19" ht="12.75" outlineLevel="1">
      <c r="A22" s="204" t="s">
        <v>228</v>
      </c>
      <c r="B22" s="142">
        <v>30</v>
      </c>
      <c r="C22" s="142">
        <v>32</v>
      </c>
      <c r="D22" s="149">
        <f t="shared" si="4"/>
        <v>960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>
        <f t="shared" si="3"/>
        <v>960</v>
      </c>
      <c r="O22" s="149"/>
      <c r="P22" s="149"/>
      <c r="Q22" s="150">
        <f t="shared" si="5"/>
        <v>960</v>
      </c>
      <c r="S22" s="61"/>
    </row>
    <row r="23" spans="1:19" ht="12.75" outlineLevel="1">
      <c r="A23" s="229" t="s">
        <v>229</v>
      </c>
      <c r="B23" s="142">
        <v>1</v>
      </c>
      <c r="C23" s="142">
        <v>110</v>
      </c>
      <c r="D23" s="149">
        <f t="shared" si="4"/>
        <v>110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>
        <f t="shared" si="3"/>
        <v>110</v>
      </c>
      <c r="O23" s="149"/>
      <c r="P23" s="149"/>
      <c r="Q23" s="150">
        <f t="shared" si="5"/>
        <v>110</v>
      </c>
      <c r="S23" s="61"/>
    </row>
    <row r="24" spans="1:19" ht="12.75" outlineLevel="1">
      <c r="A24" s="204" t="s">
        <v>300</v>
      </c>
      <c r="B24" s="142">
        <v>1</v>
      </c>
      <c r="C24" s="142">
        <v>250</v>
      </c>
      <c r="D24" s="149">
        <f t="shared" si="4"/>
        <v>250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>
        <f t="shared" si="3"/>
        <v>250</v>
      </c>
      <c r="O24" s="149"/>
      <c r="P24" s="149"/>
      <c r="Q24" s="150">
        <f t="shared" si="5"/>
        <v>250</v>
      </c>
      <c r="S24" s="268"/>
    </row>
    <row r="25" spans="1:19" ht="12.75" outlineLevel="1">
      <c r="A25" s="204" t="s">
        <v>301</v>
      </c>
      <c r="B25" s="142">
        <v>1</v>
      </c>
      <c r="C25" s="142">
        <v>700</v>
      </c>
      <c r="D25" s="149">
        <f>B25*C25</f>
        <v>700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>
        <f t="shared" si="3"/>
        <v>700</v>
      </c>
      <c r="O25" s="149"/>
      <c r="P25" s="149"/>
      <c r="Q25" s="150">
        <f>SUM(E25:P25)</f>
        <v>700</v>
      </c>
      <c r="S25" s="268"/>
    </row>
    <row r="26" spans="1:19" ht="12.75" outlineLevel="1">
      <c r="A26" s="229" t="s">
        <v>230</v>
      </c>
      <c r="B26" s="142">
        <v>1</v>
      </c>
      <c r="C26" s="142">
        <v>650</v>
      </c>
      <c r="D26" s="149">
        <f t="shared" si="4"/>
        <v>650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>
        <f t="shared" si="3"/>
        <v>650</v>
      </c>
      <c r="O26" s="149"/>
      <c r="P26" s="149"/>
      <c r="Q26" s="150">
        <f t="shared" si="5"/>
        <v>650</v>
      </c>
      <c r="S26" s="61"/>
    </row>
    <row r="27" spans="1:19" ht="12.75" outlineLevel="1">
      <c r="A27" s="204" t="s">
        <v>231</v>
      </c>
      <c r="B27" s="142">
        <v>2</v>
      </c>
      <c r="C27" s="142">
        <v>200</v>
      </c>
      <c r="D27" s="149">
        <f t="shared" si="4"/>
        <v>400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>
        <f t="shared" si="3"/>
        <v>400</v>
      </c>
      <c r="O27" s="149"/>
      <c r="P27" s="149"/>
      <c r="Q27" s="150">
        <f t="shared" si="5"/>
        <v>400</v>
      </c>
      <c r="S27" s="61"/>
    </row>
    <row r="28" spans="1:19" ht="12.75" outlineLevel="1">
      <c r="A28" s="204" t="s">
        <v>302</v>
      </c>
      <c r="B28" s="142">
        <v>1</v>
      </c>
      <c r="C28" s="142">
        <v>1000</v>
      </c>
      <c r="D28" s="149">
        <f>B28*C28</f>
        <v>1000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>
        <f t="shared" si="3"/>
        <v>1000</v>
      </c>
      <c r="O28" s="149"/>
      <c r="P28" s="149"/>
      <c r="Q28" s="150">
        <f>SUM(E28:P28)</f>
        <v>1000</v>
      </c>
      <c r="S28" s="61"/>
    </row>
    <row r="29" spans="1:19" ht="12.75" outlineLevel="1">
      <c r="A29" s="229" t="s">
        <v>232</v>
      </c>
      <c r="B29" s="142">
        <v>1</v>
      </c>
      <c r="C29" s="142">
        <v>200</v>
      </c>
      <c r="D29" s="149">
        <f t="shared" si="4"/>
        <v>200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>
        <f t="shared" si="3"/>
        <v>200</v>
      </c>
      <c r="O29" s="149"/>
      <c r="P29" s="149"/>
      <c r="Q29" s="150">
        <f t="shared" si="5"/>
        <v>200</v>
      </c>
      <c r="S29" s="61"/>
    </row>
    <row r="30" spans="1:19" ht="12.75" outlineLevel="1">
      <c r="A30" s="204" t="s">
        <v>233</v>
      </c>
      <c r="B30" s="142">
        <v>1</v>
      </c>
      <c r="C30" s="142">
        <v>150</v>
      </c>
      <c r="D30" s="149">
        <f t="shared" si="4"/>
        <v>150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>
        <f t="shared" si="3"/>
        <v>150</v>
      </c>
      <c r="O30" s="149"/>
      <c r="P30" s="149"/>
      <c r="Q30" s="150">
        <f t="shared" si="5"/>
        <v>150</v>
      </c>
      <c r="S30" s="61"/>
    </row>
    <row r="31" spans="1:17" ht="12.75">
      <c r="A31" s="138" t="s">
        <v>0</v>
      </c>
      <c r="B31" s="163"/>
      <c r="C31" s="163"/>
      <c r="D31" s="163">
        <f aca="true" t="shared" si="6" ref="D31:Q31">D5+D8+D11</f>
        <v>15851.537999999999</v>
      </c>
      <c r="E31" s="163">
        <f t="shared" si="6"/>
        <v>0</v>
      </c>
      <c r="F31" s="163">
        <f t="shared" si="6"/>
        <v>0</v>
      </c>
      <c r="G31" s="163">
        <f t="shared" si="6"/>
        <v>0</v>
      </c>
      <c r="H31" s="163">
        <f t="shared" si="6"/>
        <v>0</v>
      </c>
      <c r="I31" s="163">
        <f t="shared" si="6"/>
        <v>0</v>
      </c>
      <c r="J31" s="163">
        <f t="shared" si="6"/>
        <v>0</v>
      </c>
      <c r="K31" s="163">
        <f t="shared" si="6"/>
        <v>0</v>
      </c>
      <c r="L31" s="163">
        <f t="shared" si="6"/>
        <v>0</v>
      </c>
      <c r="M31" s="163">
        <f t="shared" si="6"/>
        <v>0</v>
      </c>
      <c r="N31" s="163">
        <f t="shared" si="6"/>
        <v>15851.537999999999</v>
      </c>
      <c r="O31" s="163">
        <f t="shared" si="6"/>
        <v>0</v>
      </c>
      <c r="P31" s="163">
        <f t="shared" si="6"/>
        <v>0</v>
      </c>
      <c r="Q31" s="163">
        <f t="shared" si="6"/>
        <v>15851.537999999999</v>
      </c>
    </row>
    <row r="32" ht="12.75">
      <c r="D32" s="198">
        <f>D31-Q31</f>
        <v>0</v>
      </c>
    </row>
    <row r="33" spans="2:4" ht="12.75">
      <c r="B33" s="144" t="s">
        <v>57</v>
      </c>
      <c r="C33" s="198" t="s">
        <v>40</v>
      </c>
      <c r="D33" s="205" t="s">
        <v>97</v>
      </c>
    </row>
    <row r="34" spans="1:12" ht="12.75">
      <c r="A34" s="71" t="s">
        <v>111</v>
      </c>
      <c r="B34" s="198">
        <f>Q5</f>
        <v>0</v>
      </c>
      <c r="C34" s="198">
        <f>B34/Исх!$C$20</f>
        <v>0</v>
      </c>
      <c r="D34" s="164">
        <f>B34/Исх!$C$5</f>
        <v>0</v>
      </c>
      <c r="L34" s="169"/>
    </row>
    <row r="35" spans="1:12" ht="12.75">
      <c r="A35" s="71" t="s">
        <v>105</v>
      </c>
      <c r="B35" s="198">
        <f>Q8</f>
        <v>0</v>
      </c>
      <c r="C35" s="198">
        <f>B35/Исх!$C$20</f>
        <v>0</v>
      </c>
      <c r="D35" s="164">
        <f>B35/Исх!$C$5</f>
        <v>0</v>
      </c>
      <c r="L35" s="169"/>
    </row>
    <row r="36" spans="1:12" ht="12.75">
      <c r="A36" s="71" t="s">
        <v>195</v>
      </c>
      <c r="B36" s="198">
        <f>Q11</f>
        <v>15851.537999999999</v>
      </c>
      <c r="C36" s="198">
        <f>B36/Исх!$C$20</f>
        <v>15851.537999999999</v>
      </c>
      <c r="D36" s="164">
        <f>B36/Исх!$C$5</f>
        <v>104.60299590867098</v>
      </c>
      <c r="L36" s="169"/>
    </row>
    <row r="37" spans="1:4" ht="12.75">
      <c r="A37" s="61" t="s">
        <v>86</v>
      </c>
      <c r="B37" s="206">
        <f>SUM(B34:B36)</f>
        <v>15851.537999999999</v>
      </c>
      <c r="C37" s="206">
        <f>SUM(C34:C36)</f>
        <v>15851.537999999999</v>
      </c>
      <c r="D37" s="287">
        <f>SUM(D34:D36)</f>
        <v>104.60299590867098</v>
      </c>
    </row>
  </sheetData>
  <sheetProtection/>
  <mergeCells count="5">
    <mergeCell ref="E3:P3"/>
    <mergeCell ref="A3:A4"/>
    <mergeCell ref="B3:B4"/>
    <mergeCell ref="C3:C4"/>
    <mergeCell ref="D3:D4"/>
  </mergeCells>
  <printOptions/>
  <pageMargins left="0.48" right="0.2362204724409449" top="0.69" bottom="0.2755905511811024" header="0.52" footer="0.1968503937007874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1" customWidth="1"/>
    <col min="2" max="2" width="9.875" style="71" hidden="1" customWidth="1"/>
    <col min="3" max="16384" width="9.125" style="71" customWidth="1"/>
  </cols>
  <sheetData>
    <row r="1" spans="1:6" ht="12.75">
      <c r="A1" s="61" t="s">
        <v>72</v>
      </c>
      <c r="B1" s="61"/>
      <c r="C1" s="61"/>
      <c r="D1" s="61"/>
      <c r="E1" s="61"/>
      <c r="F1" s="61"/>
    </row>
    <row r="2" spans="1:9" ht="12.75">
      <c r="A2" s="207"/>
      <c r="B2" s="207"/>
      <c r="C2" s="207"/>
      <c r="D2" s="207"/>
      <c r="E2" s="207"/>
      <c r="F2" s="207"/>
      <c r="I2" s="144" t="str">
        <f>Исх!$C$9</f>
        <v>тыс.тг.</v>
      </c>
    </row>
    <row r="3" spans="1:9" ht="12.75">
      <c r="A3" s="218" t="s">
        <v>8</v>
      </c>
      <c r="B3" s="227">
        <v>2013</v>
      </c>
      <c r="C3" s="227">
        <f aca="true" t="shared" si="0" ref="C3:I3">B3+1</f>
        <v>2014</v>
      </c>
      <c r="D3" s="227">
        <f t="shared" si="0"/>
        <v>2015</v>
      </c>
      <c r="E3" s="227">
        <f t="shared" si="0"/>
        <v>2016</v>
      </c>
      <c r="F3" s="227">
        <f t="shared" si="0"/>
        <v>2017</v>
      </c>
      <c r="G3" s="227">
        <f t="shared" si="0"/>
        <v>2018</v>
      </c>
      <c r="H3" s="227">
        <f t="shared" si="0"/>
        <v>2019</v>
      </c>
      <c r="I3" s="227">
        <f t="shared" si="0"/>
        <v>2020</v>
      </c>
    </row>
    <row r="4" spans="1:9" ht="12.75">
      <c r="A4" s="208" t="s">
        <v>478</v>
      </c>
      <c r="B4" s="209">
        <f>'2-ф2'!P5</f>
        <v>0</v>
      </c>
      <c r="C4" s="209">
        <f>'2-ф2'!AC5</f>
        <v>9032.100000000002</v>
      </c>
      <c r="D4" s="209">
        <f>'2-ф2'!AD5</f>
        <v>16632.000000000004</v>
      </c>
      <c r="E4" s="209">
        <f>'2-ф2'!AE5</f>
        <v>16632.000000000004</v>
      </c>
      <c r="F4" s="209">
        <f>'2-ф2'!AF5</f>
        <v>16632.000000000004</v>
      </c>
      <c r="G4" s="209">
        <f>'2-ф2'!AG5</f>
        <v>16632.000000000004</v>
      </c>
      <c r="H4" s="209">
        <f>'2-ф2'!AH5</f>
        <v>16632.000000000004</v>
      </c>
      <c r="I4" s="209">
        <f>'2-ф2'!AI5</f>
        <v>16632.000000000004</v>
      </c>
    </row>
    <row r="5" spans="1:9" ht="12.75">
      <c r="A5" s="208" t="s">
        <v>87</v>
      </c>
      <c r="B5" s="210">
        <f aca="true" t="shared" si="1" ref="B5:H5">B4-B6</f>
        <v>-1479.6219975</v>
      </c>
      <c r="C5" s="210">
        <f t="shared" si="1"/>
        <v>-280.214220293723</v>
      </c>
      <c r="D5" s="210">
        <f t="shared" si="1"/>
        <v>4391.32968863755</v>
      </c>
      <c r="E5" s="210">
        <f t="shared" si="1"/>
        <v>4588.1309361125495</v>
      </c>
      <c r="F5" s="210">
        <f t="shared" si="1"/>
        <v>4784.932183587549</v>
      </c>
      <c r="G5" s="210">
        <f t="shared" si="1"/>
        <v>4981.733431062548</v>
      </c>
      <c r="H5" s="210">
        <f t="shared" si="1"/>
        <v>5178.534678537548</v>
      </c>
      <c r="I5" s="210">
        <f>I4-I6</f>
        <v>5371.2359000234865</v>
      </c>
    </row>
    <row r="6" spans="1:9" ht="12.75">
      <c r="A6" s="208" t="s">
        <v>479</v>
      </c>
      <c r="B6" s="211">
        <f aca="true" t="shared" si="2" ref="B6:H6">SUM(B7:B8)</f>
        <v>1479.6219975</v>
      </c>
      <c r="C6" s="211">
        <f t="shared" si="2"/>
        <v>9312.314220293725</v>
      </c>
      <c r="D6" s="211">
        <f t="shared" si="2"/>
        <v>12240.670311362454</v>
      </c>
      <c r="E6" s="211">
        <f t="shared" si="2"/>
        <v>12043.869063887454</v>
      </c>
      <c r="F6" s="211">
        <f t="shared" si="2"/>
        <v>11847.067816412455</v>
      </c>
      <c r="G6" s="211">
        <f t="shared" si="2"/>
        <v>11650.266568937455</v>
      </c>
      <c r="H6" s="211">
        <f t="shared" si="2"/>
        <v>11453.465321462456</v>
      </c>
      <c r="I6" s="211">
        <f>SUM(I7:I8)</f>
        <v>11260.764099976517</v>
      </c>
    </row>
    <row r="7" spans="1:9" ht="12.75">
      <c r="A7" s="208" t="s">
        <v>88</v>
      </c>
      <c r="B7" s="209">
        <f>'2-ф2'!P17+'2-ф2'!P16+'2-ф2'!P15</f>
        <v>1479.6219975</v>
      </c>
      <c r="C7" s="209">
        <f>'2-ф2'!AC17+'2-ф2'!AC16+'2-ф2'!AC15</f>
        <v>6302.057140223436</v>
      </c>
      <c r="D7" s="209">
        <f>'2-ф2'!AD17+'2-ф2'!AD16+'2-ф2'!AD15</f>
        <v>6220.156151221874</v>
      </c>
      <c r="E7" s="209">
        <f>'2-ф2'!AE17+'2-ф2'!AE16+'2-ф2'!AE15</f>
        <v>6023.354903746875</v>
      </c>
      <c r="F7" s="209">
        <f>'2-ф2'!AF17+'2-ф2'!AF16+'2-ф2'!AF15</f>
        <v>5826.553656271875</v>
      </c>
      <c r="G7" s="209">
        <f>'2-ф2'!AG17+'2-ф2'!AG16+'2-ф2'!AG15</f>
        <v>5629.752408796876</v>
      </c>
      <c r="H7" s="209">
        <f>'2-ф2'!AH17+'2-ф2'!AH16+'2-ф2'!AH15</f>
        <v>5432.9511613218765</v>
      </c>
      <c r="I7" s="209">
        <f>'2-ф2'!AI17+'2-ф2'!AI16+'2-ф2'!AI15</f>
        <v>5240.249939835939</v>
      </c>
    </row>
    <row r="8" spans="1:9" ht="12.75">
      <c r="A8" s="208" t="s">
        <v>89</v>
      </c>
      <c r="B8" s="209">
        <f>'2-ф2'!P8</f>
        <v>0</v>
      </c>
      <c r="C8" s="209">
        <f>'2-ф2'!AC8</f>
        <v>3010.257080070289</v>
      </c>
      <c r="D8" s="209">
        <f>'2-ф2'!AD8</f>
        <v>6020.5141601405785</v>
      </c>
      <c r="E8" s="209">
        <f>'2-ф2'!AE8</f>
        <v>6020.5141601405785</v>
      </c>
      <c r="F8" s="209">
        <f>'2-ф2'!AF8</f>
        <v>6020.5141601405785</v>
      </c>
      <c r="G8" s="209">
        <f>'2-ф2'!AG8</f>
        <v>6020.5141601405785</v>
      </c>
      <c r="H8" s="209">
        <f>'2-ф2'!AH8</f>
        <v>6020.5141601405785</v>
      </c>
      <c r="I8" s="209">
        <f>'2-ф2'!AI8</f>
        <v>6020.5141601405785</v>
      </c>
    </row>
    <row r="9" spans="1:9" ht="12.75">
      <c r="A9" s="208" t="s">
        <v>90</v>
      </c>
      <c r="B9" s="211">
        <f aca="true" t="shared" si="3" ref="B9:H9">B4-B8</f>
        <v>0</v>
      </c>
      <c r="C9" s="211">
        <f t="shared" si="3"/>
        <v>6021.842919929713</v>
      </c>
      <c r="D9" s="211">
        <f t="shared" si="3"/>
        <v>10611.485839859426</v>
      </c>
      <c r="E9" s="211">
        <f t="shared" si="3"/>
        <v>10611.485839859426</v>
      </c>
      <c r="F9" s="211">
        <f t="shared" si="3"/>
        <v>10611.485839859426</v>
      </c>
      <c r="G9" s="211">
        <f t="shared" si="3"/>
        <v>10611.485839859426</v>
      </c>
      <c r="H9" s="211">
        <f t="shared" si="3"/>
        <v>10611.485839859426</v>
      </c>
      <c r="I9" s="211">
        <f>I4-I8</f>
        <v>10611.485839859426</v>
      </c>
    </row>
    <row r="10" spans="1:9" ht="12.75">
      <c r="A10" s="208" t="s">
        <v>73</v>
      </c>
      <c r="B10" s="212" t="e">
        <f aca="true" t="shared" si="4" ref="B10:H10">B9/B4</f>
        <v>#DIV/0!</v>
      </c>
      <c r="C10" s="212">
        <f t="shared" si="4"/>
        <v>0.6667157050884858</v>
      </c>
      <c r="D10" s="212">
        <f t="shared" si="4"/>
        <v>0.638016224137772</v>
      </c>
      <c r="E10" s="212">
        <f t="shared" si="4"/>
        <v>0.638016224137772</v>
      </c>
      <c r="F10" s="212">
        <f t="shared" si="4"/>
        <v>0.638016224137772</v>
      </c>
      <c r="G10" s="212">
        <f t="shared" si="4"/>
        <v>0.638016224137772</v>
      </c>
      <c r="H10" s="212">
        <f t="shared" si="4"/>
        <v>0.638016224137772</v>
      </c>
      <c r="I10" s="212">
        <f>I9/I4</f>
        <v>0.638016224137772</v>
      </c>
    </row>
    <row r="11" spans="1:9" ht="12.75">
      <c r="A11" s="208" t="s">
        <v>91</v>
      </c>
      <c r="B11" s="211" t="e">
        <f aca="true" t="shared" si="5" ref="B11:H11">B7/B10</f>
        <v>#DIV/0!</v>
      </c>
      <c r="C11" s="211">
        <f t="shared" si="5"/>
        <v>9452.390414872609</v>
      </c>
      <c r="D11" s="211">
        <f t="shared" si="5"/>
        <v>9749.213132672165</v>
      </c>
      <c r="E11" s="211">
        <f t="shared" si="5"/>
        <v>9440.755071529658</v>
      </c>
      <c r="F11" s="211">
        <f t="shared" si="5"/>
        <v>9132.297010387152</v>
      </c>
      <c r="G11" s="211">
        <f t="shared" si="5"/>
        <v>8823.838949244648</v>
      </c>
      <c r="H11" s="211">
        <f t="shared" si="5"/>
        <v>8515.380888102141</v>
      </c>
      <c r="I11" s="211">
        <f>I7/I10</f>
        <v>8213.349036566771</v>
      </c>
    </row>
    <row r="12" spans="1:9" ht="25.5">
      <c r="A12" s="213" t="s">
        <v>74</v>
      </c>
      <c r="B12" s="214" t="e">
        <f aca="true" t="shared" si="6" ref="B12:H12">(B4-B11)/B4</f>
        <v>#DIV/0!</v>
      </c>
      <c r="C12" s="214">
        <f t="shared" si="6"/>
        <v>-0.046532967402110964</v>
      </c>
      <c r="D12" s="214">
        <f t="shared" si="6"/>
        <v>0.41382797422606044</v>
      </c>
      <c r="E12" s="214">
        <f t="shared" si="6"/>
        <v>0.4323740336983131</v>
      </c>
      <c r="F12" s="214">
        <f t="shared" si="6"/>
        <v>0.45092009317056575</v>
      </c>
      <c r="G12" s="214">
        <f t="shared" si="6"/>
        <v>0.4694661526428183</v>
      </c>
      <c r="H12" s="214">
        <f t="shared" si="6"/>
        <v>0.48801221211507095</v>
      </c>
      <c r="I12" s="214">
        <f>(I4-I11)/I4</f>
        <v>0.5061718953483183</v>
      </c>
    </row>
    <row r="13" spans="1:9" ht="12.75">
      <c r="A13" s="208" t="s">
        <v>103</v>
      </c>
      <c r="B13" s="215" t="e">
        <f aca="true" t="shared" si="7" ref="B13:H13">100%-B12</f>
        <v>#DIV/0!</v>
      </c>
      <c r="C13" s="215">
        <f t="shared" si="7"/>
        <v>1.0465329674021109</v>
      </c>
      <c r="D13" s="215">
        <f t="shared" si="7"/>
        <v>0.5861720257739396</v>
      </c>
      <c r="E13" s="215">
        <f t="shared" si="7"/>
        <v>0.5676259663016869</v>
      </c>
      <c r="F13" s="215">
        <f t="shared" si="7"/>
        <v>0.5490799068294343</v>
      </c>
      <c r="G13" s="215">
        <f t="shared" si="7"/>
        <v>0.5305338473571817</v>
      </c>
      <c r="H13" s="215">
        <f t="shared" si="7"/>
        <v>0.511987787884929</v>
      </c>
      <c r="I13" s="215">
        <f>100%-I12</f>
        <v>0.4938281046516817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71"/>
  <sheetViews>
    <sheetView showGridLines="0" zoomScalePageLayoutView="0" workbookViewId="0" topLeftCell="A1">
      <pane ySplit="4" topLeftCell="A17" activePane="bottomLeft" state="frozen"/>
      <selection pane="topLeft" activeCell="A34" sqref="A34"/>
      <selection pane="bottomLeft" activeCell="F32" sqref="F32"/>
    </sheetView>
  </sheetViews>
  <sheetFormatPr defaultColWidth="9.00390625" defaultRowHeight="12.75"/>
  <cols>
    <col min="1" max="1" width="48.75390625" style="243" customWidth="1"/>
    <col min="2" max="2" width="16.00390625" style="244" customWidth="1"/>
    <col min="3" max="3" width="12.375" style="245" customWidth="1"/>
    <col min="4" max="9" width="8.25390625" style="245" customWidth="1"/>
    <col min="10" max="15" width="6.875" style="245" customWidth="1"/>
    <col min="16" max="16384" width="9.125" style="245" customWidth="1"/>
  </cols>
  <sheetData>
    <row r="1" ht="13.5" customHeight="1">
      <c r="A1" s="260" t="s">
        <v>286</v>
      </c>
    </row>
    <row r="2" ht="13.5" customHeight="1">
      <c r="A2" s="260" t="s">
        <v>450</v>
      </c>
    </row>
    <row r="3" ht="13.5" customHeight="1"/>
    <row r="4" spans="1:3" ht="13.5" customHeight="1">
      <c r="A4" s="246" t="s">
        <v>216</v>
      </c>
      <c r="B4" s="247" t="s">
        <v>243</v>
      </c>
      <c r="C4" s="247" t="s">
        <v>172</v>
      </c>
    </row>
    <row r="5" spans="1:3" ht="13.5" customHeight="1">
      <c r="A5" s="248" t="s">
        <v>171</v>
      </c>
      <c r="B5" s="249">
        <f>'1-Ф3'!B26</f>
        <v>15851.537999999999</v>
      </c>
      <c r="C5" s="255">
        <f>B5/$B$7</f>
        <v>0.5564656212186492</v>
      </c>
    </row>
    <row r="6" spans="1:3" ht="13.5" customHeight="1">
      <c r="A6" s="248" t="s">
        <v>170</v>
      </c>
      <c r="B6" s="249">
        <f>'1-Ф3'!B32-'1-Ф3'!B26</f>
        <v>12634.566793473912</v>
      </c>
      <c r="C6" s="255">
        <f>B6/$B$7</f>
        <v>0.4435343787813509</v>
      </c>
    </row>
    <row r="7" spans="1:3" ht="13.5" customHeight="1">
      <c r="A7" s="250" t="s">
        <v>86</v>
      </c>
      <c r="B7" s="251">
        <f>SUM(B5:B6)</f>
        <v>28486.10479347391</v>
      </c>
      <c r="C7" s="256">
        <f>SUM(C5:C6)</f>
        <v>1</v>
      </c>
    </row>
    <row r="8" spans="1:2" ht="13.5" customHeight="1">
      <c r="A8" s="252"/>
      <c r="B8" s="253"/>
    </row>
    <row r="9" spans="1:4" ht="13.5" customHeight="1">
      <c r="A9" s="246" t="s">
        <v>217</v>
      </c>
      <c r="B9" s="247" t="s">
        <v>158</v>
      </c>
      <c r="C9" s="247" t="s">
        <v>8</v>
      </c>
      <c r="D9" s="247" t="s">
        <v>172</v>
      </c>
    </row>
    <row r="10" spans="1:7" ht="13.5" customHeight="1">
      <c r="A10" s="248" t="s">
        <v>219</v>
      </c>
      <c r="B10" s="249">
        <f>'1-Ф3'!B33</f>
        <v>12634.566793473912</v>
      </c>
      <c r="C10" s="254" t="s">
        <v>451</v>
      </c>
      <c r="D10" s="255">
        <f>B10/$B$12</f>
        <v>0.4435343787813509</v>
      </c>
      <c r="F10" s="266"/>
      <c r="G10" s="266"/>
    </row>
    <row r="11" spans="1:7" ht="12.75">
      <c r="A11" s="248" t="s">
        <v>104</v>
      </c>
      <c r="B11" s="249">
        <f>'1-Ф3'!B34</f>
        <v>15851.537999999999</v>
      </c>
      <c r="C11" s="265" t="s">
        <v>452</v>
      </c>
      <c r="D11" s="255">
        <f>B11/$B$12</f>
        <v>0.5564656212186492</v>
      </c>
      <c r="F11" s="266"/>
      <c r="G11" s="266"/>
    </row>
    <row r="12" spans="1:4" ht="12.75">
      <c r="A12" s="250" t="s">
        <v>86</v>
      </c>
      <c r="B12" s="251">
        <f>SUM(B10:B11)</f>
        <v>28486.10479347391</v>
      </c>
      <c r="C12" s="251"/>
      <c r="D12" s="256">
        <f>SUM(D10:D11)</f>
        <v>1</v>
      </c>
    </row>
    <row r="13" spans="1:2" ht="12.75">
      <c r="A13" s="257"/>
      <c r="B13" s="258"/>
    </row>
    <row r="14" spans="1:2" ht="12.75">
      <c r="A14" s="246" t="s">
        <v>152</v>
      </c>
      <c r="B14" s="247" t="s">
        <v>7</v>
      </c>
    </row>
    <row r="15" spans="1:2" ht="12.75">
      <c r="A15" s="248" t="s">
        <v>173</v>
      </c>
      <c r="B15" s="249" t="s">
        <v>174</v>
      </c>
    </row>
    <row r="16" spans="1:2" ht="12.75">
      <c r="A16" s="248" t="s">
        <v>175</v>
      </c>
      <c r="B16" s="255">
        <f>Исх!C54</f>
        <v>0.07</v>
      </c>
    </row>
    <row r="17" spans="1:2" ht="12.75">
      <c r="A17" s="248" t="s">
        <v>212</v>
      </c>
      <c r="B17" s="259">
        <f>Исх!C55</f>
        <v>7</v>
      </c>
    </row>
    <row r="18" spans="1:2" ht="12.75">
      <c r="A18" s="248" t="s">
        <v>176</v>
      </c>
      <c r="B18" s="249" t="s">
        <v>177</v>
      </c>
    </row>
    <row r="19" spans="1:2" ht="12.75">
      <c r="A19" s="248" t="s">
        <v>179</v>
      </c>
      <c r="B19" s="249">
        <f>Исх!C56</f>
        <v>12</v>
      </c>
    </row>
    <row r="20" spans="1:2" ht="12.75">
      <c r="A20" s="248" t="s">
        <v>180</v>
      </c>
      <c r="B20" s="249">
        <f>Исх!C57</f>
        <v>12</v>
      </c>
    </row>
    <row r="21" spans="1:2" ht="12.75">
      <c r="A21" s="248" t="s">
        <v>480</v>
      </c>
      <c r="B21" s="249" t="s">
        <v>178</v>
      </c>
    </row>
    <row r="23" spans="1:9" ht="12.75">
      <c r="A23" s="263" t="s">
        <v>220</v>
      </c>
      <c r="B23" s="247">
        <v>2013</v>
      </c>
      <c r="C23" s="247">
        <v>2014</v>
      </c>
      <c r="D23" s="247">
        <v>2015</v>
      </c>
      <c r="E23" s="247">
        <v>2016</v>
      </c>
      <c r="F23" s="247">
        <v>2017</v>
      </c>
      <c r="G23" s="247">
        <v>2018</v>
      </c>
      <c r="H23" s="247">
        <v>2019</v>
      </c>
      <c r="I23" s="247">
        <v>2020</v>
      </c>
    </row>
    <row r="24" spans="1:9" ht="12.75">
      <c r="A24" s="280" t="s">
        <v>287</v>
      </c>
      <c r="B24" s="249">
        <f>'2-ф2'!P5</f>
        <v>0</v>
      </c>
      <c r="C24" s="249">
        <f>'2-ф2'!AC5</f>
        <v>9032.100000000002</v>
      </c>
      <c r="D24" s="249">
        <f>'2-ф2'!AD5</f>
        <v>16632.000000000004</v>
      </c>
      <c r="E24" s="249">
        <f>'2-ф2'!AE5</f>
        <v>16632.000000000004</v>
      </c>
      <c r="F24" s="249">
        <f>'2-ф2'!AF5</f>
        <v>16632.000000000004</v>
      </c>
      <c r="G24" s="249">
        <f>'2-ф2'!AG5</f>
        <v>16632.000000000004</v>
      </c>
      <c r="H24" s="249">
        <f>'2-ф2'!AH5</f>
        <v>16632.000000000004</v>
      </c>
      <c r="I24" s="249">
        <f>'2-ф2'!AI5</f>
        <v>16632.000000000004</v>
      </c>
    </row>
    <row r="25" spans="1:9" ht="12.75">
      <c r="A25" s="280" t="s">
        <v>288</v>
      </c>
      <c r="B25" s="249">
        <f>'2-ф2'!P14</f>
        <v>0</v>
      </c>
      <c r="C25" s="249">
        <f>'2-ф2'!AC14</f>
        <v>6021.842919929713</v>
      </c>
      <c r="D25" s="249">
        <f>'2-ф2'!AD14</f>
        <v>10611.485839859426</v>
      </c>
      <c r="E25" s="249">
        <f>'2-ф2'!AE14</f>
        <v>10611.485839859426</v>
      </c>
      <c r="F25" s="249">
        <f>'2-ф2'!AF14</f>
        <v>10611.485839859426</v>
      </c>
      <c r="G25" s="249">
        <f>'2-ф2'!AG14</f>
        <v>10611.485839859426</v>
      </c>
      <c r="H25" s="249">
        <f>'2-ф2'!AH14</f>
        <v>10611.485839859426</v>
      </c>
      <c r="I25" s="249">
        <f>'2-ф2'!AI14</f>
        <v>10611.485839859426</v>
      </c>
    </row>
    <row r="26" spans="1:9" ht="12.75">
      <c r="A26" s="280" t="s">
        <v>289</v>
      </c>
      <c r="B26" s="249">
        <f>'2-ф2'!P20</f>
        <v>-1481.8803308333331</v>
      </c>
      <c r="C26" s="249">
        <f>'2-ф2'!AC20</f>
        <v>-289.2475536270572</v>
      </c>
      <c r="D26" s="249">
        <f>'2-ф2'!AD20</f>
        <v>4382.296355304216</v>
      </c>
      <c r="E26" s="249">
        <f>'2-ф2'!AE20</f>
        <v>4579.097602779217</v>
      </c>
      <c r="F26" s="249">
        <f>'2-ф2'!AF20</f>
        <v>4775.898850254216</v>
      </c>
      <c r="G26" s="249">
        <f>'2-ф2'!AG20</f>
        <v>4972.7000977292155</v>
      </c>
      <c r="H26" s="249">
        <f>'2-ф2'!AH20</f>
        <v>5169.501345204216</v>
      </c>
      <c r="I26" s="249">
        <f>'2-ф2'!AI20</f>
        <v>5362.202566690153</v>
      </c>
    </row>
    <row r="27" spans="1:9" ht="12.75">
      <c r="A27" s="280" t="s">
        <v>290</v>
      </c>
      <c r="B27" s="255"/>
      <c r="C27" s="255">
        <f aca="true" t="shared" si="0" ref="C27:I27">C26/C24</f>
        <v>-0.0320243967213668</v>
      </c>
      <c r="D27" s="255">
        <f t="shared" si="0"/>
        <v>0.2634858318484978</v>
      </c>
      <c r="E27" s="255">
        <f t="shared" si="0"/>
        <v>0.275318518685619</v>
      </c>
      <c r="F27" s="255">
        <f t="shared" si="0"/>
        <v>0.2871512055227402</v>
      </c>
      <c r="G27" s="255">
        <f t="shared" si="0"/>
        <v>0.2989838923598614</v>
      </c>
      <c r="H27" s="255">
        <f t="shared" si="0"/>
        <v>0.3108165791969826</v>
      </c>
      <c r="I27" s="255">
        <f t="shared" si="0"/>
        <v>0.3224027517249971</v>
      </c>
    </row>
    <row r="28" spans="1:9" ht="12.75">
      <c r="A28" s="281" t="s">
        <v>291</v>
      </c>
      <c r="B28" s="249">
        <f>'1-Ф3'!P39</f>
        <v>0</v>
      </c>
      <c r="C28" s="249">
        <f>'1-Ф3'!AC39</f>
        <v>6854.186013942262</v>
      </c>
      <c r="D28" s="249">
        <f>'1-Ф3'!AD39</f>
        <v>3552.2922128042173</v>
      </c>
      <c r="E28" s="249">
        <f>'1-Ф3'!AE39</f>
        <v>3749.0934602792167</v>
      </c>
      <c r="F28" s="249">
        <f>'1-Ф3'!AF39</f>
        <v>3945.894707754216</v>
      </c>
      <c r="G28" s="249">
        <f>'1-Ф3'!AG39</f>
        <v>4142.6959552292155</v>
      </c>
      <c r="H28" s="249">
        <f>'1-Ф3'!AH39</f>
        <v>4339.497202704217</v>
      </c>
      <c r="I28" s="249">
        <f>'1-Ф3'!AI39</f>
        <v>5235.060022315154</v>
      </c>
    </row>
    <row r="30" spans="1:3" ht="12.75">
      <c r="A30" s="263" t="s">
        <v>453</v>
      </c>
      <c r="B30" s="318" t="s">
        <v>245</v>
      </c>
      <c r="C30" s="291"/>
    </row>
    <row r="31" spans="1:3" ht="12.75">
      <c r="A31" s="248" t="s">
        <v>181</v>
      </c>
      <c r="B31" s="255">
        <f>'1-Ф3'!AQ53</f>
        <v>0.20751988664128262</v>
      </c>
      <c r="C31" s="291"/>
    </row>
    <row r="32" spans="1:3" ht="12.75">
      <c r="A32" s="248" t="s">
        <v>182</v>
      </c>
      <c r="B32" s="249">
        <f>'1-Ф3'!AQ51</f>
        <v>8189.945207719022</v>
      </c>
      <c r="C32" s="291"/>
    </row>
    <row r="33" spans="1:3" ht="12.75">
      <c r="A33" s="248" t="s">
        <v>454</v>
      </c>
      <c r="B33" s="259">
        <f>'1-Ф3'!AQ52</f>
        <v>1.3282526463194546</v>
      </c>
      <c r="C33" s="291"/>
    </row>
    <row r="34" spans="1:3" ht="12.75">
      <c r="A34" s="248" t="s">
        <v>183</v>
      </c>
      <c r="B34" s="259">
        <f>'1-Ф3'!B54</f>
        <v>3.7869751045523254</v>
      </c>
      <c r="C34" s="291"/>
    </row>
    <row r="35" spans="1:3" ht="12.75">
      <c r="A35" s="248" t="s">
        <v>184</v>
      </c>
      <c r="B35" s="259">
        <f>'1-Ф3'!B55</f>
        <v>4.776225506451473</v>
      </c>
      <c r="C35" s="291"/>
    </row>
    <row r="37" ht="12.75">
      <c r="A37" s="260" t="s">
        <v>477</v>
      </c>
    </row>
    <row r="38" spans="1:2" ht="12.75">
      <c r="A38" s="319" t="s">
        <v>26</v>
      </c>
      <c r="B38" s="247" t="s">
        <v>7</v>
      </c>
    </row>
    <row r="39" spans="1:2" ht="12.75">
      <c r="A39" s="248" t="s">
        <v>455</v>
      </c>
      <c r="B39" s="249">
        <f>Исх!C24</f>
        <v>400</v>
      </c>
    </row>
    <row r="40" spans="1:2" ht="12.75">
      <c r="A40" s="284" t="s">
        <v>294</v>
      </c>
      <c r="B40" s="285"/>
    </row>
    <row r="41" spans="1:2" ht="12.75">
      <c r="A41" s="282" t="str">
        <f>'2-ф2'!A6</f>
        <v>Пшеница</v>
      </c>
      <c r="B41" s="283">
        <f>Исх!$C$25</f>
        <v>308</v>
      </c>
    </row>
    <row r="42" spans="1:2" ht="12.75">
      <c r="A42" s="248" t="str">
        <f>'2-ф2'!A7</f>
        <v>Солома</v>
      </c>
      <c r="B42" s="283">
        <f>Исх!C25</f>
        <v>308</v>
      </c>
    </row>
    <row r="43" spans="1:2" ht="12.75">
      <c r="A43" s="284" t="s">
        <v>275</v>
      </c>
      <c r="B43" s="285"/>
    </row>
    <row r="44" spans="1:2" ht="12.75">
      <c r="A44" s="248" t="str">
        <f>A41</f>
        <v>Пшеница</v>
      </c>
      <c r="B44" s="320">
        <f>Исх!C28</f>
        <v>15.3</v>
      </c>
    </row>
    <row r="45" spans="1:2" ht="12.75">
      <c r="A45" s="248" t="str">
        <f>A42</f>
        <v>Солома</v>
      </c>
      <c r="B45" s="320">
        <f>Исх!C29</f>
        <v>5</v>
      </c>
    </row>
    <row r="46" spans="1:2" ht="12.75">
      <c r="A46" s="284" t="s">
        <v>295</v>
      </c>
      <c r="B46" s="285"/>
    </row>
    <row r="47" spans="1:2" ht="12.75">
      <c r="A47" s="282" t="str">
        <f>A44</f>
        <v>Пшеница</v>
      </c>
      <c r="B47" s="283">
        <f>Производство!AC6</f>
        <v>471.24000000000007</v>
      </c>
    </row>
    <row r="48" spans="1:2" ht="12.75">
      <c r="A48" s="282" t="str">
        <f>A45</f>
        <v>Солома</v>
      </c>
      <c r="B48" s="283">
        <f>Производство!AC7</f>
        <v>154</v>
      </c>
    </row>
    <row r="50" ht="12.75">
      <c r="A50" s="260" t="s">
        <v>185</v>
      </c>
    </row>
    <row r="51" spans="1:15" ht="12.75">
      <c r="A51" s="361" t="s">
        <v>296</v>
      </c>
      <c r="B51" s="363" t="s">
        <v>243</v>
      </c>
      <c r="C51" s="364"/>
      <c r="D51" s="364"/>
      <c r="E51" s="365"/>
      <c r="F51" s="363" t="s">
        <v>244</v>
      </c>
      <c r="G51" s="364"/>
      <c r="H51" s="364"/>
      <c r="I51" s="364"/>
      <c r="J51" s="364"/>
      <c r="K51" s="364"/>
      <c r="L51" s="364"/>
      <c r="M51" s="364"/>
      <c r="N51" s="364"/>
      <c r="O51" s="365"/>
    </row>
    <row r="52" spans="1:15" ht="12.75">
      <c r="A52" s="362"/>
      <c r="B52" s="247" t="s">
        <v>461</v>
      </c>
      <c r="C52" s="247" t="s">
        <v>462</v>
      </c>
      <c r="D52" s="247" t="s">
        <v>463</v>
      </c>
      <c r="E52" s="247" t="s">
        <v>464</v>
      </c>
      <c r="F52" s="247" t="s">
        <v>465</v>
      </c>
      <c r="G52" s="247" t="s">
        <v>466</v>
      </c>
      <c r="H52" s="247" t="s">
        <v>467</v>
      </c>
      <c r="I52" s="247" t="s">
        <v>468</v>
      </c>
      <c r="J52" s="247" t="s">
        <v>200</v>
      </c>
      <c r="K52" s="247" t="s">
        <v>469</v>
      </c>
      <c r="L52" s="247" t="s">
        <v>470</v>
      </c>
      <c r="M52" s="247" t="s">
        <v>471</v>
      </c>
      <c r="N52" s="247" t="s">
        <v>461</v>
      </c>
      <c r="O52" s="247" t="s">
        <v>462</v>
      </c>
    </row>
    <row r="53" spans="1:15" ht="12.75">
      <c r="A53" s="261" t="s">
        <v>297</v>
      </c>
      <c r="B53" s="262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</row>
    <row r="54" spans="1:15" ht="12.75">
      <c r="A54" s="248" t="s">
        <v>186</v>
      </c>
      <c r="B54" s="262"/>
      <c r="C54" s="262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</row>
    <row r="55" spans="1:15" ht="12.75">
      <c r="A55" s="248" t="s">
        <v>187</v>
      </c>
      <c r="B55" s="249"/>
      <c r="C55" s="262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</row>
    <row r="56" spans="1:15" ht="12.75">
      <c r="A56" s="248" t="s">
        <v>298</v>
      </c>
      <c r="B56" s="249"/>
      <c r="C56" s="262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</row>
    <row r="57" spans="1:15" ht="12.75">
      <c r="A57" s="248" t="s">
        <v>299</v>
      </c>
      <c r="B57" s="249"/>
      <c r="C57" s="262"/>
      <c r="D57" s="262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</row>
    <row r="58" spans="1:15" ht="12.75">
      <c r="A58" s="248" t="s">
        <v>472</v>
      </c>
      <c r="B58" s="249"/>
      <c r="C58" s="262"/>
      <c r="D58" s="262"/>
      <c r="E58" s="262"/>
      <c r="F58" s="262"/>
      <c r="G58" s="262"/>
      <c r="H58" s="262"/>
      <c r="I58" s="262"/>
      <c r="J58" s="249"/>
      <c r="K58" s="249"/>
      <c r="L58" s="249"/>
      <c r="M58" s="249"/>
      <c r="N58" s="249"/>
      <c r="O58" s="249"/>
    </row>
    <row r="59" spans="1:15" ht="12.75">
      <c r="A59" s="248" t="s">
        <v>457</v>
      </c>
      <c r="B59" s="249"/>
      <c r="C59" s="249"/>
      <c r="D59" s="249"/>
      <c r="E59" s="249"/>
      <c r="F59" s="249"/>
      <c r="G59" s="249"/>
      <c r="H59" s="249"/>
      <c r="I59" s="249"/>
      <c r="J59" s="262"/>
      <c r="K59" s="249"/>
      <c r="L59" s="249"/>
      <c r="M59" s="249"/>
      <c r="N59" s="249"/>
      <c r="O59" s="249"/>
    </row>
    <row r="60" spans="1:15" ht="12.75">
      <c r="A60" s="248" t="s">
        <v>458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62"/>
      <c r="L60" s="262"/>
      <c r="M60" s="262"/>
      <c r="N60" s="249"/>
      <c r="O60" s="249"/>
    </row>
    <row r="61" spans="1:15" ht="12.75">
      <c r="A61" s="248" t="s">
        <v>459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62"/>
      <c r="O61" s="249"/>
    </row>
    <row r="62" spans="1:15" ht="12.75">
      <c r="A62" s="248" t="s">
        <v>460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62"/>
    </row>
    <row r="64" ht="12.75">
      <c r="A64" s="260" t="s">
        <v>456</v>
      </c>
    </row>
    <row r="66" spans="1:2" ht="12.75">
      <c r="A66" s="263" t="s">
        <v>193</v>
      </c>
      <c r="B66" s="264" t="s">
        <v>194</v>
      </c>
    </row>
    <row r="67" spans="1:2" ht="12.75" hidden="1">
      <c r="A67" s="248" t="s">
        <v>38</v>
      </c>
      <c r="B67" s="249">
        <f>'1-Ф3'!B22</f>
        <v>0</v>
      </c>
    </row>
    <row r="68" spans="1:2" ht="12.75">
      <c r="A68" s="248" t="s">
        <v>238</v>
      </c>
      <c r="B68" s="249">
        <f>'1-Ф3'!B21</f>
        <v>65.49166666666667</v>
      </c>
    </row>
    <row r="69" spans="1:2" ht="12.75">
      <c r="A69" s="248" t="s">
        <v>192</v>
      </c>
      <c r="B69" s="249">
        <f>(ФОТ!F23+ФОТ!G23+ФОТ!H23+ФОТ!I23)*12*7</f>
        <v>2159.8920000000003</v>
      </c>
    </row>
    <row r="70" spans="1:2" ht="12.75">
      <c r="A70" s="248" t="s">
        <v>265</v>
      </c>
      <c r="B70" s="249">
        <f>SUM(Пост!C20:I20)*12</f>
        <v>84</v>
      </c>
    </row>
    <row r="71" spans="1:2" ht="12.75">
      <c r="A71" s="250" t="s">
        <v>0</v>
      </c>
      <c r="B71" s="251">
        <f>SUM(B67:B70)</f>
        <v>2309.383666666667</v>
      </c>
    </row>
  </sheetData>
  <sheetProtection/>
  <mergeCells count="3">
    <mergeCell ref="A51:A52"/>
    <mergeCell ref="B51:E51"/>
    <mergeCell ref="F51:O51"/>
  </mergeCells>
  <printOptions/>
  <pageMargins left="0.31" right="0.2" top="0.51" bottom="1.31" header="0.3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V36"/>
  <sheetViews>
    <sheetView showGridLines="0" showZeros="0" tabSelected="1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M15" sqref="AM15"/>
    </sheetView>
  </sheetViews>
  <sheetFormatPr defaultColWidth="10.125" defaultRowHeight="12.75" outlineLevelCol="1"/>
  <cols>
    <col min="1" max="1" width="38.125" style="81" customWidth="1"/>
    <col min="2" max="2" width="11.375" style="81" customWidth="1"/>
    <col min="3" max="3" width="3.875" style="81" customWidth="1"/>
    <col min="4" max="4" width="7.125" style="81" hidden="1" customWidth="1" outlineLevel="1"/>
    <col min="5" max="5" width="8.25390625" style="81" hidden="1" customWidth="1" outlineLevel="1"/>
    <col min="6" max="11" width="7.00390625" style="81" hidden="1" customWidth="1" outlineLevel="1"/>
    <col min="12" max="12" width="8.75390625" style="81" hidden="1" customWidth="1" outlineLevel="1"/>
    <col min="13" max="13" width="7.875" style="81" hidden="1" customWidth="1" outlineLevel="1"/>
    <col min="14" max="15" width="8.625" style="81" hidden="1" customWidth="1" outlineLevel="1"/>
    <col min="16" max="16" width="9.125" style="81" customWidth="1" collapsed="1"/>
    <col min="17" max="28" width="8.375" style="81" hidden="1" customWidth="1" outlineLevel="1"/>
    <col min="29" max="29" width="9.125" style="81" customWidth="1" collapsed="1"/>
    <col min="30" max="30" width="9.125" style="81" customWidth="1"/>
    <col min="31" max="35" width="8.875" style="81" customWidth="1"/>
    <col min="36" max="16384" width="10.125" style="81" customWidth="1"/>
  </cols>
  <sheetData>
    <row r="1" spans="1:3" ht="21" customHeight="1">
      <c r="A1" s="61" t="s">
        <v>112</v>
      </c>
      <c r="B1" s="80"/>
      <c r="C1" s="80"/>
    </row>
    <row r="2" spans="1:3" ht="17.25" customHeight="1">
      <c r="A2" s="61"/>
      <c r="B2" s="12" t="str">
        <f>Исх!$C$9</f>
        <v>тыс.тг.</v>
      </c>
      <c r="C2" s="82"/>
    </row>
    <row r="3" spans="1:35" ht="12.75" customHeight="1">
      <c r="A3" s="328" t="s">
        <v>2</v>
      </c>
      <c r="B3" s="332" t="s">
        <v>86</v>
      </c>
      <c r="C3" s="86"/>
      <c r="D3" s="327">
        <v>2013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>
        <v>2014</v>
      </c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87">
        <f>Q3+1</f>
        <v>2015</v>
      </c>
      <c r="AE3" s="87">
        <f>AD3+1</f>
        <v>2016</v>
      </c>
      <c r="AF3" s="87">
        <f>AE3+1</f>
        <v>2017</v>
      </c>
      <c r="AG3" s="87">
        <f>AF3+1</f>
        <v>2018</v>
      </c>
      <c r="AH3" s="87">
        <f>AG3+1</f>
        <v>2019</v>
      </c>
      <c r="AI3" s="87">
        <f>AH3+1</f>
        <v>2020</v>
      </c>
    </row>
    <row r="4" spans="1:35" ht="12.75">
      <c r="A4" s="329"/>
      <c r="B4" s="332"/>
      <c r="C4" s="88"/>
      <c r="D4" s="89">
        <v>1</v>
      </c>
      <c r="E4" s="89">
        <f aca="true" t="shared" si="0" ref="E4:O4">D4+1</f>
        <v>2</v>
      </c>
      <c r="F4" s="89">
        <f t="shared" si="0"/>
        <v>3</v>
      </c>
      <c r="G4" s="89">
        <f t="shared" si="0"/>
        <v>4</v>
      </c>
      <c r="H4" s="89">
        <f t="shared" si="0"/>
        <v>5</v>
      </c>
      <c r="I4" s="89">
        <f t="shared" si="0"/>
        <v>6</v>
      </c>
      <c r="J4" s="89">
        <f t="shared" si="0"/>
        <v>7</v>
      </c>
      <c r="K4" s="89">
        <f t="shared" si="0"/>
        <v>8</v>
      </c>
      <c r="L4" s="89">
        <f t="shared" si="0"/>
        <v>9</v>
      </c>
      <c r="M4" s="89">
        <f t="shared" si="0"/>
        <v>10</v>
      </c>
      <c r="N4" s="89">
        <f t="shared" si="0"/>
        <v>11</v>
      </c>
      <c r="O4" s="89">
        <f t="shared" si="0"/>
        <v>12</v>
      </c>
      <c r="P4" s="85" t="s">
        <v>0</v>
      </c>
      <c r="Q4" s="89">
        <v>1</v>
      </c>
      <c r="R4" s="89">
        <f aca="true" t="shared" si="1" ref="R4:AB4">Q4+1</f>
        <v>2</v>
      </c>
      <c r="S4" s="89">
        <f t="shared" si="1"/>
        <v>3</v>
      </c>
      <c r="T4" s="89">
        <f t="shared" si="1"/>
        <v>4</v>
      </c>
      <c r="U4" s="89">
        <f t="shared" si="1"/>
        <v>5</v>
      </c>
      <c r="V4" s="89">
        <f t="shared" si="1"/>
        <v>6</v>
      </c>
      <c r="W4" s="89">
        <f t="shared" si="1"/>
        <v>7</v>
      </c>
      <c r="X4" s="89">
        <f t="shared" si="1"/>
        <v>8</v>
      </c>
      <c r="Y4" s="89">
        <f t="shared" si="1"/>
        <v>9</v>
      </c>
      <c r="Z4" s="89">
        <f t="shared" si="1"/>
        <v>10</v>
      </c>
      <c r="AA4" s="89">
        <f t="shared" si="1"/>
        <v>11</v>
      </c>
      <c r="AB4" s="89">
        <f t="shared" si="1"/>
        <v>12</v>
      </c>
      <c r="AC4" s="85" t="s">
        <v>0</v>
      </c>
      <c r="AD4" s="85" t="s">
        <v>113</v>
      </c>
      <c r="AE4" s="85" t="s">
        <v>113</v>
      </c>
      <c r="AF4" s="85" t="s">
        <v>113</v>
      </c>
      <c r="AG4" s="85" t="s">
        <v>113</v>
      </c>
      <c r="AH4" s="85" t="s">
        <v>113</v>
      </c>
      <c r="AI4" s="85" t="s">
        <v>113</v>
      </c>
    </row>
    <row r="5" spans="1:36" s="82" customFormat="1" ht="15" customHeight="1">
      <c r="A5" s="90" t="s">
        <v>475</v>
      </c>
      <c r="B5" s="91">
        <f>P5+AC5+AD5+AE5+AF5+AG5+AH5+AI5</f>
        <v>108824.1</v>
      </c>
      <c r="C5" s="92"/>
      <c r="D5" s="92">
        <f aca="true" t="shared" si="2" ref="D5:AI5">SUM(D6:D7)</f>
        <v>0</v>
      </c>
      <c r="E5" s="92">
        <f t="shared" si="2"/>
        <v>0</v>
      </c>
      <c r="F5" s="92">
        <f t="shared" si="2"/>
        <v>0</v>
      </c>
      <c r="G5" s="92">
        <f t="shared" si="2"/>
        <v>0</v>
      </c>
      <c r="H5" s="92">
        <f t="shared" si="2"/>
        <v>0</v>
      </c>
      <c r="I5" s="92">
        <f t="shared" si="2"/>
        <v>0</v>
      </c>
      <c r="J5" s="92">
        <f t="shared" si="2"/>
        <v>0</v>
      </c>
      <c r="K5" s="92">
        <f t="shared" si="2"/>
        <v>0</v>
      </c>
      <c r="L5" s="92">
        <f t="shared" si="2"/>
        <v>0</v>
      </c>
      <c r="M5" s="92">
        <f t="shared" si="2"/>
        <v>0</v>
      </c>
      <c r="N5" s="92">
        <f t="shared" si="2"/>
        <v>0</v>
      </c>
      <c r="O5" s="92">
        <f t="shared" si="2"/>
        <v>0</v>
      </c>
      <c r="P5" s="92">
        <f t="shared" si="2"/>
        <v>0</v>
      </c>
      <c r="Q5" s="92">
        <f t="shared" si="2"/>
        <v>0</v>
      </c>
      <c r="R5" s="92">
        <f t="shared" si="2"/>
        <v>0</v>
      </c>
      <c r="S5" s="92">
        <f t="shared" si="2"/>
        <v>0</v>
      </c>
      <c r="T5" s="92">
        <f t="shared" si="2"/>
        <v>0</v>
      </c>
      <c r="U5" s="92">
        <f t="shared" si="2"/>
        <v>0</v>
      </c>
      <c r="V5" s="92">
        <f t="shared" si="2"/>
        <v>0</v>
      </c>
      <c r="W5" s="92">
        <f t="shared" si="2"/>
        <v>0</v>
      </c>
      <c r="X5" s="92">
        <f t="shared" si="2"/>
        <v>0</v>
      </c>
      <c r="Y5" s="92">
        <f t="shared" si="2"/>
        <v>0</v>
      </c>
      <c r="Z5" s="92">
        <f t="shared" si="2"/>
        <v>3010.7000000000007</v>
      </c>
      <c r="AA5" s="92">
        <f t="shared" si="2"/>
        <v>3010.7000000000007</v>
      </c>
      <c r="AB5" s="92">
        <f t="shared" si="2"/>
        <v>3010.7000000000007</v>
      </c>
      <c r="AC5" s="92">
        <f t="shared" si="2"/>
        <v>9032.100000000002</v>
      </c>
      <c r="AD5" s="92">
        <f t="shared" si="2"/>
        <v>16632.000000000004</v>
      </c>
      <c r="AE5" s="92">
        <f t="shared" si="2"/>
        <v>16632.000000000004</v>
      </c>
      <c r="AF5" s="92">
        <f t="shared" si="2"/>
        <v>16632.000000000004</v>
      </c>
      <c r="AG5" s="92">
        <f t="shared" si="2"/>
        <v>16632.000000000004</v>
      </c>
      <c r="AH5" s="92">
        <f t="shared" si="2"/>
        <v>16632.000000000004</v>
      </c>
      <c r="AI5" s="92">
        <f t="shared" si="2"/>
        <v>16632.000000000004</v>
      </c>
      <c r="AJ5" s="93"/>
    </row>
    <row r="6" spans="1:36" s="82" customFormat="1" ht="12.75">
      <c r="A6" s="94" t="str">
        <f>Производство!A10</f>
        <v>Пшеница</v>
      </c>
      <c r="B6" s="91">
        <f>P6+AC6+AD6+AE6+AF6+AG6+AH6</f>
        <v>83598.90000000001</v>
      </c>
      <c r="C6" s="92"/>
      <c r="D6" s="95"/>
      <c r="E6" s="95"/>
      <c r="F6" s="95"/>
      <c r="G6" s="95"/>
      <c r="H6" s="95"/>
      <c r="I6" s="95"/>
      <c r="J6" s="95"/>
      <c r="K6" s="95">
        <f>Производство!K10*Исх!$C40/1000</f>
        <v>0</v>
      </c>
      <c r="L6" s="95">
        <f>Производство!L10*Исх!$C40/1000</f>
        <v>0</v>
      </c>
      <c r="M6" s="95">
        <f>Производство!M10*Исх!$C40/1000</f>
        <v>0</v>
      </c>
      <c r="N6" s="95">
        <f>Производство!N10*Исх!$C40/1000</f>
        <v>0</v>
      </c>
      <c r="O6" s="95">
        <f>Производство!O10*Исх!$C40/1000</f>
        <v>0</v>
      </c>
      <c r="P6" s="92">
        <f>SUM(D6:O6)</f>
        <v>0</v>
      </c>
      <c r="Q6" s="95">
        <f>Производство!Q10*Исх!$C40/1000</f>
        <v>0</v>
      </c>
      <c r="R6" s="95">
        <f>Производство!R10*Исх!$C40/1000</f>
        <v>0</v>
      </c>
      <c r="S6" s="95">
        <f>Производство!S10*Исх!$C40/1000</f>
        <v>0</v>
      </c>
      <c r="T6" s="95">
        <f>Производство!T10*Исх!$C40/1000</f>
        <v>0</v>
      </c>
      <c r="U6" s="95">
        <f>Производство!U10*Исх!$C40/1000</f>
        <v>0</v>
      </c>
      <c r="V6" s="95">
        <f>Производство!V10*Исх!$C40/1000</f>
        <v>0</v>
      </c>
      <c r="W6" s="95">
        <f>Производство!W10*Исх!$C40/1000</f>
        <v>0</v>
      </c>
      <c r="X6" s="95">
        <f>Производство!X10*Исх!$C40/1000</f>
        <v>0</v>
      </c>
      <c r="Y6" s="95">
        <f>Производство!Y10*Исх!$C40/1000</f>
        <v>0</v>
      </c>
      <c r="Z6" s="95">
        <f>Производство!Z10*Исх!$C40/1000</f>
        <v>2533.3000000000006</v>
      </c>
      <c r="AA6" s="95">
        <f>Производство!AA10*Исх!$C40/1000</f>
        <v>2533.3000000000006</v>
      </c>
      <c r="AB6" s="95">
        <f>Производство!AB10*Исх!$C40/1000</f>
        <v>2533.3000000000006</v>
      </c>
      <c r="AC6" s="92">
        <f>SUM(Q6:AB6)</f>
        <v>7599.9000000000015</v>
      </c>
      <c r="AD6" s="95">
        <f>Производство!AD10*Исх!$C40/1000</f>
        <v>15199.800000000003</v>
      </c>
      <c r="AE6" s="95">
        <f>Производство!AE10*Исх!$C40/1000</f>
        <v>15199.800000000003</v>
      </c>
      <c r="AF6" s="95">
        <f>Производство!AF10*Исх!$C40/1000</f>
        <v>15199.800000000003</v>
      </c>
      <c r="AG6" s="95">
        <f>Производство!AG10*Исх!$C40/1000</f>
        <v>15199.800000000003</v>
      </c>
      <c r="AH6" s="95">
        <f>Производство!AH10*Исх!$C40/1000</f>
        <v>15199.800000000003</v>
      </c>
      <c r="AI6" s="95">
        <f>Производство!AI10*Исх!$C40/1000</f>
        <v>15199.800000000003</v>
      </c>
      <c r="AJ6" s="93"/>
    </row>
    <row r="7" spans="1:36" s="82" customFormat="1" ht="12.75">
      <c r="A7" s="94" t="str">
        <f>Производство!A11</f>
        <v>Солома</v>
      </c>
      <c r="B7" s="91">
        <f>P7+AC7+AD7+AE7+AF7+AG7+AH7</f>
        <v>8593.199999999999</v>
      </c>
      <c r="C7" s="92"/>
      <c r="D7" s="95"/>
      <c r="E7" s="95"/>
      <c r="F7" s="95"/>
      <c r="G7" s="95"/>
      <c r="H7" s="95"/>
      <c r="I7" s="95"/>
      <c r="J7" s="95"/>
      <c r="K7" s="95">
        <f>Производство!K11*Исх!$C41/1000</f>
        <v>0</v>
      </c>
      <c r="L7" s="95">
        <f>Производство!L11*Исх!$C41/1000</f>
        <v>0</v>
      </c>
      <c r="M7" s="95">
        <f>Производство!M11*Исх!$C41/1000</f>
        <v>0</v>
      </c>
      <c r="N7" s="95">
        <f>Производство!N11*Исх!$C41/1000</f>
        <v>0</v>
      </c>
      <c r="O7" s="95">
        <f>Производство!O11*Исх!$C41/1000</f>
        <v>0</v>
      </c>
      <c r="P7" s="92">
        <f>SUM(D7:O7)</f>
        <v>0</v>
      </c>
      <c r="Q7" s="95">
        <f>Производство!Q11*Исх!$C41/1000</f>
        <v>0</v>
      </c>
      <c r="R7" s="95">
        <f>Производство!R11*Исх!$C41/1000</f>
        <v>0</v>
      </c>
      <c r="S7" s="95">
        <f>Производство!S11*Исх!$C41/1000</f>
        <v>0</v>
      </c>
      <c r="T7" s="95">
        <f>Производство!T11*Исх!$C41/1000</f>
        <v>0</v>
      </c>
      <c r="U7" s="95">
        <f>Производство!U11*Исх!$C41/1000</f>
        <v>0</v>
      </c>
      <c r="V7" s="95">
        <f>Производство!V11*Исх!$C41/1000</f>
        <v>0</v>
      </c>
      <c r="W7" s="95">
        <f>Производство!W11*Исх!$C41/1000</f>
        <v>0</v>
      </c>
      <c r="X7" s="95">
        <f>Производство!X11*Исх!$C41/1000</f>
        <v>0</v>
      </c>
      <c r="Y7" s="95">
        <f>Производство!Y11*Исх!$C41/1000</f>
        <v>0</v>
      </c>
      <c r="Z7" s="95">
        <f>Производство!Z11*Исх!$C41/1000</f>
        <v>477.4</v>
      </c>
      <c r="AA7" s="95">
        <f>Производство!AA11*Исх!$C41/1000</f>
        <v>477.4</v>
      </c>
      <c r="AB7" s="95">
        <f>Производство!AB11*Исх!$C41/1000</f>
        <v>477.4</v>
      </c>
      <c r="AC7" s="92">
        <f>SUM(Q7:AB7)</f>
        <v>1432.1999999999998</v>
      </c>
      <c r="AD7" s="95">
        <f>Производство!AD11*Исх!$C41/1000</f>
        <v>1432.2</v>
      </c>
      <c r="AE7" s="95">
        <f>Производство!AE11*Исх!$C41/1000</f>
        <v>1432.2</v>
      </c>
      <c r="AF7" s="95">
        <f>Производство!AF11*Исх!$C41/1000</f>
        <v>1432.2</v>
      </c>
      <c r="AG7" s="95">
        <f>Производство!AG11*Исх!$C41/1000</f>
        <v>1432.2</v>
      </c>
      <c r="AH7" s="95">
        <f>Производство!AH11*Исх!$C41/1000</f>
        <v>1432.2</v>
      </c>
      <c r="AI7" s="95">
        <f>Производство!AI11*Исх!$C41/1000</f>
        <v>1432.2</v>
      </c>
      <c r="AJ7" s="93"/>
    </row>
    <row r="8" spans="1:35" ht="15" customHeight="1">
      <c r="A8" s="90" t="s">
        <v>476</v>
      </c>
      <c r="B8" s="91">
        <f aca="true" t="shared" si="3" ref="B8:B20">P8+AC8+AD8+AE8+AF8+AG8+AH8</f>
        <v>33112.82788077318</v>
      </c>
      <c r="C8" s="92"/>
      <c r="D8" s="92">
        <f aca="true" t="shared" si="4" ref="D8:AH8">SUM(D9:D13)</f>
        <v>0</v>
      </c>
      <c r="E8" s="92">
        <f t="shared" si="4"/>
        <v>0</v>
      </c>
      <c r="F8" s="92">
        <f t="shared" si="4"/>
        <v>0</v>
      </c>
      <c r="G8" s="92">
        <f t="shared" si="4"/>
        <v>0</v>
      </c>
      <c r="H8" s="92">
        <f t="shared" si="4"/>
        <v>0</v>
      </c>
      <c r="I8" s="92">
        <f t="shared" si="4"/>
        <v>0</v>
      </c>
      <c r="J8" s="92">
        <f t="shared" si="4"/>
        <v>0</v>
      </c>
      <c r="K8" s="92">
        <f t="shared" si="4"/>
        <v>0</v>
      </c>
      <c r="L8" s="92">
        <f t="shared" si="4"/>
        <v>0</v>
      </c>
      <c r="M8" s="92">
        <f t="shared" si="4"/>
        <v>0</v>
      </c>
      <c r="N8" s="92">
        <f t="shared" si="4"/>
        <v>0</v>
      </c>
      <c r="O8" s="92">
        <f t="shared" si="4"/>
        <v>0</v>
      </c>
      <c r="P8" s="92">
        <f t="shared" si="4"/>
        <v>0</v>
      </c>
      <c r="Q8" s="92">
        <f t="shared" si="4"/>
        <v>0</v>
      </c>
      <c r="R8" s="92">
        <f t="shared" si="4"/>
        <v>0</v>
      </c>
      <c r="S8" s="92">
        <f t="shared" si="4"/>
        <v>0</v>
      </c>
      <c r="T8" s="92">
        <f t="shared" si="4"/>
        <v>0</v>
      </c>
      <c r="U8" s="92">
        <f t="shared" si="4"/>
        <v>0</v>
      </c>
      <c r="V8" s="92">
        <f t="shared" si="4"/>
        <v>0</v>
      </c>
      <c r="W8" s="92">
        <f t="shared" si="4"/>
        <v>0</v>
      </c>
      <c r="X8" s="92">
        <f t="shared" si="4"/>
        <v>0</v>
      </c>
      <c r="Y8" s="92">
        <f t="shared" si="4"/>
        <v>0</v>
      </c>
      <c r="Z8" s="92">
        <f t="shared" si="4"/>
        <v>1003.4190266900964</v>
      </c>
      <c r="AA8" s="92">
        <f t="shared" si="4"/>
        <v>1003.4190266900964</v>
      </c>
      <c r="AB8" s="92">
        <f t="shared" si="4"/>
        <v>1003.4190266900964</v>
      </c>
      <c r="AC8" s="92">
        <f t="shared" si="4"/>
        <v>3010.257080070289</v>
      </c>
      <c r="AD8" s="92">
        <f t="shared" si="4"/>
        <v>6020.5141601405785</v>
      </c>
      <c r="AE8" s="92">
        <f t="shared" si="4"/>
        <v>6020.5141601405785</v>
      </c>
      <c r="AF8" s="92">
        <f t="shared" si="4"/>
        <v>6020.5141601405785</v>
      </c>
      <c r="AG8" s="92">
        <f t="shared" si="4"/>
        <v>6020.5141601405785</v>
      </c>
      <c r="AH8" s="92">
        <f t="shared" si="4"/>
        <v>6020.5141601405785</v>
      </c>
      <c r="AI8" s="92">
        <f>SUM(AI9:AI13)</f>
        <v>6020.5141601405785</v>
      </c>
    </row>
    <row r="9" spans="1:35" ht="12.75">
      <c r="A9" s="94" t="str">
        <f>'Расх перем'!A32</f>
        <v>Заработная плата</v>
      </c>
      <c r="B9" s="91">
        <f t="shared" si="3"/>
        <v>5462.371310773178</v>
      </c>
      <c r="C9" s="92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>
        <f>SUM(D9:O9)</f>
        <v>0</v>
      </c>
      <c r="Q9" s="95"/>
      <c r="R9" s="95"/>
      <c r="S9" s="95"/>
      <c r="T9" s="95"/>
      <c r="U9" s="95"/>
      <c r="V9" s="95"/>
      <c r="W9" s="95"/>
      <c r="X9" s="95"/>
      <c r="Y9" s="95"/>
      <c r="Z9" s="95">
        <f>Производство!Z$10*'Расх перем'!$C42</f>
        <v>165.52640335676298</v>
      </c>
      <c r="AA9" s="95">
        <f>Производство!AA$10*'Расх перем'!$C42</f>
        <v>165.52640335676298</v>
      </c>
      <c r="AB9" s="95">
        <f>Производство!AB$10*'Расх перем'!$C42</f>
        <v>165.52640335676298</v>
      </c>
      <c r="AC9" s="92">
        <f>SUM(Q9:AB9)</f>
        <v>496.5792100702889</v>
      </c>
      <c r="AD9" s="95">
        <f>Производство!AD$10*'Расх перем'!$C42</f>
        <v>993.158420140578</v>
      </c>
      <c r="AE9" s="95">
        <f>Производство!AE$10*'Расх перем'!$C42</f>
        <v>993.158420140578</v>
      </c>
      <c r="AF9" s="95">
        <f>Производство!AF$10*'Расх перем'!$C42</f>
        <v>993.158420140578</v>
      </c>
      <c r="AG9" s="95">
        <f>Производство!AG$10*'Расх перем'!$C42</f>
        <v>993.158420140578</v>
      </c>
      <c r="AH9" s="95">
        <f>Производство!AH$10*'Расх перем'!$C42</f>
        <v>993.158420140578</v>
      </c>
      <c r="AI9" s="95">
        <f>Производство!AI$10*'Расх перем'!$C42</f>
        <v>993.158420140578</v>
      </c>
    </row>
    <row r="10" spans="1:35" ht="12.75">
      <c r="A10" s="94" t="str">
        <f>'Расх перем'!A33</f>
        <v>ГСМ</v>
      </c>
      <c r="B10" s="91">
        <f>P10+AC10+AD10+AE10+AF10+AG10+AH10</f>
        <v>11577.695029999999</v>
      </c>
      <c r="C10" s="92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>
        <f>SUM(D10:O10)</f>
        <v>0</v>
      </c>
      <c r="Q10" s="95"/>
      <c r="R10" s="95"/>
      <c r="S10" s="95"/>
      <c r="T10" s="95"/>
      <c r="U10" s="95"/>
      <c r="V10" s="95"/>
      <c r="W10" s="95"/>
      <c r="X10" s="95"/>
      <c r="Y10" s="95"/>
      <c r="Z10" s="95">
        <f>Производство!Z$10*'Расх перем'!$C43</f>
        <v>350.83924333333334</v>
      </c>
      <c r="AA10" s="95">
        <f>Производство!AA$10*'Расх перем'!$C43</f>
        <v>350.83924333333334</v>
      </c>
      <c r="AB10" s="95">
        <f>Производство!AB$10*'Расх перем'!$C43</f>
        <v>350.83924333333334</v>
      </c>
      <c r="AC10" s="92">
        <f>SUM(Q10:AB10)</f>
        <v>1052.51773</v>
      </c>
      <c r="AD10" s="95">
        <f>Производство!AD$10*'Расх перем'!$C43</f>
        <v>2105.03546</v>
      </c>
      <c r="AE10" s="95">
        <f>Производство!AE$10*'Расх перем'!$C43</f>
        <v>2105.03546</v>
      </c>
      <c r="AF10" s="95">
        <f>Производство!AF$10*'Расх перем'!$C43</f>
        <v>2105.03546</v>
      </c>
      <c r="AG10" s="95">
        <f>Производство!AG$10*'Расх перем'!$C43</f>
        <v>2105.03546</v>
      </c>
      <c r="AH10" s="95">
        <f>Производство!AH$10*'Расх перем'!$C43</f>
        <v>2105.03546</v>
      </c>
      <c r="AI10" s="95">
        <f>Производство!AI$10*'Расх перем'!$C43</f>
        <v>2105.03546</v>
      </c>
    </row>
    <row r="11" spans="1:35" ht="12.75">
      <c r="A11" s="94" t="str">
        <f>'Расх перем'!A34</f>
        <v>Химпрепараты</v>
      </c>
      <c r="B11" s="91">
        <f>P11+AC11+AD11+AE11+AF11+AG11+AH11</f>
        <v>5830.956120000002</v>
      </c>
      <c r="C11" s="92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2">
        <f>SUM(D11:O11)</f>
        <v>0</v>
      </c>
      <c r="Q11" s="95"/>
      <c r="R11" s="95"/>
      <c r="S11" s="95"/>
      <c r="T11" s="95"/>
      <c r="U11" s="95"/>
      <c r="V11" s="95"/>
      <c r="W11" s="95"/>
      <c r="X11" s="95"/>
      <c r="Y11" s="95"/>
      <c r="Z11" s="95">
        <f>Производство!Z$10*'Расх перем'!$C44</f>
        <v>176.69564</v>
      </c>
      <c r="AA11" s="95">
        <f>Производство!AA$10*'Расх перем'!$C44</f>
        <v>176.69564</v>
      </c>
      <c r="AB11" s="95">
        <f>Производство!AB$10*'Расх перем'!$C44</f>
        <v>176.69564</v>
      </c>
      <c r="AC11" s="92">
        <f>SUM(Q11:AB11)</f>
        <v>530.08692</v>
      </c>
      <c r="AD11" s="95">
        <f>Производство!AD$10*'Расх перем'!$C44</f>
        <v>1060.1738400000002</v>
      </c>
      <c r="AE11" s="95">
        <f>Производство!AE$10*'Расх перем'!$C44</f>
        <v>1060.1738400000002</v>
      </c>
      <c r="AF11" s="95">
        <f>Производство!AF$10*'Расх перем'!$C44</f>
        <v>1060.1738400000002</v>
      </c>
      <c r="AG11" s="95">
        <f>Производство!AG$10*'Расх перем'!$C44</f>
        <v>1060.1738400000002</v>
      </c>
      <c r="AH11" s="95">
        <f>Производство!AH$10*'Расх перем'!$C44</f>
        <v>1060.1738400000002</v>
      </c>
      <c r="AI11" s="95">
        <f>Производство!AI$10*'Расх перем'!$C44</f>
        <v>1060.1738400000002</v>
      </c>
    </row>
    <row r="12" spans="1:35" ht="12.75">
      <c r="A12" s="94" t="str">
        <f>'Расх перем'!A35</f>
        <v>Удобрения</v>
      </c>
      <c r="B12" s="91">
        <f>P12+AC12+AD12+AE12+AF12+AG12+AH12</f>
        <v>1546.2493200000004</v>
      </c>
      <c r="C12" s="92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2">
        <f>SUM(D12:O12)</f>
        <v>0</v>
      </c>
      <c r="Q12" s="95"/>
      <c r="R12" s="95"/>
      <c r="S12" s="95"/>
      <c r="T12" s="95"/>
      <c r="U12" s="95"/>
      <c r="V12" s="95"/>
      <c r="W12" s="95"/>
      <c r="X12" s="95"/>
      <c r="Y12" s="95"/>
      <c r="Z12" s="95">
        <f>Производство!Z$10*'Расх перем'!$C45</f>
        <v>46.856040000000014</v>
      </c>
      <c r="AA12" s="95">
        <f>Производство!AA$10*'Расх перем'!$C45</f>
        <v>46.856040000000014</v>
      </c>
      <c r="AB12" s="95">
        <f>Производство!AB$10*'Расх перем'!$C45</f>
        <v>46.856040000000014</v>
      </c>
      <c r="AC12" s="92">
        <f>SUM(Q12:AB12)</f>
        <v>140.56812000000005</v>
      </c>
      <c r="AD12" s="95">
        <f>Производство!AD$10*'Расх перем'!$C45</f>
        <v>281.1362400000001</v>
      </c>
      <c r="AE12" s="95">
        <f>Производство!AE$10*'Расх перем'!$C45</f>
        <v>281.1362400000001</v>
      </c>
      <c r="AF12" s="95">
        <f>Производство!AF$10*'Расх перем'!$C45</f>
        <v>281.1362400000001</v>
      </c>
      <c r="AG12" s="95">
        <f>Производство!AG$10*'Расх перем'!$C45</f>
        <v>281.1362400000001</v>
      </c>
      <c r="AH12" s="95">
        <f>Производство!AH$10*'Расх перем'!$C45</f>
        <v>281.1362400000001</v>
      </c>
      <c r="AI12" s="95">
        <f>Производство!AI$10*'Расх перем'!$C45</f>
        <v>281.1362400000001</v>
      </c>
    </row>
    <row r="13" spans="1:35" ht="12.75">
      <c r="A13" s="94" t="str">
        <f>'Расх перем'!A36</f>
        <v>Услуги элеватора</v>
      </c>
      <c r="B13" s="91">
        <f t="shared" si="3"/>
        <v>8695.556100000002</v>
      </c>
      <c r="C13" s="92"/>
      <c r="D13" s="95"/>
      <c r="E13" s="95"/>
      <c r="F13" s="95"/>
      <c r="G13" s="95"/>
      <c r="H13" s="95"/>
      <c r="I13" s="95"/>
      <c r="J13" s="95"/>
      <c r="K13" s="95">
        <f>Производство!K10*'Расх перем'!$B$51</f>
        <v>0</v>
      </c>
      <c r="L13" s="95">
        <f>Производство!L10*'Расх перем'!$B$51</f>
        <v>0</v>
      </c>
      <c r="M13" s="95">
        <f>Производство!M10*'Расх перем'!$B$51</f>
        <v>0</v>
      </c>
      <c r="N13" s="95">
        <f>Производство!N10*'Расх перем'!$B$51</f>
        <v>0</v>
      </c>
      <c r="O13" s="95">
        <f>Производство!O10*'Расх перем'!$B$51</f>
        <v>0</v>
      </c>
      <c r="P13" s="92">
        <f>SUM(D13:O13)</f>
        <v>0</v>
      </c>
      <c r="Q13" s="95">
        <f>Производство!Q10*'Расх перем'!$B$51</f>
        <v>0</v>
      </c>
      <c r="R13" s="95">
        <f>Производство!R10*'Расх перем'!$B$51</f>
        <v>0</v>
      </c>
      <c r="S13" s="95">
        <f>Производство!S10*'Расх перем'!$B$51</f>
        <v>0</v>
      </c>
      <c r="T13" s="95">
        <f>Производство!T10*'Расх перем'!$B$51</f>
        <v>0</v>
      </c>
      <c r="U13" s="95">
        <f>Производство!U10*'Расх перем'!$B$51</f>
        <v>0</v>
      </c>
      <c r="V13" s="95">
        <f>Производство!V10*'Расх перем'!$B$51</f>
        <v>0</v>
      </c>
      <c r="W13" s="95">
        <f>Производство!W10*'Расх перем'!$B$51</f>
        <v>0</v>
      </c>
      <c r="X13" s="95">
        <f>Производство!X10*'Расх перем'!$B$51</f>
        <v>0</v>
      </c>
      <c r="Y13" s="95">
        <f>Производство!Y10*'Расх перем'!$B$51</f>
        <v>0</v>
      </c>
      <c r="Z13" s="95">
        <f>Производство!Z$10*'Расх перем'!$C46</f>
        <v>263.5017</v>
      </c>
      <c r="AA13" s="95">
        <f>Производство!AA$10*'Расх перем'!$C46</f>
        <v>263.5017</v>
      </c>
      <c r="AB13" s="95">
        <f>Производство!AB$10*'Расх перем'!$C46</f>
        <v>263.5017</v>
      </c>
      <c r="AC13" s="92">
        <f>SUM(Q13:AB13)</f>
        <v>790.5051000000001</v>
      </c>
      <c r="AD13" s="95">
        <f>Производство!AD$10*'Расх перем'!$C46</f>
        <v>1581.0102000000004</v>
      </c>
      <c r="AE13" s="95">
        <f>Производство!AE$10*'Расх перем'!$C46</f>
        <v>1581.0102000000004</v>
      </c>
      <c r="AF13" s="95">
        <f>Производство!AF$10*'Расх перем'!$C46</f>
        <v>1581.0102000000004</v>
      </c>
      <c r="AG13" s="95">
        <f>Производство!AG$10*'Расх перем'!$C46</f>
        <v>1581.0102000000004</v>
      </c>
      <c r="AH13" s="95">
        <f>Производство!AH$10*'Расх перем'!$C46</f>
        <v>1581.0102000000004</v>
      </c>
      <c r="AI13" s="95">
        <f>Производство!AI$10*'Расх перем'!$C46</f>
        <v>1581.0102000000004</v>
      </c>
    </row>
    <row r="14" spans="1:35" s="82" customFormat="1" ht="15" customHeight="1">
      <c r="A14" s="90" t="s">
        <v>15</v>
      </c>
      <c r="B14" s="91">
        <f t="shared" si="3"/>
        <v>59079.27211922684</v>
      </c>
      <c r="C14" s="96"/>
      <c r="D14" s="92">
        <f aca="true" t="shared" si="5" ref="D14:AI14">D5-D8</f>
        <v>0</v>
      </c>
      <c r="E14" s="92">
        <f t="shared" si="5"/>
        <v>0</v>
      </c>
      <c r="F14" s="92">
        <f t="shared" si="5"/>
        <v>0</v>
      </c>
      <c r="G14" s="92">
        <f t="shared" si="5"/>
        <v>0</v>
      </c>
      <c r="H14" s="92">
        <f t="shared" si="5"/>
        <v>0</v>
      </c>
      <c r="I14" s="92">
        <f t="shared" si="5"/>
        <v>0</v>
      </c>
      <c r="J14" s="92">
        <f t="shared" si="5"/>
        <v>0</v>
      </c>
      <c r="K14" s="92">
        <f t="shared" si="5"/>
        <v>0</v>
      </c>
      <c r="L14" s="92">
        <f t="shared" si="5"/>
        <v>0</v>
      </c>
      <c r="M14" s="92">
        <f t="shared" si="5"/>
        <v>0</v>
      </c>
      <c r="N14" s="92">
        <f t="shared" si="5"/>
        <v>0</v>
      </c>
      <c r="O14" s="92">
        <f t="shared" si="5"/>
        <v>0</v>
      </c>
      <c r="P14" s="92">
        <f t="shared" si="5"/>
        <v>0</v>
      </c>
      <c r="Q14" s="92">
        <f t="shared" si="5"/>
        <v>0</v>
      </c>
      <c r="R14" s="92">
        <f t="shared" si="5"/>
        <v>0</v>
      </c>
      <c r="S14" s="92">
        <f t="shared" si="5"/>
        <v>0</v>
      </c>
      <c r="T14" s="92">
        <f t="shared" si="5"/>
        <v>0</v>
      </c>
      <c r="U14" s="92">
        <f t="shared" si="5"/>
        <v>0</v>
      </c>
      <c r="V14" s="92">
        <f t="shared" si="5"/>
        <v>0</v>
      </c>
      <c r="W14" s="92">
        <f t="shared" si="5"/>
        <v>0</v>
      </c>
      <c r="X14" s="92">
        <f t="shared" si="5"/>
        <v>0</v>
      </c>
      <c r="Y14" s="92">
        <f t="shared" si="5"/>
        <v>0</v>
      </c>
      <c r="Z14" s="92">
        <f t="shared" si="5"/>
        <v>2007.2809733099043</v>
      </c>
      <c r="AA14" s="92">
        <f t="shared" si="5"/>
        <v>2007.2809733099043</v>
      </c>
      <c r="AB14" s="92">
        <f t="shared" si="5"/>
        <v>2007.2809733099043</v>
      </c>
      <c r="AC14" s="92">
        <f t="shared" si="5"/>
        <v>6021.842919929713</v>
      </c>
      <c r="AD14" s="92">
        <f t="shared" si="5"/>
        <v>10611.485839859426</v>
      </c>
      <c r="AE14" s="92">
        <f t="shared" si="5"/>
        <v>10611.485839859426</v>
      </c>
      <c r="AF14" s="92">
        <f t="shared" si="5"/>
        <v>10611.485839859426</v>
      </c>
      <c r="AG14" s="92">
        <f t="shared" si="5"/>
        <v>10611.485839859426</v>
      </c>
      <c r="AH14" s="92">
        <f t="shared" si="5"/>
        <v>10611.485839859426</v>
      </c>
      <c r="AI14" s="92">
        <f t="shared" si="5"/>
        <v>10611.485839859426</v>
      </c>
    </row>
    <row r="15" spans="1:35" ht="15" customHeight="1">
      <c r="A15" s="97" t="s">
        <v>147</v>
      </c>
      <c r="B15" s="91">
        <f t="shared" si="3"/>
        <v>19983.170625</v>
      </c>
      <c r="C15" s="92"/>
      <c r="D15" s="95"/>
      <c r="E15" s="95"/>
      <c r="F15" s="95"/>
      <c r="G15" s="95"/>
      <c r="H15" s="95"/>
      <c r="I15" s="95"/>
      <c r="J15" s="95"/>
      <c r="K15" s="95"/>
      <c r="L15" s="95"/>
      <c r="M15" s="95">
        <f>Пост!$C$15+Пост!$C$17+Пост!$C$20</f>
        <v>266.442275</v>
      </c>
      <c r="N15" s="95">
        <f>Пост!$C$15+Пост!$C$17+Пост!$C$20</f>
        <v>266.442275</v>
      </c>
      <c r="O15" s="95">
        <f>Пост!$C$15+Пост!$C$17+Пост!$C$20</f>
        <v>266.442275</v>
      </c>
      <c r="P15" s="92">
        <f aca="true" t="shared" si="6" ref="P15:P20">SUM(D15:O15)</f>
        <v>799.326825</v>
      </c>
      <c r="Q15" s="95">
        <f>Пост!$D$15+Пост!$D$17+Пост!$D$20</f>
        <v>266.442275</v>
      </c>
      <c r="R15" s="95">
        <f>Пост!$D$15+Пост!$D$17+Пост!$D$20</f>
        <v>266.442275</v>
      </c>
      <c r="S15" s="95">
        <f>Пост!$D$15+Пост!$D$17+Пост!$D$20</f>
        <v>266.442275</v>
      </c>
      <c r="T15" s="95">
        <f>Пост!$D$15+Пост!$D$17+Пост!$D$20</f>
        <v>266.442275</v>
      </c>
      <c r="U15" s="95">
        <f>Пост!$D$15+Пост!$D$17+Пост!$D$20</f>
        <v>266.442275</v>
      </c>
      <c r="V15" s="95">
        <f>Пост!$D$15+Пост!$D$17+Пост!$D$20</f>
        <v>266.442275</v>
      </c>
      <c r="W15" s="95">
        <f>Пост!$D$15+Пост!$D$17+Пост!$D$20</f>
        <v>266.442275</v>
      </c>
      <c r="X15" s="95">
        <f>Пост!$D$15+Пост!$D$17+Пост!$D$20</f>
        <v>266.442275</v>
      </c>
      <c r="Y15" s="95">
        <f>Пост!$D$15+Пост!$D$17+Пост!$D$20</f>
        <v>266.442275</v>
      </c>
      <c r="Z15" s="95">
        <f>Пост!$D$15+Пост!$D$17+Пост!$D$20</f>
        <v>266.442275</v>
      </c>
      <c r="AA15" s="95">
        <f>Пост!$D$15+Пост!$D$17+Пост!$D$20</f>
        <v>266.442275</v>
      </c>
      <c r="AB15" s="95">
        <f>Пост!$D$15+Пост!$D$17+Пост!$D$20</f>
        <v>266.442275</v>
      </c>
      <c r="AC15" s="92">
        <f aca="true" t="shared" si="7" ref="AC15:AC20">SUM(Q15:AB15)</f>
        <v>3197.307299999999</v>
      </c>
      <c r="AD15" s="95">
        <f>(Пост!E15+Пост!E17+Пост!E20)*12</f>
        <v>3197.3073</v>
      </c>
      <c r="AE15" s="95">
        <f>(Пост!F15+Пост!F17+Пост!F20)*12</f>
        <v>3197.3073</v>
      </c>
      <c r="AF15" s="95">
        <f>(Пост!G15+Пост!G17+Пост!G20)*12</f>
        <v>3197.3073</v>
      </c>
      <c r="AG15" s="95">
        <f>(Пост!H15+Пост!H17+Пост!H20)*12</f>
        <v>3197.3073</v>
      </c>
      <c r="AH15" s="95">
        <f>(Пост!I15+Пост!I17+Пост!I20)*12</f>
        <v>3197.3073</v>
      </c>
      <c r="AI15" s="95">
        <f>(Пост!J15+Пост!J17+Пост!J20)*12</f>
        <v>3197.3073</v>
      </c>
    </row>
    <row r="16" spans="1:35" ht="15" customHeight="1">
      <c r="A16" s="97" t="s">
        <v>75</v>
      </c>
      <c r="B16" s="91">
        <f t="shared" si="3"/>
        <v>12384.014062499999</v>
      </c>
      <c r="C16" s="92"/>
      <c r="D16" s="95"/>
      <c r="E16" s="95"/>
      <c r="F16" s="95"/>
      <c r="G16" s="95"/>
      <c r="H16" s="95"/>
      <c r="I16" s="95"/>
      <c r="J16" s="95"/>
      <c r="K16" s="95"/>
      <c r="L16" s="95"/>
      <c r="M16" s="95">
        <f>Пост!$C$30/3</f>
        <v>165.1201875</v>
      </c>
      <c r="N16" s="95">
        <f>Пост!$C$30/3</f>
        <v>165.1201875</v>
      </c>
      <c r="O16" s="95">
        <f>Пост!$C$30/3</f>
        <v>165.1201875</v>
      </c>
      <c r="P16" s="92">
        <f t="shared" si="6"/>
        <v>495.36056249999996</v>
      </c>
      <c r="Q16" s="95">
        <f>Пост!$D$30/12</f>
        <v>165.1201875</v>
      </c>
      <c r="R16" s="95">
        <f>Пост!$D$30/12</f>
        <v>165.1201875</v>
      </c>
      <c r="S16" s="95">
        <f>Пост!$D$30/12</f>
        <v>165.1201875</v>
      </c>
      <c r="T16" s="95">
        <f>Пост!$D$30/12</f>
        <v>165.1201875</v>
      </c>
      <c r="U16" s="95">
        <f>Пост!$D$30/12</f>
        <v>165.1201875</v>
      </c>
      <c r="V16" s="95">
        <f>Пост!$D$30/12</f>
        <v>165.1201875</v>
      </c>
      <c r="W16" s="95">
        <f>Пост!$D$30/12</f>
        <v>165.1201875</v>
      </c>
      <c r="X16" s="95">
        <f>Пост!$D$30/12</f>
        <v>165.1201875</v>
      </c>
      <c r="Y16" s="95">
        <f>Пост!$D$30/12</f>
        <v>165.1201875</v>
      </c>
      <c r="Z16" s="95">
        <f>Пост!$D$30/12</f>
        <v>165.1201875</v>
      </c>
      <c r="AA16" s="95">
        <f>Пост!$D$30/12</f>
        <v>165.1201875</v>
      </c>
      <c r="AB16" s="95">
        <f>Пост!$D$30/12</f>
        <v>165.1201875</v>
      </c>
      <c r="AC16" s="92">
        <f t="shared" si="7"/>
        <v>1981.4422499999994</v>
      </c>
      <c r="AD16" s="95">
        <f>Пост!E30</f>
        <v>1981.4422499999998</v>
      </c>
      <c r="AE16" s="95">
        <f>Пост!F30</f>
        <v>1981.4422499999998</v>
      </c>
      <c r="AF16" s="95">
        <f>Пост!G30</f>
        <v>1981.4422499999998</v>
      </c>
      <c r="AG16" s="95">
        <f>Пост!H30</f>
        <v>1981.4422499999998</v>
      </c>
      <c r="AH16" s="95">
        <f>Пост!I30</f>
        <v>1981.4422499999998</v>
      </c>
      <c r="AI16" s="95">
        <f>Пост!J30</f>
        <v>1981.4422499999998</v>
      </c>
    </row>
    <row r="17" spans="1:35" ht="15" customHeight="1">
      <c r="A17" s="97" t="s">
        <v>25</v>
      </c>
      <c r="B17" s="91">
        <f t="shared" si="3"/>
        <v>4547.262731582816</v>
      </c>
      <c r="C17" s="92"/>
      <c r="D17" s="95">
        <f>кр!C9</f>
        <v>0</v>
      </c>
      <c r="E17" s="95">
        <f>кр!D9</f>
        <v>0</v>
      </c>
      <c r="F17" s="95">
        <f>кр!E9</f>
        <v>0</v>
      </c>
      <c r="G17" s="95">
        <f>кр!F9</f>
        <v>0</v>
      </c>
      <c r="H17" s="95">
        <f>кр!G9</f>
        <v>0</v>
      </c>
      <c r="I17" s="95">
        <f>кр!H9</f>
        <v>0</v>
      </c>
      <c r="J17" s="95">
        <f>кр!I9</f>
        <v>0</v>
      </c>
      <c r="K17" s="95">
        <f>кр!J9</f>
        <v>0</v>
      </c>
      <c r="L17" s="95">
        <f>кр!K9</f>
        <v>0</v>
      </c>
      <c r="M17" s="95">
        <f>кр!L9</f>
        <v>0</v>
      </c>
      <c r="N17" s="95">
        <f>кр!M9</f>
        <v>92.46730500000001</v>
      </c>
      <c r="O17" s="95">
        <f>кр!N9</f>
        <v>92.46730500000001</v>
      </c>
      <c r="P17" s="92">
        <f t="shared" si="6"/>
        <v>184.93461000000002</v>
      </c>
      <c r="Q17" s="95">
        <f>кр!P9</f>
        <v>92.46730500000001</v>
      </c>
      <c r="R17" s="95">
        <f>кр!Q9</f>
        <v>92.46730500000001</v>
      </c>
      <c r="S17" s="95">
        <f>кр!R9</f>
        <v>92.46730500000001</v>
      </c>
      <c r="T17" s="95">
        <f>кр!S9</f>
        <v>92.46730500000001</v>
      </c>
      <c r="U17" s="95">
        <f>кр!T9</f>
        <v>92.46730500000001</v>
      </c>
      <c r="V17" s="95">
        <f>кр!U9</f>
        <v>92.46730500000001</v>
      </c>
      <c r="W17" s="95">
        <f>кр!V9</f>
        <v>92.46730500000001</v>
      </c>
      <c r="X17" s="95">
        <f>кр!W9</f>
        <v>92.46730500000001</v>
      </c>
      <c r="Y17" s="95">
        <f>кр!X9</f>
        <v>92.46730500000001</v>
      </c>
      <c r="Z17" s="95">
        <f>кр!Y9</f>
        <v>98.4006237375</v>
      </c>
      <c r="AA17" s="95">
        <f>кр!Z9</f>
        <v>97.0339484078125</v>
      </c>
      <c r="AB17" s="95">
        <f>кр!AA9</f>
        <v>95.66727307812499</v>
      </c>
      <c r="AC17" s="92">
        <f t="shared" si="7"/>
        <v>1123.3075902234375</v>
      </c>
      <c r="AD17" s="95">
        <f>кр!AO9</f>
        <v>1041.406601221875</v>
      </c>
      <c r="AE17" s="95">
        <f>кр!BB9</f>
        <v>844.6053537468753</v>
      </c>
      <c r="AF17" s="95">
        <f>кр!BO9</f>
        <v>647.8041062718758</v>
      </c>
      <c r="AG17" s="95">
        <f>кр!CB9</f>
        <v>451.00285879687635</v>
      </c>
      <c r="AH17" s="95">
        <f>кр!CO9</f>
        <v>254.20161132187647</v>
      </c>
      <c r="AI17" s="95">
        <f>кр!DB9</f>
        <v>61.50038983593897</v>
      </c>
    </row>
    <row r="18" spans="1:35" ht="15" customHeight="1">
      <c r="A18" s="97" t="s">
        <v>279</v>
      </c>
      <c r="B18" s="91">
        <f t="shared" si="3"/>
        <v>22164.824700144025</v>
      </c>
      <c r="C18" s="96"/>
      <c r="D18" s="95">
        <f>D14-D15-D17-D16</f>
        <v>0</v>
      </c>
      <c r="E18" s="95">
        <f aca="true" t="shared" si="8" ref="E18:O18">E14-E15-E17-E16</f>
        <v>0</v>
      </c>
      <c r="F18" s="95">
        <f t="shared" si="8"/>
        <v>0</v>
      </c>
      <c r="G18" s="95">
        <f t="shared" si="8"/>
        <v>0</v>
      </c>
      <c r="H18" s="95">
        <f t="shared" si="8"/>
        <v>0</v>
      </c>
      <c r="I18" s="95">
        <f t="shared" si="8"/>
        <v>0</v>
      </c>
      <c r="J18" s="95">
        <f t="shared" si="8"/>
        <v>0</v>
      </c>
      <c r="K18" s="95">
        <f t="shared" si="8"/>
        <v>0</v>
      </c>
      <c r="L18" s="95">
        <f t="shared" si="8"/>
        <v>0</v>
      </c>
      <c r="M18" s="95">
        <f t="shared" si="8"/>
        <v>-431.5624625</v>
      </c>
      <c r="N18" s="95">
        <f t="shared" si="8"/>
        <v>-524.0297674999999</v>
      </c>
      <c r="O18" s="95">
        <f t="shared" si="8"/>
        <v>-524.0297674999999</v>
      </c>
      <c r="P18" s="92">
        <f t="shared" si="6"/>
        <v>-1479.6219975</v>
      </c>
      <c r="Q18" s="95">
        <f aca="true" t="shared" si="9" ref="Q18:AB18">Q14-Q15-Q17-Q16</f>
        <v>-524.0297674999999</v>
      </c>
      <c r="R18" s="95">
        <f t="shared" si="9"/>
        <v>-524.0297674999999</v>
      </c>
      <c r="S18" s="95">
        <f t="shared" si="9"/>
        <v>-524.0297674999999</v>
      </c>
      <c r="T18" s="95">
        <f t="shared" si="9"/>
        <v>-524.0297674999999</v>
      </c>
      <c r="U18" s="95">
        <f t="shared" si="9"/>
        <v>-524.0297674999999</v>
      </c>
      <c r="V18" s="95">
        <f t="shared" si="9"/>
        <v>-524.0297674999999</v>
      </c>
      <c r="W18" s="95">
        <f t="shared" si="9"/>
        <v>-524.0297674999999</v>
      </c>
      <c r="X18" s="95">
        <f t="shared" si="9"/>
        <v>-524.0297674999999</v>
      </c>
      <c r="Y18" s="95">
        <f t="shared" si="9"/>
        <v>-524.0297674999999</v>
      </c>
      <c r="Z18" s="95">
        <f t="shared" si="9"/>
        <v>1477.3178870724046</v>
      </c>
      <c r="AA18" s="95">
        <f t="shared" si="9"/>
        <v>1478.684562402092</v>
      </c>
      <c r="AB18" s="95">
        <f t="shared" si="9"/>
        <v>1480.0512377317796</v>
      </c>
      <c r="AC18" s="92">
        <f t="shared" si="7"/>
        <v>-280.21422029372434</v>
      </c>
      <c r="AD18" s="95">
        <f aca="true" t="shared" si="10" ref="AD18:AI18">AD14-AD15-AD17-AD16</f>
        <v>4391.32968863755</v>
      </c>
      <c r="AE18" s="95">
        <f t="shared" si="10"/>
        <v>4588.13093611255</v>
      </c>
      <c r="AF18" s="95">
        <f t="shared" si="10"/>
        <v>4784.93218358755</v>
      </c>
      <c r="AG18" s="95">
        <f t="shared" si="10"/>
        <v>4981.733431062549</v>
      </c>
      <c r="AH18" s="95">
        <f t="shared" si="10"/>
        <v>5178.53467853755</v>
      </c>
      <c r="AI18" s="95">
        <f t="shared" si="10"/>
        <v>5371.2359000234865</v>
      </c>
    </row>
    <row r="19" spans="1:35" ht="15" customHeight="1">
      <c r="A19" s="97" t="s">
        <v>238</v>
      </c>
      <c r="B19" s="91">
        <f t="shared" si="3"/>
        <v>56.45833333333334</v>
      </c>
      <c r="C19" s="92"/>
      <c r="D19" s="95">
        <f>IF(D18+C21&lt;0,0,IF(C21&lt;0,(C21+D18)*Исх!$C$21,D18*Исх!$C$21))</f>
        <v>0</v>
      </c>
      <c r="E19" s="95">
        <f>IF(E18+D21&lt;0,0,IF(D21&lt;0,(D21+E18)*Исх!$C$21,E18*Исх!$C$21))</f>
        <v>0</v>
      </c>
      <c r="F19" s="95">
        <f>IF(F18+E21&lt;0,0,IF(E21&lt;0,(E21+F18)*Исх!$C$21,F18*Исх!$C$21))</f>
        <v>0</v>
      </c>
      <c r="G19" s="95">
        <f>IF(G18+F21&lt;0,0,IF(F21&lt;0,(F21+G18)*Исх!$C$21,G18*Исх!$C$21))</f>
        <v>0</v>
      </c>
      <c r="H19" s="95">
        <f>IF(H18+G21&lt;0,0,IF(G21&lt;0,(G21+H18)*Исх!$C$21,H18*Исх!$C$21))</f>
        <v>0</v>
      </c>
      <c r="I19" s="95">
        <f>IF(I18+H21&lt;0,0,IF(H21&lt;0,(H21+I18)*Исх!$C$21,I18*Исх!$C$21))</f>
        <v>0</v>
      </c>
      <c r="J19" s="95">
        <f>IF(J18+I21&lt;0,0,IF(I21&lt;0,(I21+J18)*Исх!$C$21,J18*Исх!$C$21))</f>
        <v>0</v>
      </c>
      <c r="K19" s="95"/>
      <c r="L19" s="95"/>
      <c r="M19" s="95">
        <f>Исх!$E$61/12</f>
        <v>0.7527777777777779</v>
      </c>
      <c r="N19" s="95">
        <f>Исх!$E$61/12</f>
        <v>0.7527777777777779</v>
      </c>
      <c r="O19" s="95">
        <f>Исх!$E$61/12</f>
        <v>0.7527777777777779</v>
      </c>
      <c r="P19" s="92">
        <f t="shared" si="6"/>
        <v>2.2583333333333337</v>
      </c>
      <c r="Q19" s="95">
        <f>Исх!$E$61/12</f>
        <v>0.7527777777777779</v>
      </c>
      <c r="R19" s="95">
        <f>Исх!$E$61/12</f>
        <v>0.7527777777777779</v>
      </c>
      <c r="S19" s="95">
        <f>Исх!$E$61/12</f>
        <v>0.7527777777777779</v>
      </c>
      <c r="T19" s="95">
        <f>Исх!$E$61/12</f>
        <v>0.7527777777777779</v>
      </c>
      <c r="U19" s="95">
        <f>Исх!$E$61/12</f>
        <v>0.7527777777777779</v>
      </c>
      <c r="V19" s="95">
        <f>Исх!$E$61/12</f>
        <v>0.7527777777777779</v>
      </c>
      <c r="W19" s="95">
        <f>Исх!$E$61/12</f>
        <v>0.7527777777777779</v>
      </c>
      <c r="X19" s="95">
        <f>Исх!$E$61/12</f>
        <v>0.7527777777777779</v>
      </c>
      <c r="Y19" s="95">
        <f>Исх!$E$61/12</f>
        <v>0.7527777777777779</v>
      </c>
      <c r="Z19" s="95">
        <f>Исх!$E$61/12</f>
        <v>0.7527777777777779</v>
      </c>
      <c r="AA19" s="95">
        <f>Исх!$E$61/12</f>
        <v>0.7527777777777779</v>
      </c>
      <c r="AB19" s="95">
        <f>Исх!$E$61/12</f>
        <v>0.7527777777777779</v>
      </c>
      <c r="AC19" s="92">
        <f t="shared" si="7"/>
        <v>9.033333333333337</v>
      </c>
      <c r="AD19" s="95">
        <f>Исх!$E$61</f>
        <v>9.033333333333335</v>
      </c>
      <c r="AE19" s="95">
        <f>Исх!$E$61</f>
        <v>9.033333333333335</v>
      </c>
      <c r="AF19" s="95">
        <f>Исх!$E$61</f>
        <v>9.033333333333335</v>
      </c>
      <c r="AG19" s="95">
        <f>Исх!$E$61</f>
        <v>9.033333333333335</v>
      </c>
      <c r="AH19" s="95">
        <f>Исх!$E$61</f>
        <v>9.033333333333335</v>
      </c>
      <c r="AI19" s="95">
        <f>Исх!$E$61</f>
        <v>9.033333333333335</v>
      </c>
    </row>
    <row r="20" spans="1:35" s="82" customFormat="1" ht="15" customHeight="1">
      <c r="A20" s="90" t="s">
        <v>292</v>
      </c>
      <c r="B20" s="91">
        <f t="shared" si="3"/>
        <v>22108.36636681069</v>
      </c>
      <c r="C20" s="96"/>
      <c r="D20" s="92">
        <f aca="true" t="shared" si="11" ref="D20:Q20">D18-D19</f>
        <v>0</v>
      </c>
      <c r="E20" s="92">
        <f>E18-E19</f>
        <v>0</v>
      </c>
      <c r="F20" s="92">
        <f t="shared" si="11"/>
        <v>0</v>
      </c>
      <c r="G20" s="92">
        <f t="shared" si="11"/>
        <v>0</v>
      </c>
      <c r="H20" s="92">
        <f t="shared" si="11"/>
        <v>0</v>
      </c>
      <c r="I20" s="92">
        <f t="shared" si="11"/>
        <v>0</v>
      </c>
      <c r="J20" s="92">
        <f t="shared" si="11"/>
        <v>0</v>
      </c>
      <c r="K20" s="92">
        <f t="shared" si="11"/>
        <v>0</v>
      </c>
      <c r="L20" s="92">
        <f t="shared" si="11"/>
        <v>0</v>
      </c>
      <c r="M20" s="92">
        <f t="shared" si="11"/>
        <v>-432.3152402777778</v>
      </c>
      <c r="N20" s="92">
        <f t="shared" si="11"/>
        <v>-524.7825452777777</v>
      </c>
      <c r="O20" s="92">
        <f t="shared" si="11"/>
        <v>-524.7825452777777</v>
      </c>
      <c r="P20" s="92">
        <f t="shared" si="6"/>
        <v>-1481.8803308333331</v>
      </c>
      <c r="Q20" s="92">
        <f t="shared" si="11"/>
        <v>-524.7825452777777</v>
      </c>
      <c r="R20" s="92">
        <f aca="true" t="shared" si="12" ref="R20:AF20">R18-R19</f>
        <v>-524.7825452777777</v>
      </c>
      <c r="S20" s="92">
        <f t="shared" si="12"/>
        <v>-524.7825452777777</v>
      </c>
      <c r="T20" s="92">
        <f t="shared" si="12"/>
        <v>-524.7825452777777</v>
      </c>
      <c r="U20" s="92">
        <f t="shared" si="12"/>
        <v>-524.7825452777777</v>
      </c>
      <c r="V20" s="92">
        <f t="shared" si="12"/>
        <v>-524.7825452777777</v>
      </c>
      <c r="W20" s="92">
        <f t="shared" si="12"/>
        <v>-524.7825452777777</v>
      </c>
      <c r="X20" s="92">
        <f t="shared" si="12"/>
        <v>-524.7825452777777</v>
      </c>
      <c r="Y20" s="92">
        <f t="shared" si="12"/>
        <v>-524.7825452777777</v>
      </c>
      <c r="Z20" s="92">
        <f t="shared" si="12"/>
        <v>1476.5651092946268</v>
      </c>
      <c r="AA20" s="92">
        <f t="shared" si="12"/>
        <v>1477.9317846243143</v>
      </c>
      <c r="AB20" s="92">
        <f t="shared" si="12"/>
        <v>1479.2984599540018</v>
      </c>
      <c r="AC20" s="92">
        <f t="shared" si="7"/>
        <v>-289.2475536270572</v>
      </c>
      <c r="AD20" s="92">
        <f t="shared" si="12"/>
        <v>4382.296355304216</v>
      </c>
      <c r="AE20" s="92">
        <f t="shared" si="12"/>
        <v>4579.097602779217</v>
      </c>
      <c r="AF20" s="92">
        <f t="shared" si="12"/>
        <v>4775.898850254216</v>
      </c>
      <c r="AG20" s="92">
        <f>AG18-AG19</f>
        <v>4972.7000977292155</v>
      </c>
      <c r="AH20" s="92">
        <f>AH18-AH19</f>
        <v>5169.501345204216</v>
      </c>
      <c r="AI20" s="92">
        <f>AI18-AI19</f>
        <v>5362.202566690153</v>
      </c>
    </row>
    <row r="21" spans="1:35" ht="15" customHeight="1">
      <c r="A21" s="97" t="s">
        <v>293</v>
      </c>
      <c r="B21" s="98">
        <f>AH21</f>
        <v>22108.36636681069</v>
      </c>
      <c r="C21" s="99"/>
      <c r="D21" s="95">
        <f>C21+D20</f>
        <v>0</v>
      </c>
      <c r="E21" s="95">
        <f>D21+E20</f>
        <v>0</v>
      </c>
      <c r="F21" s="95">
        <f aca="true" t="shared" si="13" ref="F21:O21">E21+F20</f>
        <v>0</v>
      </c>
      <c r="G21" s="95">
        <f t="shared" si="13"/>
        <v>0</v>
      </c>
      <c r="H21" s="95">
        <f t="shared" si="13"/>
        <v>0</v>
      </c>
      <c r="I21" s="95">
        <f t="shared" si="13"/>
        <v>0</v>
      </c>
      <c r="J21" s="95">
        <f t="shared" si="13"/>
        <v>0</v>
      </c>
      <c r="K21" s="95">
        <f t="shared" si="13"/>
        <v>0</v>
      </c>
      <c r="L21" s="95">
        <f t="shared" si="13"/>
        <v>0</v>
      </c>
      <c r="M21" s="95">
        <f t="shared" si="13"/>
        <v>-432.3152402777778</v>
      </c>
      <c r="N21" s="95">
        <f t="shared" si="13"/>
        <v>-957.0977855555554</v>
      </c>
      <c r="O21" s="95">
        <f t="shared" si="13"/>
        <v>-1481.8803308333331</v>
      </c>
      <c r="P21" s="92">
        <f>O21</f>
        <v>-1481.8803308333331</v>
      </c>
      <c r="Q21" s="95">
        <f>P21+Q20</f>
        <v>-2006.6628761111108</v>
      </c>
      <c r="R21" s="95">
        <f aca="true" t="shared" si="14" ref="R21:AA21">Q21+R20</f>
        <v>-2531.4454213888885</v>
      </c>
      <c r="S21" s="95">
        <f t="shared" si="14"/>
        <v>-3056.2279666666664</v>
      </c>
      <c r="T21" s="95">
        <f t="shared" si="14"/>
        <v>-3581.0105119444443</v>
      </c>
      <c r="U21" s="95">
        <f t="shared" si="14"/>
        <v>-4105.793057222222</v>
      </c>
      <c r="V21" s="95">
        <f t="shared" si="14"/>
        <v>-4630.5756025</v>
      </c>
      <c r="W21" s="95">
        <f t="shared" si="14"/>
        <v>-5155.358147777778</v>
      </c>
      <c r="X21" s="95">
        <f t="shared" si="14"/>
        <v>-5680.140693055556</v>
      </c>
      <c r="Y21" s="95">
        <f t="shared" si="14"/>
        <v>-6204.923238333334</v>
      </c>
      <c r="Z21" s="95">
        <f t="shared" si="14"/>
        <v>-4728.3581290387065</v>
      </c>
      <c r="AA21" s="95">
        <f t="shared" si="14"/>
        <v>-3250.426344414392</v>
      </c>
      <c r="AB21" s="95">
        <f>AA21+AB20</f>
        <v>-1771.1278844603903</v>
      </c>
      <c r="AC21" s="92">
        <f>AB21</f>
        <v>-1771.1278844603903</v>
      </c>
      <c r="AD21" s="95">
        <f aca="true" t="shared" si="15" ref="AD21:AI21">AC21+AD20</f>
        <v>2611.168470843826</v>
      </c>
      <c r="AE21" s="95">
        <f t="shared" si="15"/>
        <v>7190.266073623043</v>
      </c>
      <c r="AF21" s="95">
        <f t="shared" si="15"/>
        <v>11966.164923877259</v>
      </c>
      <c r="AG21" s="95">
        <f t="shared" si="15"/>
        <v>16938.865021606474</v>
      </c>
      <c r="AH21" s="95">
        <f t="shared" si="15"/>
        <v>22108.36636681069</v>
      </c>
      <c r="AI21" s="95">
        <f t="shared" si="15"/>
        <v>27470.568933500843</v>
      </c>
    </row>
    <row r="22" spans="1:178" ht="1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</row>
    <row r="23" spans="1:178" ht="15" customHeight="1">
      <c r="A23" s="83"/>
      <c r="B23" s="101"/>
      <c r="C23" s="101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</row>
    <row r="24" spans="1:178" ht="15" customHeigh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</row>
    <row r="25" spans="1:35" ht="12.75" hidden="1">
      <c r="A25" s="102" t="s">
        <v>51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48" s="106" customFormat="1" ht="12.75" hidden="1">
      <c r="A26" s="330" t="s">
        <v>2</v>
      </c>
      <c r="B26" s="333" t="s">
        <v>0</v>
      </c>
      <c r="C26" s="103"/>
      <c r="D26" s="324">
        <f>D3</f>
        <v>2013</v>
      </c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6"/>
      <c r="Q26" s="324">
        <f>Q3</f>
        <v>2014</v>
      </c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6"/>
      <c r="AD26" s="104">
        <f aca="true" t="shared" si="16" ref="AD26:AI26">AD3</f>
        <v>2015</v>
      </c>
      <c r="AE26" s="104">
        <f t="shared" si="16"/>
        <v>2016</v>
      </c>
      <c r="AF26" s="104">
        <f t="shared" si="16"/>
        <v>2017</v>
      </c>
      <c r="AG26" s="104">
        <f t="shared" si="16"/>
        <v>2018</v>
      </c>
      <c r="AH26" s="104">
        <f t="shared" si="16"/>
        <v>2019</v>
      </c>
      <c r="AI26" s="104">
        <f t="shared" si="16"/>
        <v>2020</v>
      </c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</row>
    <row r="27" spans="1:48" s="106" customFormat="1" ht="19.5" customHeight="1" hidden="1">
      <c r="A27" s="331"/>
      <c r="B27" s="334"/>
      <c r="C27" s="107"/>
      <c r="D27" s="108">
        <f>D4</f>
        <v>1</v>
      </c>
      <c r="E27" s="108">
        <f aca="true" t="shared" si="17" ref="E27:O27">E4</f>
        <v>2</v>
      </c>
      <c r="F27" s="108">
        <f t="shared" si="17"/>
        <v>3</v>
      </c>
      <c r="G27" s="108">
        <f t="shared" si="17"/>
        <v>4</v>
      </c>
      <c r="H27" s="108">
        <f t="shared" si="17"/>
        <v>5</v>
      </c>
      <c r="I27" s="108">
        <f t="shared" si="17"/>
        <v>6</v>
      </c>
      <c r="J27" s="108">
        <f t="shared" si="17"/>
        <v>7</v>
      </c>
      <c r="K27" s="108">
        <f t="shared" si="17"/>
        <v>8</v>
      </c>
      <c r="L27" s="108">
        <f t="shared" si="17"/>
        <v>9</v>
      </c>
      <c r="M27" s="108">
        <f t="shared" si="17"/>
        <v>10</v>
      </c>
      <c r="N27" s="108">
        <f t="shared" si="17"/>
        <v>11</v>
      </c>
      <c r="O27" s="108">
        <f t="shared" si="17"/>
        <v>12</v>
      </c>
      <c r="P27" s="109" t="s">
        <v>0</v>
      </c>
      <c r="Q27" s="108">
        <f>Q4</f>
        <v>1</v>
      </c>
      <c r="R27" s="108">
        <f aca="true" t="shared" si="18" ref="R27:AB27">R4</f>
        <v>2</v>
      </c>
      <c r="S27" s="108">
        <f t="shared" si="18"/>
        <v>3</v>
      </c>
      <c r="T27" s="108">
        <f t="shared" si="18"/>
        <v>4</v>
      </c>
      <c r="U27" s="108">
        <f t="shared" si="18"/>
        <v>5</v>
      </c>
      <c r="V27" s="108">
        <f t="shared" si="18"/>
        <v>6</v>
      </c>
      <c r="W27" s="108">
        <f t="shared" si="18"/>
        <v>7</v>
      </c>
      <c r="X27" s="108">
        <f t="shared" si="18"/>
        <v>8</v>
      </c>
      <c r="Y27" s="108">
        <f t="shared" si="18"/>
        <v>9</v>
      </c>
      <c r="Z27" s="108">
        <f t="shared" si="18"/>
        <v>10</v>
      </c>
      <c r="AA27" s="108">
        <f t="shared" si="18"/>
        <v>11</v>
      </c>
      <c r="AB27" s="108">
        <f t="shared" si="18"/>
        <v>12</v>
      </c>
      <c r="AC27" s="109" t="s">
        <v>0</v>
      </c>
      <c r="AD27" s="109"/>
      <c r="AE27" s="109"/>
      <c r="AF27" s="109"/>
      <c r="AG27" s="109"/>
      <c r="AH27" s="109"/>
      <c r="AI27" s="109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</row>
    <row r="28" spans="1:48" s="106" customFormat="1" ht="12.75" hidden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</row>
    <row r="29" spans="1:48" s="106" customFormat="1" ht="12.75" hidden="1">
      <c r="A29" s="110" t="s">
        <v>165</v>
      </c>
      <c r="B29" s="98">
        <f>P29+AC29+AD29+AE29+AF29+AG29+AH29</f>
        <v>0</v>
      </c>
      <c r="C29" s="112"/>
      <c r="D29" s="112">
        <f aca="true" t="shared" si="19" ref="D29:O29">D5*ндс</f>
        <v>0</v>
      </c>
      <c r="E29" s="112">
        <f t="shared" si="19"/>
        <v>0</v>
      </c>
      <c r="F29" s="112">
        <f t="shared" si="19"/>
        <v>0</v>
      </c>
      <c r="G29" s="112">
        <f t="shared" si="19"/>
        <v>0</v>
      </c>
      <c r="H29" s="112">
        <f t="shared" si="19"/>
        <v>0</v>
      </c>
      <c r="I29" s="112">
        <f t="shared" si="19"/>
        <v>0</v>
      </c>
      <c r="J29" s="112">
        <f t="shared" si="19"/>
        <v>0</v>
      </c>
      <c r="K29" s="112">
        <f t="shared" si="19"/>
        <v>0</v>
      </c>
      <c r="L29" s="112">
        <f t="shared" si="19"/>
        <v>0</v>
      </c>
      <c r="M29" s="112">
        <f t="shared" si="19"/>
        <v>0</v>
      </c>
      <c r="N29" s="112">
        <f t="shared" si="19"/>
        <v>0</v>
      </c>
      <c r="O29" s="112">
        <f t="shared" si="19"/>
        <v>0</v>
      </c>
      <c r="P29" s="113">
        <f>SUM(D29:O29)</f>
        <v>0</v>
      </c>
      <c r="Q29" s="112">
        <f aca="true" t="shared" si="20" ref="Q29:AB29">Q5*ндс</f>
        <v>0</v>
      </c>
      <c r="R29" s="112">
        <f t="shared" si="20"/>
        <v>0</v>
      </c>
      <c r="S29" s="112">
        <f t="shared" si="20"/>
        <v>0</v>
      </c>
      <c r="T29" s="112">
        <f t="shared" si="20"/>
        <v>0</v>
      </c>
      <c r="U29" s="112">
        <f t="shared" si="20"/>
        <v>0</v>
      </c>
      <c r="V29" s="112">
        <f t="shared" si="20"/>
        <v>0</v>
      </c>
      <c r="W29" s="112">
        <f t="shared" si="20"/>
        <v>0</v>
      </c>
      <c r="X29" s="112">
        <f t="shared" si="20"/>
        <v>0</v>
      </c>
      <c r="Y29" s="112">
        <f t="shared" si="20"/>
        <v>0</v>
      </c>
      <c r="Z29" s="112">
        <f t="shared" si="20"/>
        <v>0</v>
      </c>
      <c r="AA29" s="112">
        <f t="shared" si="20"/>
        <v>0</v>
      </c>
      <c r="AB29" s="112">
        <f t="shared" si="20"/>
        <v>0</v>
      </c>
      <c r="AC29" s="113">
        <f>SUM(Q29:AB29)</f>
        <v>0</v>
      </c>
      <c r="AD29" s="112">
        <f aca="true" t="shared" si="21" ref="AD29:AI29">AD5*ндс</f>
        <v>0</v>
      </c>
      <c r="AE29" s="112">
        <f t="shared" si="21"/>
        <v>0</v>
      </c>
      <c r="AF29" s="112">
        <f t="shared" si="21"/>
        <v>0</v>
      </c>
      <c r="AG29" s="112">
        <f t="shared" si="21"/>
        <v>0</v>
      </c>
      <c r="AH29" s="112">
        <f t="shared" si="21"/>
        <v>0</v>
      </c>
      <c r="AI29" s="112">
        <f t="shared" si="21"/>
        <v>0</v>
      </c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</row>
    <row r="30" spans="1:48" s="106" customFormat="1" ht="12.75" hidden="1">
      <c r="A30" s="110" t="s">
        <v>166</v>
      </c>
      <c r="B30" s="98">
        <f>P30+AC30+AD30+AE30+AF30+AG30+AH30</f>
        <v>0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>
        <f>(N8+N15-Пост!$C$6-Пост!$C$17-Пост!$C$20)*ндс</f>
        <v>0</v>
      </c>
      <c r="O30" s="112">
        <f>(O8+O15-Пост!$C$6-Пост!$C$17-Пост!$C$20+'1-Ф3'!O14/Исх!$C$20)*ндс</f>
        <v>0</v>
      </c>
      <c r="P30" s="113">
        <f>SUM(D30:O30)</f>
        <v>0</v>
      </c>
      <c r="Q30" s="112">
        <f>(Q8+Q15-Пост!$D$6-Пост!$D$17-Пост!$D$20)*ндс</f>
        <v>0</v>
      </c>
      <c r="R30" s="112">
        <f>(R8+R15-Пост!$D$6-Пост!$D$17-Пост!$D$20)*ндс</f>
        <v>0</v>
      </c>
      <c r="S30" s="112">
        <f>(S8+S15-Пост!$D$6-Пост!$D$17-Пост!$D$20)*ндс</f>
        <v>0</v>
      </c>
      <c r="T30" s="112">
        <f>(T8+T15-Пост!$D$6-Пост!$D$17-Пост!$D$20)*ндс</f>
        <v>0</v>
      </c>
      <c r="U30" s="112">
        <f>(U8+U15-Пост!$D$6-Пост!$D$17-Пост!$D$20)*ндс</f>
        <v>0</v>
      </c>
      <c r="V30" s="112">
        <f>(V8+V15-Пост!$D$6-Пост!$D$17-Пост!$D$20)*ндс</f>
        <v>0</v>
      </c>
      <c r="W30" s="112">
        <f>(W8+W15-Пост!$D$6-Пост!$D$17-Пост!$D$20)*ндс</f>
        <v>0</v>
      </c>
      <c r="X30" s="112">
        <f>(X8+X15-Пост!$D$6-Пост!$D$17-Пост!$D$20)*ндс</f>
        <v>0</v>
      </c>
      <c r="Y30" s="112">
        <f>(Y8+Y15-Пост!$D$6-Пост!$D$17-Пост!$D$20)*ндс</f>
        <v>0</v>
      </c>
      <c r="Z30" s="112">
        <f>(Z8+Z15-Пост!$D$6-Пост!$D$17-Пост!$D$20)*ндс</f>
        <v>0</v>
      </c>
      <c r="AA30" s="112">
        <f>(AA8+AA15-Пост!$D$6-Пост!$D$17-Пост!$D$20)*ндс</f>
        <v>0</v>
      </c>
      <c r="AB30" s="112">
        <f>(AB8+AB15-Пост!$D$6-Пост!$D$17-Пост!$D$20)*ндс</f>
        <v>0</v>
      </c>
      <c r="AC30" s="113">
        <f>SUM(Q30:AB30)</f>
        <v>0</v>
      </c>
      <c r="AD30" s="112">
        <f>(AD8+AD15-(Пост!E6+Пост!E17+Пост!E20)*12)*ндс</f>
        <v>0</v>
      </c>
      <c r="AE30" s="112">
        <f>(AE8+AE15-(Пост!F6+Пост!F17+Пост!F20)*12)*ндс</f>
        <v>0</v>
      </c>
      <c r="AF30" s="112">
        <f>(AF8+AF15-(Пост!G6+Пост!G17+Пост!G20)*12)*ндс</f>
        <v>0</v>
      </c>
      <c r="AG30" s="112">
        <f>(AG8+AG15-(Пост!H6+Пост!H17+Пост!H20)*12)*ндс</f>
        <v>0</v>
      </c>
      <c r="AH30" s="112">
        <f>(AH8+AH15-(Пост!I6+Пост!I17+Пост!I20)*12)*ндс</f>
        <v>0</v>
      </c>
      <c r="AI30" s="112">
        <f>(AI8+AI15-(Пост!J6+Пост!J17+Пост!J20)*12)*ндс</f>
        <v>0</v>
      </c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</row>
    <row r="31" spans="1:48" s="106" customFormat="1" ht="12.75" hidden="1">
      <c r="A31" s="110" t="s">
        <v>167</v>
      </c>
      <c r="B31" s="98">
        <f>P31+AC31+AD31+AE31+AF31+AG31+AH31</f>
        <v>0</v>
      </c>
      <c r="C31" s="112"/>
      <c r="D31" s="112">
        <f>Инв!E31/Исх!$C$20*ндс</f>
        <v>0</v>
      </c>
      <c r="E31" s="112">
        <f>Инв!F31/Исх!$C$20*ндс</f>
        <v>0</v>
      </c>
      <c r="F31" s="112">
        <f>Инв!G31/Исх!$C$20*ндс</f>
        <v>0</v>
      </c>
      <c r="G31" s="112">
        <f>Инв!H31/Исх!$C$20*ндс</f>
        <v>0</v>
      </c>
      <c r="H31" s="112">
        <f>Инв!I31/Исх!$C$20*ндс</f>
        <v>0</v>
      </c>
      <c r="I31" s="112">
        <f>Инв!J31/Исх!$C$20*ндс</f>
        <v>0</v>
      </c>
      <c r="J31" s="112">
        <f>Инв!K31/Исх!$C$20*ндс</f>
        <v>0</v>
      </c>
      <c r="K31" s="112">
        <f>Инв!L31/Исх!$C$20*ндс</f>
        <v>0</v>
      </c>
      <c r="L31" s="112">
        <f>Инв!M31/Исх!$C$20*ндс</f>
        <v>0</v>
      </c>
      <c r="M31" s="112">
        <f>Инв!N31/Исх!$C$20*ндс</f>
        <v>0</v>
      </c>
      <c r="N31" s="112">
        <f>Инв!O31/Исх!$C$20*ндс</f>
        <v>0</v>
      </c>
      <c r="O31" s="112">
        <f>Инв!P31/Исх!$C$20*ндс</f>
        <v>0</v>
      </c>
      <c r="P31" s="113">
        <f>SUM(D31:O31)</f>
        <v>0</v>
      </c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3"/>
      <c r="AD31" s="113"/>
      <c r="AE31" s="113"/>
      <c r="AF31" s="113"/>
      <c r="AG31" s="113"/>
      <c r="AH31" s="113"/>
      <c r="AI31" s="113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</row>
    <row r="32" spans="1:48" s="106" customFormat="1" ht="12.75" hidden="1">
      <c r="A32" s="110" t="s">
        <v>28</v>
      </c>
      <c r="B32" s="98">
        <f>P32+AC32+AD32+AE32+AF32+AG32+AH32</f>
        <v>0</v>
      </c>
      <c r="C32" s="112"/>
      <c r="D32" s="112">
        <f>D29-D30-D31</f>
        <v>0</v>
      </c>
      <c r="E32" s="112">
        <f aca="true" t="shared" si="22" ref="E32:O32">E29-E30-E31</f>
        <v>0</v>
      </c>
      <c r="F32" s="112">
        <f t="shared" si="22"/>
        <v>0</v>
      </c>
      <c r="G32" s="112">
        <f t="shared" si="22"/>
        <v>0</v>
      </c>
      <c r="H32" s="112">
        <f t="shared" si="22"/>
        <v>0</v>
      </c>
      <c r="I32" s="112">
        <f t="shared" si="22"/>
        <v>0</v>
      </c>
      <c r="J32" s="112">
        <f t="shared" si="22"/>
        <v>0</v>
      </c>
      <c r="K32" s="112">
        <f t="shared" si="22"/>
        <v>0</v>
      </c>
      <c r="L32" s="112">
        <f t="shared" si="22"/>
        <v>0</v>
      </c>
      <c r="M32" s="112">
        <f t="shared" si="22"/>
        <v>0</v>
      </c>
      <c r="N32" s="112">
        <f t="shared" si="22"/>
        <v>0</v>
      </c>
      <c r="O32" s="112">
        <f t="shared" si="22"/>
        <v>0</v>
      </c>
      <c r="P32" s="113">
        <f>SUM(D32:O32)</f>
        <v>0</v>
      </c>
      <c r="Q32" s="112">
        <f aca="true" t="shared" si="23" ref="Q32:AB32">Q29-Q30-Q31</f>
        <v>0</v>
      </c>
      <c r="R32" s="112">
        <f t="shared" si="23"/>
        <v>0</v>
      </c>
      <c r="S32" s="112">
        <f t="shared" si="23"/>
        <v>0</v>
      </c>
      <c r="T32" s="112">
        <f t="shared" si="23"/>
        <v>0</v>
      </c>
      <c r="U32" s="112">
        <f t="shared" si="23"/>
        <v>0</v>
      </c>
      <c r="V32" s="112">
        <f t="shared" si="23"/>
        <v>0</v>
      </c>
      <c r="W32" s="112">
        <f t="shared" si="23"/>
        <v>0</v>
      </c>
      <c r="X32" s="112">
        <f t="shared" si="23"/>
        <v>0</v>
      </c>
      <c r="Y32" s="112">
        <f t="shared" si="23"/>
        <v>0</v>
      </c>
      <c r="Z32" s="112">
        <f t="shared" si="23"/>
        <v>0</v>
      </c>
      <c r="AA32" s="112">
        <f t="shared" si="23"/>
        <v>0</v>
      </c>
      <c r="AB32" s="112">
        <f t="shared" si="23"/>
        <v>0</v>
      </c>
      <c r="AC32" s="113">
        <f>SUM(Q32:AB32)</f>
        <v>0</v>
      </c>
      <c r="AD32" s="112">
        <f aca="true" t="shared" si="24" ref="AD32:AI32">AD29-AD30-AD31</f>
        <v>0</v>
      </c>
      <c r="AE32" s="112">
        <f t="shared" si="24"/>
        <v>0</v>
      </c>
      <c r="AF32" s="112">
        <f t="shared" si="24"/>
        <v>0</v>
      </c>
      <c r="AG32" s="112">
        <f t="shared" si="24"/>
        <v>0</v>
      </c>
      <c r="AH32" s="112">
        <f t="shared" si="24"/>
        <v>0</v>
      </c>
      <c r="AI32" s="112">
        <f t="shared" si="24"/>
        <v>0</v>
      </c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</row>
    <row r="33" spans="1:48" s="106" customFormat="1" ht="12.75" hidden="1">
      <c r="A33" s="110" t="s">
        <v>168</v>
      </c>
      <c r="B33" s="98">
        <f>AH33</f>
        <v>0</v>
      </c>
      <c r="C33" s="112"/>
      <c r="D33" s="112">
        <f>D32</f>
        <v>0</v>
      </c>
      <c r="E33" s="112">
        <f>D33+E32</f>
        <v>0</v>
      </c>
      <c r="F33" s="112">
        <f aca="true" t="shared" si="25" ref="F33:O33">E33+F32</f>
        <v>0</v>
      </c>
      <c r="G33" s="112">
        <f t="shared" si="25"/>
        <v>0</v>
      </c>
      <c r="H33" s="112">
        <f t="shared" si="25"/>
        <v>0</v>
      </c>
      <c r="I33" s="112">
        <f t="shared" si="25"/>
        <v>0</v>
      </c>
      <c r="J33" s="112">
        <f t="shared" si="25"/>
        <v>0</v>
      </c>
      <c r="K33" s="112">
        <f t="shared" si="25"/>
        <v>0</v>
      </c>
      <c r="L33" s="112">
        <f t="shared" si="25"/>
        <v>0</v>
      </c>
      <c r="M33" s="112">
        <f t="shared" si="25"/>
        <v>0</v>
      </c>
      <c r="N33" s="112">
        <f t="shared" si="25"/>
        <v>0</v>
      </c>
      <c r="O33" s="112">
        <f t="shared" si="25"/>
        <v>0</v>
      </c>
      <c r="P33" s="113">
        <f>O33</f>
        <v>0</v>
      </c>
      <c r="Q33" s="112">
        <f aca="true" t="shared" si="26" ref="Q33:AB33">P33+Q32</f>
        <v>0</v>
      </c>
      <c r="R33" s="112">
        <f t="shared" si="26"/>
        <v>0</v>
      </c>
      <c r="S33" s="112">
        <f t="shared" si="26"/>
        <v>0</v>
      </c>
      <c r="T33" s="112">
        <f t="shared" si="26"/>
        <v>0</v>
      </c>
      <c r="U33" s="112">
        <f t="shared" si="26"/>
        <v>0</v>
      </c>
      <c r="V33" s="112">
        <f t="shared" si="26"/>
        <v>0</v>
      </c>
      <c r="W33" s="112">
        <f t="shared" si="26"/>
        <v>0</v>
      </c>
      <c r="X33" s="112">
        <f t="shared" si="26"/>
        <v>0</v>
      </c>
      <c r="Y33" s="112">
        <f t="shared" si="26"/>
        <v>0</v>
      </c>
      <c r="Z33" s="112">
        <f t="shared" si="26"/>
        <v>0</v>
      </c>
      <c r="AA33" s="112">
        <f t="shared" si="26"/>
        <v>0</v>
      </c>
      <c r="AB33" s="112">
        <f t="shared" si="26"/>
        <v>0</v>
      </c>
      <c r="AC33" s="113">
        <f>AB33</f>
        <v>0</v>
      </c>
      <c r="AD33" s="112">
        <f aca="true" t="shared" si="27" ref="AD33:AI33">AC33+AD32</f>
        <v>0</v>
      </c>
      <c r="AE33" s="112">
        <f t="shared" si="27"/>
        <v>0</v>
      </c>
      <c r="AF33" s="112">
        <f t="shared" si="27"/>
        <v>0</v>
      </c>
      <c r="AG33" s="112">
        <f t="shared" si="27"/>
        <v>0</v>
      </c>
      <c r="AH33" s="112">
        <f t="shared" si="27"/>
        <v>0</v>
      </c>
      <c r="AI33" s="112">
        <f t="shared" si="27"/>
        <v>0</v>
      </c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</row>
    <row r="34" spans="1:48" s="106" customFormat="1" ht="12.75" hidden="1">
      <c r="A34" s="110" t="s">
        <v>169</v>
      </c>
      <c r="B34" s="98">
        <f>P34+AC34+AD34+AE34+AF34+AG34+AH34</f>
        <v>0</v>
      </c>
      <c r="C34" s="112"/>
      <c r="D34" s="112">
        <f>IF(C33+D32&gt;=0,IF(C33&lt;0,C33+D32,D32),0)</f>
        <v>0</v>
      </c>
      <c r="E34" s="112">
        <f aca="true" t="shared" si="28" ref="E34:AI34">IF(D33+E32&gt;=0,IF(D33&lt;0,D33+E32,E32),0)</f>
        <v>0</v>
      </c>
      <c r="F34" s="112">
        <f t="shared" si="28"/>
        <v>0</v>
      </c>
      <c r="G34" s="112">
        <f t="shared" si="28"/>
        <v>0</v>
      </c>
      <c r="H34" s="112">
        <f t="shared" si="28"/>
        <v>0</v>
      </c>
      <c r="I34" s="112">
        <f t="shared" si="28"/>
        <v>0</v>
      </c>
      <c r="J34" s="112">
        <f t="shared" si="28"/>
        <v>0</v>
      </c>
      <c r="K34" s="112">
        <f t="shared" si="28"/>
        <v>0</v>
      </c>
      <c r="L34" s="112">
        <f t="shared" si="28"/>
        <v>0</v>
      </c>
      <c r="M34" s="112">
        <f t="shared" si="28"/>
        <v>0</v>
      </c>
      <c r="N34" s="112">
        <f t="shared" si="28"/>
        <v>0</v>
      </c>
      <c r="O34" s="112">
        <f t="shared" si="28"/>
        <v>0</v>
      </c>
      <c r="P34" s="113">
        <f>SUM(D34:O34)</f>
        <v>0</v>
      </c>
      <c r="Q34" s="112">
        <f t="shared" si="28"/>
        <v>0</v>
      </c>
      <c r="R34" s="112">
        <f t="shared" si="28"/>
        <v>0</v>
      </c>
      <c r="S34" s="112">
        <f t="shared" si="28"/>
        <v>0</v>
      </c>
      <c r="T34" s="112">
        <f t="shared" si="28"/>
        <v>0</v>
      </c>
      <c r="U34" s="112">
        <f t="shared" si="28"/>
        <v>0</v>
      </c>
      <c r="V34" s="112">
        <f t="shared" si="28"/>
        <v>0</v>
      </c>
      <c r="W34" s="112">
        <f t="shared" si="28"/>
        <v>0</v>
      </c>
      <c r="X34" s="112">
        <f t="shared" si="28"/>
        <v>0</v>
      </c>
      <c r="Y34" s="112">
        <f t="shared" si="28"/>
        <v>0</v>
      </c>
      <c r="Z34" s="112">
        <f t="shared" si="28"/>
        <v>0</v>
      </c>
      <c r="AA34" s="112">
        <f t="shared" si="28"/>
        <v>0</v>
      </c>
      <c r="AB34" s="112">
        <f t="shared" si="28"/>
        <v>0</v>
      </c>
      <c r="AC34" s="113">
        <f>SUM(Q34:AB34)</f>
        <v>0</v>
      </c>
      <c r="AD34" s="112">
        <f t="shared" si="28"/>
        <v>0</v>
      </c>
      <c r="AE34" s="112">
        <f t="shared" si="28"/>
        <v>0</v>
      </c>
      <c r="AF34" s="112">
        <f t="shared" si="28"/>
        <v>0</v>
      </c>
      <c r="AG34" s="112">
        <f t="shared" si="28"/>
        <v>0</v>
      </c>
      <c r="AH34" s="112">
        <f t="shared" si="28"/>
        <v>0</v>
      </c>
      <c r="AI34" s="112">
        <f t="shared" si="28"/>
        <v>0</v>
      </c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</row>
    <row r="36" ht="12.75">
      <c r="B36" s="114"/>
    </row>
  </sheetData>
  <sheetProtection/>
  <mergeCells count="8">
    <mergeCell ref="Q26:AC26"/>
    <mergeCell ref="Q3:AC3"/>
    <mergeCell ref="A3:A4"/>
    <mergeCell ref="A26:A27"/>
    <mergeCell ref="B3:B4"/>
    <mergeCell ref="D26:P26"/>
    <mergeCell ref="B26:B27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B41"/>
  <sheetViews>
    <sheetView showGridLines="0" showZeros="0" zoomScalePageLayoutView="0" workbookViewId="0" topLeftCell="A1">
      <pane xSplit="3" ySplit="4" topLeftCell="D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D19" sqref="D19"/>
    </sheetView>
  </sheetViews>
  <sheetFormatPr defaultColWidth="10.125" defaultRowHeight="12.75" outlineLevelCol="1"/>
  <cols>
    <col min="1" max="1" width="38.125" style="116" customWidth="1"/>
    <col min="2" max="2" width="2.375" style="116" customWidth="1"/>
    <col min="3" max="3" width="7.125" style="116" customWidth="1"/>
    <col min="4" max="4" width="11.375" style="116" hidden="1" customWidth="1" outlineLevel="1"/>
    <col min="5" max="11" width="7.375" style="116" hidden="1" customWidth="1" outlineLevel="1"/>
    <col min="12" max="12" width="8.00390625" style="116" hidden="1" customWidth="1" outlineLevel="1"/>
    <col min="13" max="13" width="7.875" style="116" hidden="1" customWidth="1" outlineLevel="1"/>
    <col min="14" max="15" width="8.125" style="116" hidden="1" customWidth="1" outlineLevel="1"/>
    <col min="16" max="16" width="9.875" style="116" customWidth="1" collapsed="1"/>
    <col min="17" max="23" width="8.375" style="116" hidden="1" customWidth="1" outlineLevel="1"/>
    <col min="24" max="25" width="8.75390625" style="116" hidden="1" customWidth="1" outlineLevel="1"/>
    <col min="26" max="26" width="8.625" style="116" hidden="1" customWidth="1" outlineLevel="1"/>
    <col min="27" max="27" width="9.00390625" style="116" hidden="1" customWidth="1" outlineLevel="1"/>
    <col min="28" max="28" width="9.125" style="116" hidden="1" customWidth="1" outlineLevel="1"/>
    <col min="29" max="29" width="10.125" style="116" customWidth="1" collapsed="1"/>
    <col min="30" max="30" width="9.875" style="116" customWidth="1"/>
    <col min="31" max="31" width="9.75390625" style="116" customWidth="1"/>
    <col min="32" max="32" width="9.625" style="116" customWidth="1"/>
    <col min="33" max="35" width="9.75390625" style="116" customWidth="1"/>
    <col min="36" max="16384" width="10.125" style="116" customWidth="1"/>
  </cols>
  <sheetData>
    <row r="1" spans="1:3" ht="12.75">
      <c r="A1" s="61" t="s">
        <v>116</v>
      </c>
      <c r="B1" s="115"/>
      <c r="C1" s="115"/>
    </row>
    <row r="2" spans="1:35" ht="17.25" customHeight="1">
      <c r="A2" s="61"/>
      <c r="C2" s="12" t="str">
        <f>Исх!$C$9</f>
        <v>тыс.тг.</v>
      </c>
      <c r="P2" s="117"/>
      <c r="AC2" s="117"/>
      <c r="AD2" s="117"/>
      <c r="AE2" s="117"/>
      <c r="AF2" s="117"/>
      <c r="AG2" s="117"/>
      <c r="AH2" s="117"/>
      <c r="AI2" s="117"/>
    </row>
    <row r="3" spans="1:35" ht="12.75" customHeight="1">
      <c r="A3" s="335" t="s">
        <v>2</v>
      </c>
      <c r="B3" s="337"/>
      <c r="C3" s="119"/>
      <c r="D3" s="338">
        <v>2013</v>
      </c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>
        <v>2014</v>
      </c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120">
        <f>Q3+1</f>
        <v>2015</v>
      </c>
      <c r="AE3" s="120">
        <f>AD3+1</f>
        <v>2016</v>
      </c>
      <c r="AF3" s="120">
        <f>AE3+1</f>
        <v>2017</v>
      </c>
      <c r="AG3" s="120">
        <f>AF3+1</f>
        <v>2018</v>
      </c>
      <c r="AH3" s="120">
        <f>AG3+1</f>
        <v>2019</v>
      </c>
      <c r="AI3" s="120">
        <f>AH3+1</f>
        <v>2020</v>
      </c>
    </row>
    <row r="4" spans="1:35" ht="12.75">
      <c r="A4" s="336"/>
      <c r="B4" s="337"/>
      <c r="C4" s="121"/>
      <c r="D4" s="122">
        <v>1</v>
      </c>
      <c r="E4" s="122">
        <f>D4+1</f>
        <v>2</v>
      </c>
      <c r="F4" s="122">
        <f aca="true" t="shared" si="0" ref="F4:O4">E4+1</f>
        <v>3</v>
      </c>
      <c r="G4" s="122">
        <f t="shared" si="0"/>
        <v>4</v>
      </c>
      <c r="H4" s="122">
        <f t="shared" si="0"/>
        <v>5</v>
      </c>
      <c r="I4" s="122">
        <f t="shared" si="0"/>
        <v>6</v>
      </c>
      <c r="J4" s="122">
        <f t="shared" si="0"/>
        <v>7</v>
      </c>
      <c r="K4" s="122">
        <f t="shared" si="0"/>
        <v>8</v>
      </c>
      <c r="L4" s="122">
        <f t="shared" si="0"/>
        <v>9</v>
      </c>
      <c r="M4" s="122">
        <f t="shared" si="0"/>
        <v>10</v>
      </c>
      <c r="N4" s="122">
        <f t="shared" si="0"/>
        <v>11</v>
      </c>
      <c r="O4" s="122">
        <f t="shared" si="0"/>
        <v>12</v>
      </c>
      <c r="P4" s="118" t="s">
        <v>0</v>
      </c>
      <c r="Q4" s="122">
        <v>1</v>
      </c>
      <c r="R4" s="122">
        <f aca="true" t="shared" si="1" ref="R4:AB4">Q4+1</f>
        <v>2</v>
      </c>
      <c r="S4" s="122">
        <f t="shared" si="1"/>
        <v>3</v>
      </c>
      <c r="T4" s="122">
        <f t="shared" si="1"/>
        <v>4</v>
      </c>
      <c r="U4" s="122">
        <f t="shared" si="1"/>
        <v>5</v>
      </c>
      <c r="V4" s="122">
        <f t="shared" si="1"/>
        <v>6</v>
      </c>
      <c r="W4" s="122">
        <f t="shared" si="1"/>
        <v>7</v>
      </c>
      <c r="X4" s="122">
        <f t="shared" si="1"/>
        <v>8</v>
      </c>
      <c r="Y4" s="122">
        <f t="shared" si="1"/>
        <v>9</v>
      </c>
      <c r="Z4" s="122">
        <f t="shared" si="1"/>
        <v>10</v>
      </c>
      <c r="AA4" s="122">
        <f t="shared" si="1"/>
        <v>11</v>
      </c>
      <c r="AB4" s="122">
        <f t="shared" si="1"/>
        <v>12</v>
      </c>
      <c r="AC4" s="118" t="s">
        <v>0</v>
      </c>
      <c r="AD4" s="118"/>
      <c r="AE4" s="118"/>
      <c r="AF4" s="118"/>
      <c r="AG4" s="118"/>
      <c r="AH4" s="118"/>
      <c r="AI4" s="118"/>
    </row>
    <row r="5" spans="1:42" s="127" customFormat="1" ht="15" customHeight="1">
      <c r="A5" s="123" t="s">
        <v>117</v>
      </c>
      <c r="B5" s="124"/>
      <c r="C5" s="125">
        <f>C11+C6</f>
        <v>0</v>
      </c>
      <c r="D5" s="125">
        <f>D11+D6</f>
        <v>0</v>
      </c>
      <c r="E5" s="125">
        <f aca="true" t="shared" si="2" ref="E5:AH5">E11+E6</f>
        <v>0</v>
      </c>
      <c r="F5" s="125">
        <f t="shared" si="2"/>
        <v>0</v>
      </c>
      <c r="G5" s="125">
        <f t="shared" si="2"/>
        <v>0</v>
      </c>
      <c r="H5" s="125">
        <f t="shared" si="2"/>
        <v>0</v>
      </c>
      <c r="I5" s="125">
        <f t="shared" si="2"/>
        <v>0</v>
      </c>
      <c r="J5" s="125">
        <f t="shared" si="2"/>
        <v>0</v>
      </c>
      <c r="K5" s="125">
        <f t="shared" si="2"/>
        <v>0</v>
      </c>
      <c r="L5" s="125">
        <f t="shared" si="2"/>
        <v>0</v>
      </c>
      <c r="M5" s="125">
        <f t="shared" si="2"/>
        <v>15882.51294477513</v>
      </c>
      <c r="N5" s="125">
        <f t="shared" si="2"/>
        <v>15717.392757275129</v>
      </c>
      <c r="O5" s="125">
        <f t="shared" si="2"/>
        <v>15738.54282187597</v>
      </c>
      <c r="P5" s="125">
        <f t="shared" si="2"/>
        <v>15738.54282187597</v>
      </c>
      <c r="Q5" s="125">
        <f t="shared" si="2"/>
        <v>15759.692886476809</v>
      </c>
      <c r="R5" s="125">
        <f t="shared" si="2"/>
        <v>15594.572698976808</v>
      </c>
      <c r="S5" s="125">
        <f t="shared" si="2"/>
        <v>15429.452511476808</v>
      </c>
      <c r="T5" s="125">
        <f t="shared" si="2"/>
        <v>16444.005116888005</v>
      </c>
      <c r="U5" s="125">
        <f t="shared" si="2"/>
        <v>20847.801654529707</v>
      </c>
      <c r="V5" s="125">
        <f t="shared" si="2"/>
        <v>20761.45048357106</v>
      </c>
      <c r="W5" s="125">
        <f t="shared" si="2"/>
        <v>20668.054203763368</v>
      </c>
      <c r="X5" s="125">
        <f t="shared" si="2"/>
        <v>20609.91358769194</v>
      </c>
      <c r="Y5" s="125">
        <f t="shared" si="2"/>
        <v>23298.32191014057</v>
      </c>
      <c r="Z5" s="125">
        <f t="shared" si="2"/>
        <v>24540.599820060193</v>
      </c>
      <c r="AA5" s="125">
        <f t="shared" si="2"/>
        <v>25784.244405309506</v>
      </c>
      <c r="AB5" s="125">
        <f t="shared" si="2"/>
        <v>27029.255665888508</v>
      </c>
      <c r="AC5" s="125">
        <f t="shared" si="2"/>
        <v>27029.255665888508</v>
      </c>
      <c r="AD5" s="125">
        <f t="shared" si="2"/>
        <v>28600.105628692727</v>
      </c>
      <c r="AE5" s="125">
        <f t="shared" si="2"/>
        <v>30367.756838971938</v>
      </c>
      <c r="AF5" s="125">
        <f t="shared" si="2"/>
        <v>32332.209296726156</v>
      </c>
      <c r="AG5" s="125">
        <f t="shared" si="2"/>
        <v>34493.46300195537</v>
      </c>
      <c r="AH5" s="125">
        <f t="shared" si="2"/>
        <v>36851.51795465958</v>
      </c>
      <c r="AI5" s="125">
        <f>AI11+AI6</f>
        <v>40105.13572697474</v>
      </c>
      <c r="AJ5" s="126"/>
      <c r="AK5" s="126"/>
      <c r="AL5" s="126"/>
      <c r="AM5" s="126"/>
      <c r="AN5" s="126"/>
      <c r="AO5" s="126"/>
      <c r="AP5" s="126"/>
    </row>
    <row r="6" spans="1:35" s="127" customFormat="1" ht="15" customHeight="1">
      <c r="A6" s="123" t="s">
        <v>118</v>
      </c>
      <c r="B6" s="124"/>
      <c r="C6" s="125">
        <f>SUM(C7:C10)</f>
        <v>0</v>
      </c>
      <c r="D6" s="125">
        <f>SUM(D7:D10)</f>
        <v>0</v>
      </c>
      <c r="E6" s="125">
        <f aca="true" t="shared" si="3" ref="E6:AH6">SUM(E7:E10)</f>
        <v>0</v>
      </c>
      <c r="F6" s="125">
        <f t="shared" si="3"/>
        <v>0</v>
      </c>
      <c r="G6" s="125">
        <f t="shared" si="3"/>
        <v>0</v>
      </c>
      <c r="H6" s="125">
        <f t="shared" si="3"/>
        <v>0</v>
      </c>
      <c r="I6" s="125">
        <f t="shared" si="3"/>
        <v>0</v>
      </c>
      <c r="J6" s="125">
        <f t="shared" si="3"/>
        <v>0</v>
      </c>
      <c r="K6" s="125">
        <f t="shared" si="3"/>
        <v>0</v>
      </c>
      <c r="L6" s="125">
        <f t="shared" si="3"/>
        <v>0</v>
      </c>
      <c r="M6" s="125">
        <f t="shared" si="3"/>
        <v>196.0951322751323</v>
      </c>
      <c r="N6" s="125">
        <f t="shared" si="3"/>
        <v>196.0951322751323</v>
      </c>
      <c r="O6" s="125">
        <f t="shared" si="3"/>
        <v>382.3653843759726</v>
      </c>
      <c r="P6" s="125">
        <f t="shared" si="3"/>
        <v>382.3653843759726</v>
      </c>
      <c r="Q6" s="125">
        <f t="shared" si="3"/>
        <v>568.6356364768129</v>
      </c>
      <c r="R6" s="125">
        <f t="shared" si="3"/>
        <v>568.6356364768129</v>
      </c>
      <c r="S6" s="125">
        <f t="shared" si="3"/>
        <v>568.6356364768129</v>
      </c>
      <c r="T6" s="125">
        <f t="shared" si="3"/>
        <v>1748.3084293880097</v>
      </c>
      <c r="U6" s="125">
        <f t="shared" si="3"/>
        <v>6317.225154529713</v>
      </c>
      <c r="V6" s="125">
        <f t="shared" si="3"/>
        <v>6395.994171071066</v>
      </c>
      <c r="W6" s="125">
        <f t="shared" si="3"/>
        <v>6467.718078763374</v>
      </c>
      <c r="X6" s="125">
        <f t="shared" si="3"/>
        <v>6574.697650191945</v>
      </c>
      <c r="Y6" s="125">
        <f t="shared" si="3"/>
        <v>9428.226160140577</v>
      </c>
      <c r="Z6" s="125">
        <f t="shared" si="3"/>
        <v>10835.624257560203</v>
      </c>
      <c r="AA6" s="125">
        <f t="shared" si="3"/>
        <v>12244.389030309516</v>
      </c>
      <c r="AB6" s="125">
        <f t="shared" si="3"/>
        <v>13654.520478388518</v>
      </c>
      <c r="AC6" s="125">
        <f t="shared" si="3"/>
        <v>13654.520478388518</v>
      </c>
      <c r="AD6" s="125">
        <f t="shared" si="3"/>
        <v>17206.812691192736</v>
      </c>
      <c r="AE6" s="125">
        <f t="shared" si="3"/>
        <v>20955.90615147195</v>
      </c>
      <c r="AF6" s="125">
        <f t="shared" si="3"/>
        <v>24901.800859226165</v>
      </c>
      <c r="AG6" s="125">
        <f t="shared" si="3"/>
        <v>29044.496814455382</v>
      </c>
      <c r="AH6" s="125">
        <f t="shared" si="3"/>
        <v>33383.994017159595</v>
      </c>
      <c r="AI6" s="125">
        <f>SUM(AI7:AI10)</f>
        <v>38619.05403947475</v>
      </c>
    </row>
    <row r="7" spans="1:35" ht="15" customHeight="1">
      <c r="A7" s="128" t="s">
        <v>119</v>
      </c>
      <c r="B7" s="124"/>
      <c r="C7" s="129"/>
      <c r="D7" s="129">
        <f>'1-Ф3'!D40</f>
        <v>0</v>
      </c>
      <c r="E7" s="129">
        <f>'1-Ф3'!E40</f>
        <v>0</v>
      </c>
      <c r="F7" s="129">
        <f>'1-Ф3'!F40</f>
        <v>0</v>
      </c>
      <c r="G7" s="129">
        <f>'1-Ф3'!G40</f>
        <v>0</v>
      </c>
      <c r="H7" s="129">
        <f>'1-Ф3'!H40</f>
        <v>0</v>
      </c>
      <c r="I7" s="129">
        <f>'1-Ф3'!I40</f>
        <v>0</v>
      </c>
      <c r="J7" s="129">
        <f>'1-Ф3'!J40</f>
        <v>0</v>
      </c>
      <c r="K7" s="129">
        <f>'1-Ф3'!K40</f>
        <v>0</v>
      </c>
      <c r="L7" s="129">
        <f>'1-Ф3'!L40</f>
        <v>0</v>
      </c>
      <c r="M7" s="129">
        <f>'1-Ф3'!M40</f>
        <v>0</v>
      </c>
      <c r="N7" s="129">
        <f>'1-Ф3'!N40</f>
        <v>0</v>
      </c>
      <c r="O7" s="129">
        <f>'1-Ф3'!O40</f>
        <v>0</v>
      </c>
      <c r="P7" s="129">
        <f>'1-Ф3'!P40</f>
        <v>0</v>
      </c>
      <c r="Q7" s="129">
        <f>'1-Ф3'!Q40</f>
        <v>0</v>
      </c>
      <c r="R7" s="129">
        <f>'1-Ф3'!R40</f>
        <v>0</v>
      </c>
      <c r="S7" s="129">
        <f>'1-Ф3'!S40</f>
        <v>0</v>
      </c>
      <c r="T7" s="129">
        <f>'1-Ф3'!T40</f>
        <v>0</v>
      </c>
      <c r="U7" s="129">
        <f>'1-Ф3'!U40</f>
        <v>0</v>
      </c>
      <c r="V7" s="129">
        <f>'1-Ф3'!V40</f>
        <v>0</v>
      </c>
      <c r="W7" s="129">
        <f>'1-Ф3'!W40</f>
        <v>0</v>
      </c>
      <c r="X7" s="129">
        <f>'1-Ф3'!X40</f>
        <v>0</v>
      </c>
      <c r="Y7" s="129">
        <f>'1-Ф3'!Y40</f>
        <v>0</v>
      </c>
      <c r="Z7" s="129">
        <f>'1-Ф3'!Z40</f>
        <v>2214.7219918345904</v>
      </c>
      <c r="AA7" s="129">
        <f>'1-Ф3'!AA40</f>
        <v>4626.905791274001</v>
      </c>
      <c r="AB7" s="129">
        <f>'1-Ф3'!AB40</f>
        <v>6854.186013942259</v>
      </c>
      <c r="AC7" s="129">
        <f>'1-Ф3'!AC40</f>
        <v>6854.186013942259</v>
      </c>
      <c r="AD7" s="129">
        <f>'1-Ф3'!AD40</f>
        <v>10406.478226746476</v>
      </c>
      <c r="AE7" s="129">
        <f>'1-Ф3'!AE40</f>
        <v>14155.571687025693</v>
      </c>
      <c r="AF7" s="129">
        <f>'1-Ф3'!AF40</f>
        <v>18101.466394779905</v>
      </c>
      <c r="AG7" s="129">
        <f>'1-Ф3'!AG40</f>
        <v>22244.162350009123</v>
      </c>
      <c r="AH7" s="129">
        <f>'1-Ф3'!AH40</f>
        <v>26583.65955271334</v>
      </c>
      <c r="AI7" s="129">
        <f>'1-Ф3'!AI40</f>
        <v>31818.71957502849</v>
      </c>
    </row>
    <row r="8" spans="1:35" ht="15" customHeight="1">
      <c r="A8" s="128" t="s">
        <v>120</v>
      </c>
      <c r="B8" s="124"/>
      <c r="C8" s="129"/>
      <c r="D8" s="129">
        <f>C8+'2-ф2'!D5-'1-Ф3'!D9/Исх!$C$20</f>
        <v>0</v>
      </c>
      <c r="E8" s="129">
        <f>D8+'2-ф2'!E5-'1-Ф3'!E9/Исх!$C$20</f>
        <v>0</v>
      </c>
      <c r="F8" s="129">
        <f>E8+'2-ф2'!F5-'1-Ф3'!F9/Исх!$C$20</f>
        <v>0</v>
      </c>
      <c r="G8" s="129">
        <f>F8+'2-ф2'!G5-'1-Ф3'!G9/Исх!$C$20</f>
        <v>0</v>
      </c>
      <c r="H8" s="129">
        <f>G8+'2-ф2'!H5-'1-Ф3'!H9/Исх!$C$20</f>
        <v>0</v>
      </c>
      <c r="I8" s="129">
        <f>H8+'2-ф2'!I5-'1-Ф3'!I9/Исх!$C$20</f>
        <v>0</v>
      </c>
      <c r="J8" s="129">
        <f>I8+'2-ф2'!J5-'1-Ф3'!J9/Исх!$C$20</f>
        <v>0</v>
      </c>
      <c r="K8" s="129">
        <f>J8+'2-ф2'!K5-'1-Ф3'!K9/Исх!$C$20</f>
        <v>0</v>
      </c>
      <c r="L8" s="129">
        <f>K8+'2-ф2'!L5-'1-Ф3'!L9/Исх!$C$20</f>
        <v>0</v>
      </c>
      <c r="M8" s="129">
        <f>L8+'2-ф2'!M5-'1-Ф3'!M9/Исх!$C$20</f>
        <v>0</v>
      </c>
      <c r="N8" s="129">
        <f>M8+'2-ф2'!N5-'1-Ф3'!N9/Исх!$C$20</f>
        <v>0</v>
      </c>
      <c r="O8" s="129">
        <f>N8+'2-ф2'!O5-'1-Ф3'!O9/Исх!$C$20</f>
        <v>0</v>
      </c>
      <c r="P8" s="129">
        <f>O8</f>
        <v>0</v>
      </c>
      <c r="Q8" s="129">
        <f>P8+'2-ф2'!Q5-'1-Ф3'!Q9/Исх!$C$20</f>
        <v>0</v>
      </c>
      <c r="R8" s="129">
        <f>Q8+'2-ф2'!R5-'1-Ф3'!R9/Исх!$C$20</f>
        <v>0</v>
      </c>
      <c r="S8" s="129">
        <f>R8+'2-ф2'!S5-'1-Ф3'!S9/Исх!$C$20</f>
        <v>0</v>
      </c>
      <c r="T8" s="129">
        <f>S8+'2-ф2'!T5-'1-Ф3'!T9/Исх!$C$20</f>
        <v>0</v>
      </c>
      <c r="U8" s="129">
        <f>T8+'2-ф2'!U5-'1-Ф3'!U9/Исх!$C$20</f>
        <v>0</v>
      </c>
      <c r="V8" s="129">
        <f>U8+'2-ф2'!V5-'1-Ф3'!V9/Исх!$C$20</f>
        <v>0</v>
      </c>
      <c r="W8" s="129">
        <f>V8+'2-ф2'!W5-'1-Ф3'!W9/Исх!$C$20</f>
        <v>0</v>
      </c>
      <c r="X8" s="129">
        <f>W8+'2-ф2'!X5-'1-Ф3'!X9/Исх!$C$20</f>
        <v>0</v>
      </c>
      <c r="Y8" s="129">
        <f>X8+'2-ф2'!Y5-'1-Ф3'!Y9/Исх!$C$20</f>
        <v>0</v>
      </c>
      <c r="Z8" s="129">
        <f>Y8+'2-ф2'!Z5-'1-Ф3'!Z9/Исх!$C$20</f>
        <v>0</v>
      </c>
      <c r="AA8" s="129">
        <f>Z8+'2-ф2'!AA5-'1-Ф3'!AA9/Исх!$C$20</f>
        <v>0</v>
      </c>
      <c r="AB8" s="129">
        <f>AA8+'2-ф2'!AB5-'1-Ф3'!AB9/Исх!$C$20</f>
        <v>0</v>
      </c>
      <c r="AC8" s="129">
        <f>AB8</f>
        <v>0</v>
      </c>
      <c r="AD8" s="129">
        <f>AC8+'2-ф2'!AD5-'1-Ф3'!AD9/Исх!$C$20</f>
        <v>0</v>
      </c>
      <c r="AE8" s="129">
        <f>AD8+'2-ф2'!AE5-'1-Ф3'!AE9/Исх!$C$20</f>
        <v>0</v>
      </c>
      <c r="AF8" s="129">
        <f>AE8+'2-ф2'!AF5-'1-Ф3'!AF9/Исх!$C$20</f>
        <v>0</v>
      </c>
      <c r="AG8" s="129">
        <f>AF8+'2-ф2'!AG5-'1-Ф3'!AG9/Исх!$C$20</f>
        <v>0</v>
      </c>
      <c r="AH8" s="129">
        <f>AG8+'2-ф2'!AH5-'1-Ф3'!AH9/Исх!$C$20</f>
        <v>0</v>
      </c>
      <c r="AI8" s="129">
        <f>AH8+'2-ф2'!AI5-'1-Ф3'!AI9/Исх!$C$20</f>
        <v>0</v>
      </c>
    </row>
    <row r="9" spans="1:35" ht="15" customHeight="1">
      <c r="A9" s="128" t="s">
        <v>121</v>
      </c>
      <c r="B9" s="124"/>
      <c r="C9" s="129"/>
      <c r="D9" s="129">
        <f>C9+'1-Ф3'!D14/Исх!$C$20-'2-ф2'!D9</f>
        <v>0</v>
      </c>
      <c r="E9" s="129">
        <f>D9+'1-Ф3'!E14/Исх!$C$20-'2-ф2'!E9</f>
        <v>0</v>
      </c>
      <c r="F9" s="129">
        <f>E9+'1-Ф3'!F14/Исх!$C$20-'2-ф2'!F9</f>
        <v>0</v>
      </c>
      <c r="G9" s="129">
        <f>F9</f>
        <v>0</v>
      </c>
      <c r="H9" s="129">
        <f>G9</f>
        <v>0</v>
      </c>
      <c r="I9" s="129">
        <f>H9</f>
        <v>0</v>
      </c>
      <c r="J9" s="129">
        <f aca="true" t="shared" si="4" ref="J9:O9">I9</f>
        <v>0</v>
      </c>
      <c r="K9" s="129">
        <f t="shared" si="4"/>
        <v>0</v>
      </c>
      <c r="L9" s="129">
        <f t="shared" si="4"/>
        <v>0</v>
      </c>
      <c r="M9" s="129">
        <f t="shared" si="4"/>
        <v>0</v>
      </c>
      <c r="N9" s="129">
        <f t="shared" si="4"/>
        <v>0</v>
      </c>
      <c r="O9" s="129">
        <f t="shared" si="4"/>
        <v>0</v>
      </c>
      <c r="P9" s="129">
        <f>O9</f>
        <v>0</v>
      </c>
      <c r="Q9" s="129">
        <f>O9</f>
        <v>0</v>
      </c>
      <c r="R9" s="129">
        <f aca="true" t="shared" si="5" ref="R9:AB9">P9</f>
        <v>0</v>
      </c>
      <c r="S9" s="129">
        <f t="shared" si="5"/>
        <v>0</v>
      </c>
      <c r="T9" s="129">
        <f t="shared" si="5"/>
        <v>0</v>
      </c>
      <c r="U9" s="129">
        <f t="shared" si="5"/>
        <v>0</v>
      </c>
      <c r="V9" s="129">
        <f t="shared" si="5"/>
        <v>0</v>
      </c>
      <c r="W9" s="129">
        <f t="shared" si="5"/>
        <v>0</v>
      </c>
      <c r="X9" s="129">
        <f t="shared" si="5"/>
        <v>0</v>
      </c>
      <c r="Y9" s="129">
        <f t="shared" si="5"/>
        <v>0</v>
      </c>
      <c r="Z9" s="129">
        <f t="shared" si="5"/>
        <v>0</v>
      </c>
      <c r="AA9" s="129">
        <f t="shared" si="5"/>
        <v>0</v>
      </c>
      <c r="AB9" s="129">
        <f t="shared" si="5"/>
        <v>0</v>
      </c>
      <c r="AC9" s="129">
        <f>AB9</f>
        <v>0</v>
      </c>
      <c r="AD9" s="129">
        <f aca="true" t="shared" si="6" ref="AD9:AI9">AB9</f>
        <v>0</v>
      </c>
      <c r="AE9" s="129">
        <f t="shared" si="6"/>
        <v>0</v>
      </c>
      <c r="AF9" s="129">
        <f t="shared" si="6"/>
        <v>0</v>
      </c>
      <c r="AG9" s="129">
        <f t="shared" si="6"/>
        <v>0</v>
      </c>
      <c r="AH9" s="129">
        <f t="shared" si="6"/>
        <v>0</v>
      </c>
      <c r="AI9" s="129">
        <f t="shared" si="6"/>
        <v>0</v>
      </c>
    </row>
    <row r="10" spans="1:35" ht="25.5">
      <c r="A10" s="128" t="s">
        <v>449</v>
      </c>
      <c r="B10" s="124"/>
      <c r="C10" s="129"/>
      <c r="D10" s="129"/>
      <c r="E10" s="129"/>
      <c r="F10" s="129">
        <f>E10+'1-Ф3'!F14/Исх!$C$20*ндс</f>
        <v>0</v>
      </c>
      <c r="G10" s="129">
        <f>F10+'1-Ф3'!G13+'1-Ф3'!G14+'1-Ф3'!G18-'2-ф2'!G9-'2-ф2'!G13</f>
        <v>0</v>
      </c>
      <c r="H10" s="129">
        <f>G10+'1-Ф3'!H13+'1-Ф3'!H14+'1-Ф3'!H18-'2-ф2'!H9-'2-ф2'!H13</f>
        <v>0</v>
      </c>
      <c r="I10" s="129">
        <f>H10+'1-Ф3'!I13+'1-Ф3'!I14+'1-Ф3'!I18-'2-ф2'!I9-'2-ф2'!I13</f>
        <v>0</v>
      </c>
      <c r="J10" s="129">
        <f>I10+'1-Ф3'!J13+'1-Ф3'!J14+'1-Ф3'!J18-'2-ф2'!J9-'2-ф2'!J13</f>
        <v>0</v>
      </c>
      <c r="K10" s="129">
        <f>J10+'1-Ф3'!K13+'1-Ф3'!K14+'1-Ф3'!K18-'2-ф2'!K9-'2-ф2'!K13</f>
        <v>0</v>
      </c>
      <c r="L10" s="129">
        <f>K10+'1-Ф3'!L13+'1-Ф3'!L14+'1-Ф3'!L18-'2-ф2'!L9-'2-ф2'!L13</f>
        <v>0</v>
      </c>
      <c r="M10" s="129">
        <f>L10+SUM('1-Ф3'!M13:M18)-'2-ф2'!M8</f>
        <v>196.0951322751323</v>
      </c>
      <c r="N10" s="129">
        <f>M10+SUM('1-Ф3'!N13:N18)-'2-ф2'!N8</f>
        <v>196.0951322751323</v>
      </c>
      <c r="O10" s="129">
        <f>N10+SUM('1-Ф3'!O13:O18)-'2-ф2'!O8</f>
        <v>382.3653843759726</v>
      </c>
      <c r="P10" s="129">
        <f>O10</f>
        <v>382.3653843759726</v>
      </c>
      <c r="Q10" s="129">
        <f>P10+SUM('1-Ф3'!Q13:Q18)-'2-ф2'!Q8</f>
        <v>568.6356364768129</v>
      </c>
      <c r="R10" s="129">
        <f>Q10+SUM('1-Ф3'!R13:R18)-'2-ф2'!R8</f>
        <v>568.6356364768129</v>
      </c>
      <c r="S10" s="129">
        <f>R10+SUM('1-Ф3'!S13:S18)-'2-ф2'!S8</f>
        <v>568.6356364768129</v>
      </c>
      <c r="T10" s="129">
        <f>S10+SUM('1-Ф3'!T13:T18)-'2-ф2'!T8</f>
        <v>1748.3084293880097</v>
      </c>
      <c r="U10" s="129">
        <f>T10+SUM('1-Ф3'!U13:U18)-'2-ф2'!U8</f>
        <v>6317.225154529713</v>
      </c>
      <c r="V10" s="129">
        <f>U10+SUM('1-Ф3'!V13:V18)-'2-ф2'!V8</f>
        <v>6395.994171071066</v>
      </c>
      <c r="W10" s="129">
        <f>V10+SUM('1-Ф3'!W13:W18)-'2-ф2'!W8</f>
        <v>6467.718078763374</v>
      </c>
      <c r="X10" s="129">
        <f>W10+SUM('1-Ф3'!X13:X18)-'2-ф2'!X8</f>
        <v>6574.697650191945</v>
      </c>
      <c r="Y10" s="129">
        <f>X10+SUM('1-Ф3'!Y13:Y18)-'2-ф2'!Y8</f>
        <v>9428.226160140577</v>
      </c>
      <c r="Z10" s="129">
        <f>Y10+SUM('1-Ф3'!Z13:Z18)-'2-ф2'!Z8</f>
        <v>8620.902265725612</v>
      </c>
      <c r="AA10" s="129">
        <f>Z10+SUM('1-Ф3'!AA13:AA18)-'2-ф2'!AA8</f>
        <v>7617.483239035515</v>
      </c>
      <c r="AB10" s="129">
        <f>AA10+SUM('1-Ф3'!AB13:AB18)-'2-ф2'!AB8</f>
        <v>6800.3344644462595</v>
      </c>
      <c r="AC10" s="129">
        <f>AB10</f>
        <v>6800.3344644462595</v>
      </c>
      <c r="AD10" s="129">
        <f>AC10+SUM('1-Ф3'!AD13:AD18)-'2-ф2'!AD8</f>
        <v>6800.334464446259</v>
      </c>
      <c r="AE10" s="129">
        <f>AD10+SUM('1-Ф3'!AE13:AE18)-'2-ф2'!AE8</f>
        <v>6800.334464446259</v>
      </c>
      <c r="AF10" s="129">
        <f>AE10+SUM('1-Ф3'!AF13:AF18)-'2-ф2'!AF8</f>
        <v>6800.334464446259</v>
      </c>
      <c r="AG10" s="129">
        <f>AF10+SUM('1-Ф3'!AG13:AG18)-'2-ф2'!AG8</f>
        <v>6800.334464446259</v>
      </c>
      <c r="AH10" s="129">
        <f>AG10+SUM('1-Ф3'!AH13:AH18)-'2-ф2'!AH8</f>
        <v>6800.334464446259</v>
      </c>
      <c r="AI10" s="129">
        <f>AH10+SUM('1-Ф3'!AI13:AI18)-'2-ф2'!AI8</f>
        <v>6800.334464446259</v>
      </c>
    </row>
    <row r="11" spans="1:35" ht="15" customHeight="1">
      <c r="A11" s="123" t="s">
        <v>122</v>
      </c>
      <c r="B11" s="124"/>
      <c r="C11" s="125">
        <f aca="true" t="shared" si="7" ref="C11:AH11">SUM(C12:C14)</f>
        <v>0</v>
      </c>
      <c r="D11" s="125">
        <f t="shared" si="7"/>
        <v>0</v>
      </c>
      <c r="E11" s="125">
        <f t="shared" si="7"/>
        <v>0</v>
      </c>
      <c r="F11" s="125">
        <f t="shared" si="7"/>
        <v>0</v>
      </c>
      <c r="G11" s="125">
        <f t="shared" si="7"/>
        <v>0</v>
      </c>
      <c r="H11" s="125">
        <f t="shared" si="7"/>
        <v>0</v>
      </c>
      <c r="I11" s="125">
        <f t="shared" si="7"/>
        <v>0</v>
      </c>
      <c r="J11" s="125">
        <f t="shared" si="7"/>
        <v>0</v>
      </c>
      <c r="K11" s="125">
        <f t="shared" si="7"/>
        <v>0</v>
      </c>
      <c r="L11" s="125">
        <f t="shared" si="7"/>
        <v>0</v>
      </c>
      <c r="M11" s="125">
        <f t="shared" si="7"/>
        <v>15686.417812499998</v>
      </c>
      <c r="N11" s="125">
        <f t="shared" si="7"/>
        <v>15521.297624999997</v>
      </c>
      <c r="O11" s="125">
        <f t="shared" si="7"/>
        <v>15356.177437499997</v>
      </c>
      <c r="P11" s="125">
        <f t="shared" si="7"/>
        <v>15356.177437499997</v>
      </c>
      <c r="Q11" s="125">
        <f t="shared" si="7"/>
        <v>15191.057249999996</v>
      </c>
      <c r="R11" s="125">
        <f t="shared" si="7"/>
        <v>15025.937062499996</v>
      </c>
      <c r="S11" s="125">
        <f t="shared" si="7"/>
        <v>14860.816874999995</v>
      </c>
      <c r="T11" s="125">
        <f t="shared" si="7"/>
        <v>14695.696687499994</v>
      </c>
      <c r="U11" s="125">
        <f t="shared" si="7"/>
        <v>14530.576499999994</v>
      </c>
      <c r="V11" s="125">
        <f t="shared" si="7"/>
        <v>14365.456312499993</v>
      </c>
      <c r="W11" s="125">
        <f t="shared" si="7"/>
        <v>14200.336124999993</v>
      </c>
      <c r="X11" s="125">
        <f t="shared" si="7"/>
        <v>14035.215937499992</v>
      </c>
      <c r="Y11" s="125">
        <f t="shared" si="7"/>
        <v>13870.095749999991</v>
      </c>
      <c r="Z11" s="125">
        <f t="shared" si="7"/>
        <v>13704.97556249999</v>
      </c>
      <c r="AA11" s="125">
        <f t="shared" si="7"/>
        <v>13539.85537499999</v>
      </c>
      <c r="AB11" s="125">
        <f t="shared" si="7"/>
        <v>13374.73518749999</v>
      </c>
      <c r="AC11" s="125">
        <f t="shared" si="7"/>
        <v>13374.73518749999</v>
      </c>
      <c r="AD11" s="125">
        <f t="shared" si="7"/>
        <v>11393.29293749999</v>
      </c>
      <c r="AE11" s="125">
        <f t="shared" si="7"/>
        <v>9411.85068749999</v>
      </c>
      <c r="AF11" s="125">
        <f t="shared" si="7"/>
        <v>7430.408437499989</v>
      </c>
      <c r="AG11" s="125">
        <f t="shared" si="7"/>
        <v>5448.966187499989</v>
      </c>
      <c r="AH11" s="125">
        <f t="shared" si="7"/>
        <v>3467.523937499989</v>
      </c>
      <c r="AI11" s="125">
        <f>SUM(AI12:AI14)</f>
        <v>1486.0816874999894</v>
      </c>
    </row>
    <row r="12" spans="1:35" ht="12.75">
      <c r="A12" s="128" t="s">
        <v>123</v>
      </c>
      <c r="B12" s="130"/>
      <c r="C12" s="129"/>
      <c r="D12" s="129">
        <f>C12+'1-Ф3'!D26/Исх!$C$20-'2-ф2'!D16</f>
        <v>0</v>
      </c>
      <c r="E12" s="129">
        <f>D12+'1-Ф3'!E26/Исх!$C$20-'2-ф2'!E16</f>
        <v>0</v>
      </c>
      <c r="F12" s="129">
        <f>E12+'1-Ф3'!F26/Исх!$C$20-'2-ф2'!F16</f>
        <v>0</v>
      </c>
      <c r="G12" s="129">
        <f>F12+'1-Ф3'!G26/Исх!$C$20-'2-ф2'!G16</f>
        <v>0</v>
      </c>
      <c r="H12" s="129">
        <f>G12+'1-Ф3'!H26/Исх!$C$20-'2-ф2'!H16</f>
        <v>0</v>
      </c>
      <c r="I12" s="129">
        <f>H12+'1-Ф3'!I26/Исх!$C$20-'2-ф2'!I16</f>
        <v>0</v>
      </c>
      <c r="J12" s="129">
        <f>I12+'1-Ф3'!J26/Исх!$C$20-'2-ф2'!J16</f>
        <v>0</v>
      </c>
      <c r="K12" s="129">
        <f>J12+'1-Ф3'!K26/Исх!$C$20-'2-ф2'!K16</f>
        <v>0</v>
      </c>
      <c r="L12" s="129">
        <f>K12+'1-Ф3'!L26/Исх!$C$20-'2-ф2'!L16</f>
        <v>0</v>
      </c>
      <c r="M12" s="129">
        <f>L12+'1-Ф3'!M26/Исх!$C$20-'2-ф2'!M16</f>
        <v>15686.417812499998</v>
      </c>
      <c r="N12" s="129">
        <f>M12+'1-Ф3'!N26/Исх!$C$20-'2-ф2'!N16</f>
        <v>15521.297624999997</v>
      </c>
      <c r="O12" s="129">
        <f>N12+'1-Ф3'!O26/Исх!$C$20-'2-ф2'!O16</f>
        <v>15356.177437499997</v>
      </c>
      <c r="P12" s="129">
        <f>O12</f>
        <v>15356.177437499997</v>
      </c>
      <c r="Q12" s="129">
        <f>P12+'1-Ф3'!Q26/Исх!$C$20-'2-ф2'!Q16</f>
        <v>15191.057249999996</v>
      </c>
      <c r="R12" s="129">
        <f>Q12+'1-Ф3'!R26/Исх!$C$20-'2-ф2'!R16</f>
        <v>15025.937062499996</v>
      </c>
      <c r="S12" s="129">
        <f>R12+'1-Ф3'!S26/Исх!$C$20-'2-ф2'!S16</f>
        <v>14860.816874999995</v>
      </c>
      <c r="T12" s="129">
        <f>S12+'1-Ф3'!T26/Исх!$C$20-'2-ф2'!T16</f>
        <v>14695.696687499994</v>
      </c>
      <c r="U12" s="129">
        <f>T12+'1-Ф3'!U26/Исх!$C$20-'2-ф2'!U16</f>
        <v>14530.576499999994</v>
      </c>
      <c r="V12" s="129">
        <f>U12+'1-Ф3'!V26/Исх!$C$20-'2-ф2'!V16</f>
        <v>14365.456312499993</v>
      </c>
      <c r="W12" s="129">
        <f>V12+'1-Ф3'!W26/Исх!$C$20-'2-ф2'!W16</f>
        <v>14200.336124999993</v>
      </c>
      <c r="X12" s="129">
        <f>W12+'1-Ф3'!X26/Исх!$C$20-'2-ф2'!X16</f>
        <v>14035.215937499992</v>
      </c>
      <c r="Y12" s="129">
        <f>X12+'1-Ф3'!Y26/Исх!$C$20-'2-ф2'!Y16</f>
        <v>13870.095749999991</v>
      </c>
      <c r="Z12" s="129">
        <f>Y12+'1-Ф3'!Z26/Исх!$C$20-'2-ф2'!Z16</f>
        <v>13704.97556249999</v>
      </c>
      <c r="AA12" s="129">
        <f>Z12+'1-Ф3'!AA26/Исх!$C$20-'2-ф2'!AA16</f>
        <v>13539.85537499999</v>
      </c>
      <c r="AB12" s="129">
        <f>AA12+'1-Ф3'!AB26/Исх!$C$20-'2-ф2'!AB16</f>
        <v>13374.73518749999</v>
      </c>
      <c r="AC12" s="129">
        <f>AB12</f>
        <v>13374.73518749999</v>
      </c>
      <c r="AD12" s="129">
        <f>AC12+'1-Ф3'!AD26/Исх!$C$20-'2-ф2'!AD16</f>
        <v>11393.29293749999</v>
      </c>
      <c r="AE12" s="129">
        <f>AD12+'1-Ф3'!AE26/Исх!$C$20-'2-ф2'!AE16</f>
        <v>9411.85068749999</v>
      </c>
      <c r="AF12" s="129">
        <f>AE12+'1-Ф3'!AF26/Исх!$C$20-'2-ф2'!AF16</f>
        <v>7430.408437499989</v>
      </c>
      <c r="AG12" s="129">
        <f>AF12+'1-Ф3'!AG26/Исх!$C$20-'2-ф2'!AG16</f>
        <v>5448.966187499989</v>
      </c>
      <c r="AH12" s="129">
        <f>AG12+'1-Ф3'!AH26/Исх!$C$20-'2-ф2'!AH16</f>
        <v>3467.523937499989</v>
      </c>
      <c r="AI12" s="129">
        <f>AH12+'1-Ф3'!AI26/Исх!$C$20-'2-ф2'!AI16</f>
        <v>1486.0816874999894</v>
      </c>
    </row>
    <row r="13" spans="1:35" ht="15" customHeight="1" hidden="1">
      <c r="A13" s="128" t="s">
        <v>124</v>
      </c>
      <c r="B13" s="130"/>
      <c r="C13" s="129"/>
      <c r="D13" s="129">
        <f>C13</f>
        <v>0</v>
      </c>
      <c r="E13" s="129">
        <f>D13</f>
        <v>0</v>
      </c>
      <c r="F13" s="129">
        <f aca="true" t="shared" si="8" ref="F13:AI14">E13</f>
        <v>0</v>
      </c>
      <c r="G13" s="129">
        <f t="shared" si="8"/>
        <v>0</v>
      </c>
      <c r="H13" s="129">
        <f t="shared" si="8"/>
        <v>0</v>
      </c>
      <c r="I13" s="129">
        <f t="shared" si="8"/>
        <v>0</v>
      </c>
      <c r="J13" s="129">
        <f t="shared" si="8"/>
        <v>0</v>
      </c>
      <c r="K13" s="129">
        <f t="shared" si="8"/>
        <v>0</v>
      </c>
      <c r="L13" s="129">
        <f t="shared" si="8"/>
        <v>0</v>
      </c>
      <c r="M13" s="129">
        <f t="shared" si="8"/>
        <v>0</v>
      </c>
      <c r="N13" s="129">
        <f t="shared" si="8"/>
        <v>0</v>
      </c>
      <c r="O13" s="129">
        <f t="shared" si="8"/>
        <v>0</v>
      </c>
      <c r="P13" s="129">
        <f t="shared" si="8"/>
        <v>0</v>
      </c>
      <c r="Q13" s="129">
        <f t="shared" si="8"/>
        <v>0</v>
      </c>
      <c r="R13" s="129">
        <f t="shared" si="8"/>
        <v>0</v>
      </c>
      <c r="S13" s="129">
        <f t="shared" si="8"/>
        <v>0</v>
      </c>
      <c r="T13" s="129">
        <f t="shared" si="8"/>
        <v>0</v>
      </c>
      <c r="U13" s="129">
        <f t="shared" si="8"/>
        <v>0</v>
      </c>
      <c r="V13" s="129">
        <f t="shared" si="8"/>
        <v>0</v>
      </c>
      <c r="W13" s="129">
        <f t="shared" si="8"/>
        <v>0</v>
      </c>
      <c r="X13" s="129">
        <f t="shared" si="8"/>
        <v>0</v>
      </c>
      <c r="Y13" s="129">
        <f t="shared" si="8"/>
        <v>0</v>
      </c>
      <c r="Z13" s="129">
        <f t="shared" si="8"/>
        <v>0</v>
      </c>
      <c r="AA13" s="129">
        <f t="shared" si="8"/>
        <v>0</v>
      </c>
      <c r="AB13" s="129">
        <f t="shared" si="8"/>
        <v>0</v>
      </c>
      <c r="AC13" s="129">
        <f t="shared" si="8"/>
        <v>0</v>
      </c>
      <c r="AD13" s="129">
        <f t="shared" si="8"/>
        <v>0</v>
      </c>
      <c r="AE13" s="129">
        <f t="shared" si="8"/>
        <v>0</v>
      </c>
      <c r="AF13" s="129">
        <f t="shared" si="8"/>
        <v>0</v>
      </c>
      <c r="AG13" s="129">
        <f t="shared" si="8"/>
        <v>0</v>
      </c>
      <c r="AH13" s="129">
        <f t="shared" si="8"/>
        <v>0</v>
      </c>
      <c r="AI13" s="129">
        <f t="shared" si="8"/>
        <v>0</v>
      </c>
    </row>
    <row r="14" spans="1:35" ht="12.75">
      <c r="A14" s="128" t="s">
        <v>125</v>
      </c>
      <c r="B14" s="130"/>
      <c r="C14" s="129"/>
      <c r="D14" s="129">
        <f>IF('2-ф2'!D33&lt;0,-'2-ф2'!D33,0)</f>
        <v>0</v>
      </c>
      <c r="E14" s="129">
        <f>IF('2-ф2'!E33&lt;0,-'2-ф2'!E33,0)</f>
        <v>0</v>
      </c>
      <c r="F14" s="129">
        <f>IF('2-ф2'!F33&lt;0,-'2-ф2'!F33,0)</f>
        <v>0</v>
      </c>
      <c r="G14" s="129">
        <f>IF('2-ф2'!G33&lt;0,-'2-ф2'!G33,0)</f>
        <v>0</v>
      </c>
      <c r="H14" s="129">
        <f>IF('2-ф2'!H33&lt;0,-'2-ф2'!H33,0)</f>
        <v>0</v>
      </c>
      <c r="I14" s="129">
        <f>IF('2-ф2'!I33&lt;0,-'2-ф2'!I33,0)</f>
        <v>0</v>
      </c>
      <c r="J14" s="129">
        <f>IF('2-ф2'!J33&lt;0,-'2-ф2'!J33,0)</f>
        <v>0</v>
      </c>
      <c r="K14" s="129">
        <f>IF('2-ф2'!K33&lt;0,-'2-ф2'!K33,0)</f>
        <v>0</v>
      </c>
      <c r="L14" s="129">
        <f>IF('2-ф2'!L33&lt;0,-'2-ф2'!L33,0)</f>
        <v>0</v>
      </c>
      <c r="M14" s="129">
        <f>IF('2-ф2'!M33&lt;0,-'2-ф2'!M33,0)</f>
        <v>0</v>
      </c>
      <c r="N14" s="129">
        <f>IF('2-ф2'!N33&lt;0,-'2-ф2'!N33,0)</f>
        <v>0</v>
      </c>
      <c r="O14" s="129">
        <f>IF('2-ф2'!O33&lt;0,-'2-ф2'!O33,0)</f>
        <v>0</v>
      </c>
      <c r="P14" s="129">
        <f t="shared" si="8"/>
        <v>0</v>
      </c>
      <c r="Q14" s="129">
        <f>IF('2-ф2'!Q33&lt;0,-'2-ф2'!Q33,0)</f>
        <v>0</v>
      </c>
      <c r="R14" s="129">
        <f>IF('2-ф2'!R33&lt;0,-'2-ф2'!R33,0)</f>
        <v>0</v>
      </c>
      <c r="S14" s="129">
        <f>IF('2-ф2'!S33&lt;0,-'2-ф2'!S33,0)</f>
        <v>0</v>
      </c>
      <c r="T14" s="129">
        <f>IF('2-ф2'!T33&lt;0,-'2-ф2'!T33,0)</f>
        <v>0</v>
      </c>
      <c r="U14" s="129">
        <f>IF('2-ф2'!U33&lt;0,-'2-ф2'!U33,0)</f>
        <v>0</v>
      </c>
      <c r="V14" s="129">
        <f>IF('2-ф2'!V33&lt;0,-'2-ф2'!V33,0)</f>
        <v>0</v>
      </c>
      <c r="W14" s="129">
        <f>IF('2-ф2'!W33&lt;0,-'2-ф2'!W33,0)</f>
        <v>0</v>
      </c>
      <c r="X14" s="129">
        <f>IF('2-ф2'!X33&lt;0,-'2-ф2'!X33,0)</f>
        <v>0</v>
      </c>
      <c r="Y14" s="129">
        <f>IF('2-ф2'!Y33&lt;0,-'2-ф2'!Y33,0)</f>
        <v>0</v>
      </c>
      <c r="Z14" s="129">
        <f>IF('2-ф2'!Z33&lt;0,-'2-ф2'!Z33,0)</f>
        <v>0</v>
      </c>
      <c r="AA14" s="129">
        <f>IF('2-ф2'!AA33&lt;0,-'2-ф2'!AA33,0)</f>
        <v>0</v>
      </c>
      <c r="AB14" s="129">
        <f>IF('2-ф2'!AB33&lt;0,-'2-ф2'!AB33,0)</f>
        <v>0</v>
      </c>
      <c r="AC14" s="129">
        <f t="shared" si="8"/>
        <v>0</v>
      </c>
      <c r="AD14" s="129">
        <f>IF('2-ф2'!AD33&lt;0,-'2-ф2'!AD33,0)</f>
        <v>0</v>
      </c>
      <c r="AE14" s="129">
        <f>IF('2-ф2'!AE33&lt;0,-'2-ф2'!AE33,0)</f>
        <v>0</v>
      </c>
      <c r="AF14" s="129">
        <f>IF('2-ф2'!AF33&lt;0,-'2-ф2'!AF33,0)</f>
        <v>0</v>
      </c>
      <c r="AG14" s="129">
        <f>IF('2-ф2'!AG33&lt;0,-'2-ф2'!AG33,0)</f>
        <v>0</v>
      </c>
      <c r="AH14" s="129">
        <f>IF('2-ф2'!AH33&lt;0,-'2-ф2'!AH33,0)</f>
        <v>0</v>
      </c>
      <c r="AI14" s="129">
        <f>IF('2-ф2'!AI33&lt;0,-'2-ф2'!AI33,0)</f>
        <v>0</v>
      </c>
    </row>
    <row r="15" spans="1:184" ht="12.7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</row>
    <row r="16" spans="1:42" s="127" customFormat="1" ht="15" customHeight="1">
      <c r="A16" s="123" t="s">
        <v>126</v>
      </c>
      <c r="B16" s="124"/>
      <c r="C16" s="124">
        <f aca="true" t="shared" si="9" ref="C16:AH16">C21+C24+C17</f>
        <v>0</v>
      </c>
      <c r="D16" s="124">
        <f t="shared" si="9"/>
        <v>0</v>
      </c>
      <c r="E16" s="124">
        <f t="shared" si="9"/>
        <v>0</v>
      </c>
      <c r="F16" s="124">
        <f t="shared" si="9"/>
        <v>0</v>
      </c>
      <c r="G16" s="124">
        <f t="shared" si="9"/>
        <v>0</v>
      </c>
      <c r="H16" s="124">
        <f t="shared" si="9"/>
        <v>0</v>
      </c>
      <c r="I16" s="124">
        <f t="shared" si="9"/>
        <v>0</v>
      </c>
      <c r="J16" s="124">
        <f t="shared" si="9"/>
        <v>0</v>
      </c>
      <c r="K16" s="124">
        <f t="shared" si="9"/>
        <v>0</v>
      </c>
      <c r="L16" s="124">
        <f t="shared" si="9"/>
        <v>0</v>
      </c>
      <c r="M16" s="124">
        <f t="shared" si="9"/>
        <v>15882.512944775131</v>
      </c>
      <c r="N16" s="124">
        <f t="shared" si="9"/>
        <v>15717.39275727513</v>
      </c>
      <c r="O16" s="124">
        <f t="shared" si="9"/>
        <v>15738.542821875972</v>
      </c>
      <c r="P16" s="124">
        <f t="shared" si="9"/>
        <v>15738.542821875972</v>
      </c>
      <c r="Q16" s="124">
        <f t="shared" si="9"/>
        <v>15759.692886476812</v>
      </c>
      <c r="R16" s="124">
        <f t="shared" si="9"/>
        <v>15594.572698976812</v>
      </c>
      <c r="S16" s="124">
        <f t="shared" si="9"/>
        <v>15429.452511476813</v>
      </c>
      <c r="T16" s="124">
        <f t="shared" si="9"/>
        <v>16444.00511688801</v>
      </c>
      <c r="U16" s="124">
        <f t="shared" si="9"/>
        <v>20847.80165452971</v>
      </c>
      <c r="V16" s="124">
        <f t="shared" si="9"/>
        <v>20761.450483571065</v>
      </c>
      <c r="W16" s="124">
        <f t="shared" si="9"/>
        <v>20668.05420376337</v>
      </c>
      <c r="X16" s="124">
        <f t="shared" si="9"/>
        <v>20609.913587691946</v>
      </c>
      <c r="Y16" s="124">
        <f t="shared" si="9"/>
        <v>23298.321910140578</v>
      </c>
      <c r="Z16" s="124">
        <f t="shared" si="9"/>
        <v>24540.599820060204</v>
      </c>
      <c r="AA16" s="124">
        <f t="shared" si="9"/>
        <v>25784.244405309517</v>
      </c>
      <c r="AB16" s="124">
        <f t="shared" si="9"/>
        <v>27029.255665888515</v>
      </c>
      <c r="AC16" s="124">
        <f t="shared" si="9"/>
        <v>27029.255665888515</v>
      </c>
      <c r="AD16" s="124">
        <f t="shared" si="9"/>
        <v>28600.10562869274</v>
      </c>
      <c r="AE16" s="124">
        <f t="shared" si="9"/>
        <v>30367.75683897196</v>
      </c>
      <c r="AF16" s="124">
        <f t="shared" si="9"/>
        <v>32332.209296726185</v>
      </c>
      <c r="AG16" s="124">
        <f t="shared" si="9"/>
        <v>34493.4630019554</v>
      </c>
      <c r="AH16" s="124">
        <f t="shared" si="9"/>
        <v>36851.51795465962</v>
      </c>
      <c r="AI16" s="124">
        <f>AI21+AI24+AI17</f>
        <v>40105.135726974775</v>
      </c>
      <c r="AJ16" s="126"/>
      <c r="AK16" s="126"/>
      <c r="AL16" s="126"/>
      <c r="AM16" s="126"/>
      <c r="AN16" s="126"/>
      <c r="AO16" s="126"/>
      <c r="AP16" s="126"/>
    </row>
    <row r="17" spans="1:35" ht="15" customHeight="1">
      <c r="A17" s="123" t="s">
        <v>127</v>
      </c>
      <c r="B17" s="124"/>
      <c r="C17" s="124">
        <f aca="true" t="shared" si="10" ref="C17:AH17">SUM(C18:C20)</f>
        <v>0</v>
      </c>
      <c r="D17" s="124">
        <f t="shared" si="10"/>
        <v>0</v>
      </c>
      <c r="E17" s="124">
        <f t="shared" si="10"/>
        <v>0</v>
      </c>
      <c r="F17" s="124">
        <f t="shared" si="10"/>
        <v>0</v>
      </c>
      <c r="G17" s="124">
        <f t="shared" si="10"/>
        <v>0</v>
      </c>
      <c r="H17" s="124">
        <f t="shared" si="10"/>
        <v>0</v>
      </c>
      <c r="I17" s="124">
        <f t="shared" si="10"/>
        <v>0</v>
      </c>
      <c r="J17" s="124">
        <f t="shared" si="10"/>
        <v>0</v>
      </c>
      <c r="K17" s="124">
        <f t="shared" si="10"/>
        <v>0</v>
      </c>
      <c r="L17" s="124">
        <f t="shared" si="10"/>
        <v>0</v>
      </c>
      <c r="M17" s="124">
        <f t="shared" si="10"/>
        <v>0</v>
      </c>
      <c r="N17" s="124">
        <f t="shared" si="10"/>
        <v>92.46730500000001</v>
      </c>
      <c r="O17" s="124">
        <f t="shared" si="10"/>
        <v>184.93461000000002</v>
      </c>
      <c r="P17" s="124">
        <f t="shared" si="10"/>
        <v>184.93461000000002</v>
      </c>
      <c r="Q17" s="124">
        <f t="shared" si="10"/>
        <v>277.40191500000003</v>
      </c>
      <c r="R17" s="124">
        <f t="shared" si="10"/>
        <v>369.86922000000004</v>
      </c>
      <c r="S17" s="124">
        <f t="shared" si="10"/>
        <v>462.33652500000005</v>
      </c>
      <c r="T17" s="124">
        <f t="shared" si="10"/>
        <v>554.8038300000001</v>
      </c>
      <c r="U17" s="124">
        <f t="shared" si="10"/>
        <v>647.2711350000001</v>
      </c>
      <c r="V17" s="124">
        <f t="shared" si="10"/>
        <v>739.7384400000001</v>
      </c>
      <c r="W17" s="124">
        <f t="shared" si="10"/>
        <v>832.2057450000001</v>
      </c>
      <c r="X17" s="124">
        <f t="shared" si="10"/>
        <v>924.6730500000001</v>
      </c>
      <c r="Y17" s="124">
        <f t="shared" si="10"/>
        <v>0</v>
      </c>
      <c r="Z17" s="124">
        <f t="shared" si="10"/>
        <v>0</v>
      </c>
      <c r="AA17" s="124">
        <f t="shared" si="10"/>
        <v>0</v>
      </c>
      <c r="AB17" s="124">
        <f t="shared" si="10"/>
        <v>0</v>
      </c>
      <c r="AC17" s="124">
        <f t="shared" si="10"/>
        <v>0</v>
      </c>
      <c r="AD17" s="124">
        <f t="shared" si="10"/>
        <v>0</v>
      </c>
      <c r="AE17" s="124">
        <f t="shared" si="10"/>
        <v>0</v>
      </c>
      <c r="AF17" s="124">
        <f t="shared" si="10"/>
        <v>0</v>
      </c>
      <c r="AG17" s="124">
        <f t="shared" si="10"/>
        <v>0</v>
      </c>
      <c r="AH17" s="124">
        <f t="shared" si="10"/>
        <v>0</v>
      </c>
      <c r="AI17" s="124">
        <f>SUM(AI18:AI20)</f>
        <v>0</v>
      </c>
    </row>
    <row r="18" spans="1:35" ht="12.75" hidden="1">
      <c r="A18" s="128" t="s">
        <v>128</v>
      </c>
      <c r="B18" s="130"/>
      <c r="C18" s="130"/>
      <c r="D18" s="130">
        <f>C18</f>
        <v>0</v>
      </c>
      <c r="E18" s="130">
        <f>D18</f>
        <v>0</v>
      </c>
      <c r="F18" s="130">
        <f aca="true" t="shared" si="11" ref="F18:O18">E18</f>
        <v>0</v>
      </c>
      <c r="G18" s="130">
        <f t="shared" si="11"/>
        <v>0</v>
      </c>
      <c r="H18" s="130">
        <f t="shared" si="11"/>
        <v>0</v>
      </c>
      <c r="I18" s="130">
        <f t="shared" si="11"/>
        <v>0</v>
      </c>
      <c r="J18" s="130">
        <f t="shared" si="11"/>
        <v>0</v>
      </c>
      <c r="K18" s="130">
        <f t="shared" si="11"/>
        <v>0</v>
      </c>
      <c r="L18" s="130">
        <f t="shared" si="11"/>
        <v>0</v>
      </c>
      <c r="M18" s="130">
        <f t="shared" si="11"/>
        <v>0</v>
      </c>
      <c r="N18" s="130">
        <f t="shared" si="11"/>
        <v>0</v>
      </c>
      <c r="O18" s="130">
        <f t="shared" si="11"/>
        <v>0</v>
      </c>
      <c r="P18" s="130">
        <f>O18</f>
        <v>0</v>
      </c>
      <c r="Q18" s="130">
        <f>P18</f>
        <v>0</v>
      </c>
      <c r="R18" s="130">
        <f>Q18</f>
        <v>0</v>
      </c>
      <c r="S18" s="130">
        <f>R18</f>
        <v>0</v>
      </c>
      <c r="T18" s="130">
        <f>S18</f>
        <v>0</v>
      </c>
      <c r="U18" s="130">
        <f aca="true" t="shared" si="12" ref="U18:AF18">T18</f>
        <v>0</v>
      </c>
      <c r="V18" s="130">
        <f t="shared" si="12"/>
        <v>0</v>
      </c>
      <c r="W18" s="130">
        <f t="shared" si="12"/>
        <v>0</v>
      </c>
      <c r="X18" s="130">
        <f t="shared" si="12"/>
        <v>0</v>
      </c>
      <c r="Y18" s="130">
        <f t="shared" si="12"/>
        <v>0</v>
      </c>
      <c r="Z18" s="130">
        <f t="shared" si="12"/>
        <v>0</v>
      </c>
      <c r="AA18" s="130">
        <f t="shared" si="12"/>
        <v>0</v>
      </c>
      <c r="AB18" s="130">
        <f t="shared" si="12"/>
        <v>0</v>
      </c>
      <c r="AC18" s="130">
        <f t="shared" si="12"/>
        <v>0</v>
      </c>
      <c r="AD18" s="130">
        <f t="shared" si="12"/>
        <v>0</v>
      </c>
      <c r="AE18" s="130">
        <f t="shared" si="12"/>
        <v>0</v>
      </c>
      <c r="AF18" s="130">
        <f t="shared" si="12"/>
        <v>0</v>
      </c>
      <c r="AG18" s="130">
        <f>AF18</f>
        <v>0</v>
      </c>
      <c r="AH18" s="130">
        <f>AG18</f>
        <v>0</v>
      </c>
      <c r="AI18" s="130">
        <f>AH18</f>
        <v>0</v>
      </c>
    </row>
    <row r="19" spans="1:36" ht="25.5">
      <c r="A19" s="128" t="s">
        <v>129</v>
      </c>
      <c r="B19" s="130"/>
      <c r="C19" s="130"/>
      <c r="D19" s="130">
        <f>C19+'2-ф2'!D17-'1-Ф3'!D20-кр!C8</f>
        <v>0</v>
      </c>
      <c r="E19" s="130">
        <f>D19+'2-ф2'!E17-'1-Ф3'!E20-кр!D8</f>
        <v>0</v>
      </c>
      <c r="F19" s="130">
        <f>E19+'2-ф2'!F17-'1-Ф3'!F20-кр!E8</f>
        <v>0</v>
      </c>
      <c r="G19" s="130">
        <f>F19+'2-ф2'!G17-'1-Ф3'!G20-кр!F8</f>
        <v>0</v>
      </c>
      <c r="H19" s="130">
        <f>G19+'2-ф2'!H17-'1-Ф3'!H20-кр!G8</f>
        <v>0</v>
      </c>
      <c r="I19" s="130">
        <f>H19+'2-ф2'!I17-'1-Ф3'!I20-кр!H8</f>
        <v>0</v>
      </c>
      <c r="J19" s="130">
        <f>I19+'2-ф2'!J17-'1-Ф3'!J20-кр!I8</f>
        <v>0</v>
      </c>
      <c r="K19" s="130">
        <f>J19+'2-ф2'!K17-'1-Ф3'!K20-кр!J8</f>
        <v>0</v>
      </c>
      <c r="L19" s="130">
        <f>K19+'2-ф2'!L17-'1-Ф3'!L20-кр!K8</f>
        <v>0</v>
      </c>
      <c r="M19" s="130">
        <f>L19+'2-ф2'!M17-'1-Ф3'!M20-кр!L8</f>
        <v>0</v>
      </c>
      <c r="N19" s="130">
        <f>M19+'2-ф2'!N17-'1-Ф3'!N20-кр!M8</f>
        <v>92.46730500000001</v>
      </c>
      <c r="O19" s="130">
        <f>N19+'2-ф2'!O17-'1-Ф3'!O20-кр!N8</f>
        <v>184.93461000000002</v>
      </c>
      <c r="P19" s="130">
        <f>O19</f>
        <v>184.93461000000002</v>
      </c>
      <c r="Q19" s="130">
        <f>P19+'2-ф2'!Q17-'1-Ф3'!Q20-кр!P8</f>
        <v>277.40191500000003</v>
      </c>
      <c r="R19" s="130">
        <f>Q19+'2-ф2'!R17-'1-Ф3'!R20-кр!Q8</f>
        <v>369.86922000000004</v>
      </c>
      <c r="S19" s="130">
        <f>R19+'2-ф2'!S17-'1-Ф3'!S20-кр!R8</f>
        <v>462.33652500000005</v>
      </c>
      <c r="T19" s="130">
        <f>S19+'2-ф2'!T17-'1-Ф3'!T20-кр!S8</f>
        <v>554.8038300000001</v>
      </c>
      <c r="U19" s="130">
        <f>T19+'2-ф2'!U17-'1-Ф3'!U20-кр!T8</f>
        <v>647.2711350000001</v>
      </c>
      <c r="V19" s="130">
        <f>U19+'2-ф2'!V17-'1-Ф3'!V20-кр!U8</f>
        <v>739.7384400000001</v>
      </c>
      <c r="W19" s="130">
        <f>V19+'2-ф2'!W17-'1-Ф3'!W20-кр!V8</f>
        <v>832.2057450000001</v>
      </c>
      <c r="X19" s="130">
        <f>W19+'2-ф2'!X17-'1-Ф3'!X20-кр!W8</f>
        <v>924.6730500000001</v>
      </c>
      <c r="Y19" s="130">
        <f>X19+'2-ф2'!Y17-'1-Ф3'!Y20-кр!X8</f>
        <v>0</v>
      </c>
      <c r="Z19" s="130">
        <f>Y19+'2-ф2'!Z17-'1-Ф3'!Z20-кр!Y8</f>
        <v>0</v>
      </c>
      <c r="AA19" s="130">
        <f>Z19+'2-ф2'!AA17-'1-Ф3'!AA20-кр!Z8</f>
        <v>0</v>
      </c>
      <c r="AB19" s="130">
        <f>AA19+'2-ф2'!AB17-'1-Ф3'!AB20-кр!AA8</f>
        <v>0</v>
      </c>
      <c r="AC19" s="130">
        <f>AB19</f>
        <v>0</v>
      </c>
      <c r="AD19" s="130">
        <f>AC19+'2-ф2'!AD17-'1-Ф3'!AD20</f>
        <v>0</v>
      </c>
      <c r="AE19" s="130">
        <f>AD19+'2-ф2'!AE17-'1-Ф3'!AE20</f>
        <v>0</v>
      </c>
      <c r="AF19" s="130">
        <f>AE19+'2-ф2'!AF17-'1-Ф3'!AF20</f>
        <v>0</v>
      </c>
      <c r="AG19" s="130">
        <f>AF19+'2-ф2'!AG17-'1-Ф3'!AG20</f>
        <v>0</v>
      </c>
      <c r="AH19" s="130">
        <f>AG19+'2-ф2'!AH17-'1-Ф3'!AH20</f>
        <v>0</v>
      </c>
      <c r="AI19" s="130">
        <f>AH19+'2-ф2'!AI17-'1-Ф3'!AI20</f>
        <v>0</v>
      </c>
      <c r="AJ19" s="117"/>
    </row>
    <row r="20" spans="1:35" ht="12.75">
      <c r="A20" s="128" t="s">
        <v>131</v>
      </c>
      <c r="B20" s="130"/>
      <c r="C20" s="130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30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30">
        <f>AB20</f>
        <v>0</v>
      </c>
      <c r="AD20" s="130"/>
      <c r="AE20" s="130"/>
      <c r="AF20" s="130"/>
      <c r="AG20" s="130"/>
      <c r="AH20" s="130"/>
      <c r="AI20" s="130"/>
    </row>
    <row r="21" spans="1:35" ht="15" customHeight="1">
      <c r="A21" s="123" t="s">
        <v>132</v>
      </c>
      <c r="B21" s="124"/>
      <c r="C21" s="124">
        <f aca="true" t="shared" si="13" ref="C21:AH21">SUM(C22:C23)</f>
        <v>0</v>
      </c>
      <c r="D21" s="124">
        <f t="shared" si="13"/>
        <v>0</v>
      </c>
      <c r="E21" s="124">
        <f t="shared" si="13"/>
        <v>0</v>
      </c>
      <c r="F21" s="124">
        <f t="shared" si="13"/>
        <v>0</v>
      </c>
      <c r="G21" s="124">
        <f t="shared" si="13"/>
        <v>0</v>
      </c>
      <c r="H21" s="124">
        <f t="shared" si="13"/>
        <v>0</v>
      </c>
      <c r="I21" s="124">
        <f t="shared" si="13"/>
        <v>0</v>
      </c>
      <c r="J21" s="124">
        <f t="shared" si="13"/>
        <v>0</v>
      </c>
      <c r="K21" s="124">
        <f t="shared" si="13"/>
        <v>0</v>
      </c>
      <c r="L21" s="124">
        <f t="shared" si="13"/>
        <v>0</v>
      </c>
      <c r="M21" s="124">
        <f t="shared" si="13"/>
        <v>15851.537999999999</v>
      </c>
      <c r="N21" s="124">
        <f t="shared" si="13"/>
        <v>15851.537999999999</v>
      </c>
      <c r="O21" s="124">
        <f t="shared" si="13"/>
        <v>15851.537999999999</v>
      </c>
      <c r="P21" s="124">
        <f t="shared" si="13"/>
        <v>15851.537999999999</v>
      </c>
      <c r="Q21" s="124">
        <f t="shared" si="13"/>
        <v>15851.537999999999</v>
      </c>
      <c r="R21" s="124">
        <f t="shared" si="13"/>
        <v>15851.537999999999</v>
      </c>
      <c r="S21" s="124">
        <f t="shared" si="13"/>
        <v>15851.537999999999</v>
      </c>
      <c r="T21" s="124">
        <f t="shared" si="13"/>
        <v>15851.537999999999</v>
      </c>
      <c r="U21" s="124">
        <f t="shared" si="13"/>
        <v>15851.537999999999</v>
      </c>
      <c r="V21" s="124">
        <f t="shared" si="13"/>
        <v>15851.537999999999</v>
      </c>
      <c r="W21" s="124">
        <f t="shared" si="13"/>
        <v>15851.537999999999</v>
      </c>
      <c r="X21" s="124">
        <f t="shared" si="13"/>
        <v>15851.537999999999</v>
      </c>
      <c r="Y21" s="124">
        <f t="shared" si="13"/>
        <v>16868.678355</v>
      </c>
      <c r="Z21" s="124">
        <f t="shared" si="13"/>
        <v>16634.391155625</v>
      </c>
      <c r="AA21" s="124">
        <f t="shared" si="13"/>
        <v>16400.103956249997</v>
      </c>
      <c r="AB21" s="124">
        <f t="shared" si="13"/>
        <v>16165.816756874998</v>
      </c>
      <c r="AC21" s="124">
        <f t="shared" si="13"/>
        <v>16165.816756874998</v>
      </c>
      <c r="AD21" s="124">
        <f t="shared" si="13"/>
        <v>13354.370364375003</v>
      </c>
      <c r="AE21" s="124">
        <f t="shared" si="13"/>
        <v>10542.923971875009</v>
      </c>
      <c r="AF21" s="124">
        <f t="shared" si="13"/>
        <v>7731.477579375014</v>
      </c>
      <c r="AG21" s="124">
        <f t="shared" si="13"/>
        <v>4920.03118687502</v>
      </c>
      <c r="AH21" s="124">
        <f t="shared" si="13"/>
        <v>2108.584794375021</v>
      </c>
      <c r="AI21" s="124">
        <f>SUM(AI22:AI23)</f>
        <v>2.091837814077735E-11</v>
      </c>
    </row>
    <row r="22" spans="1:35" ht="12.75">
      <c r="A22" s="128" t="s">
        <v>130</v>
      </c>
      <c r="B22" s="130"/>
      <c r="C22" s="124"/>
      <c r="D22" s="130">
        <f>кр!C12</f>
        <v>0</v>
      </c>
      <c r="E22" s="130">
        <f>кр!D12</f>
        <v>0</v>
      </c>
      <c r="F22" s="130">
        <f>кр!E12</f>
        <v>0</v>
      </c>
      <c r="G22" s="130">
        <f>кр!F12</f>
        <v>0</v>
      </c>
      <c r="H22" s="130">
        <f>кр!G12</f>
        <v>0</v>
      </c>
      <c r="I22" s="130">
        <f>кр!H12</f>
        <v>0</v>
      </c>
      <c r="J22" s="130">
        <f>кр!I12</f>
        <v>0</v>
      </c>
      <c r="K22" s="130">
        <f>кр!J12</f>
        <v>0</v>
      </c>
      <c r="L22" s="130">
        <f>кр!K12</f>
        <v>0</v>
      </c>
      <c r="M22" s="130">
        <f>кр!L12</f>
        <v>15851.537999999999</v>
      </c>
      <c r="N22" s="130">
        <f>кр!M12</f>
        <v>15851.537999999999</v>
      </c>
      <c r="O22" s="130">
        <f>кр!N12</f>
        <v>15851.537999999999</v>
      </c>
      <c r="P22" s="130">
        <f>кр!O12</f>
        <v>15851.537999999999</v>
      </c>
      <c r="Q22" s="130">
        <f>кр!P12</f>
        <v>15851.537999999999</v>
      </c>
      <c r="R22" s="130">
        <f>кр!Q12</f>
        <v>15851.537999999999</v>
      </c>
      <c r="S22" s="130">
        <f>кр!R12</f>
        <v>15851.537999999999</v>
      </c>
      <c r="T22" s="130">
        <f>кр!S12</f>
        <v>15851.537999999999</v>
      </c>
      <c r="U22" s="130">
        <f>кр!T12</f>
        <v>15851.537999999999</v>
      </c>
      <c r="V22" s="130">
        <f>кр!U12</f>
        <v>15851.537999999999</v>
      </c>
      <c r="W22" s="130">
        <f>кр!V12</f>
        <v>15851.537999999999</v>
      </c>
      <c r="X22" s="130">
        <f>кр!W12</f>
        <v>15851.537999999999</v>
      </c>
      <c r="Y22" s="130">
        <f>кр!X12</f>
        <v>16868.678355</v>
      </c>
      <c r="Z22" s="130">
        <f>кр!Y12</f>
        <v>16634.391155625</v>
      </c>
      <c r="AA22" s="130">
        <f>кр!Z12</f>
        <v>16400.103956249997</v>
      </c>
      <c r="AB22" s="130">
        <f>кр!AA12</f>
        <v>16165.816756874998</v>
      </c>
      <c r="AC22" s="130">
        <f>кр!AB12</f>
        <v>16165.816756874998</v>
      </c>
      <c r="AD22" s="130">
        <f>кр!AO12</f>
        <v>13354.370364375003</v>
      </c>
      <c r="AE22" s="130">
        <f>кр!BB12</f>
        <v>10542.923971875009</v>
      </c>
      <c r="AF22" s="130">
        <f>кр!BO12</f>
        <v>7731.477579375014</v>
      </c>
      <c r="AG22" s="130">
        <f>кр!CB12</f>
        <v>4920.03118687502</v>
      </c>
      <c r="AH22" s="130">
        <f>кр!CO12</f>
        <v>2108.584794375021</v>
      </c>
      <c r="AI22" s="130">
        <f>кр!DB12</f>
        <v>2.091837814077735E-11</v>
      </c>
    </row>
    <row r="23" spans="1:35" ht="15" customHeight="1" hidden="1">
      <c r="A23" s="128" t="s">
        <v>133</v>
      </c>
      <c r="B23" s="130"/>
      <c r="C23" s="130"/>
      <c r="D23" s="130">
        <f>C23</f>
        <v>0</v>
      </c>
      <c r="E23" s="130">
        <f>D23</f>
        <v>0</v>
      </c>
      <c r="F23" s="130">
        <f aca="true" t="shared" si="14" ref="F23:AI23">E23</f>
        <v>0</v>
      </c>
      <c r="G23" s="130">
        <f t="shared" si="14"/>
        <v>0</v>
      </c>
      <c r="H23" s="130">
        <f t="shared" si="14"/>
        <v>0</v>
      </c>
      <c r="I23" s="130">
        <f t="shared" si="14"/>
        <v>0</v>
      </c>
      <c r="J23" s="130">
        <f t="shared" si="14"/>
        <v>0</v>
      </c>
      <c r="K23" s="130">
        <f t="shared" si="14"/>
        <v>0</v>
      </c>
      <c r="L23" s="130">
        <f t="shared" si="14"/>
        <v>0</v>
      </c>
      <c r="M23" s="130">
        <f t="shared" si="14"/>
        <v>0</v>
      </c>
      <c r="N23" s="130">
        <f t="shared" si="14"/>
        <v>0</v>
      </c>
      <c r="O23" s="130">
        <f t="shared" si="14"/>
        <v>0</v>
      </c>
      <c r="P23" s="130">
        <f t="shared" si="14"/>
        <v>0</v>
      </c>
      <c r="Q23" s="130">
        <f t="shared" si="14"/>
        <v>0</v>
      </c>
      <c r="R23" s="130">
        <f t="shared" si="14"/>
        <v>0</v>
      </c>
      <c r="S23" s="130">
        <f t="shared" si="14"/>
        <v>0</v>
      </c>
      <c r="T23" s="130">
        <f t="shared" si="14"/>
        <v>0</v>
      </c>
      <c r="U23" s="130">
        <f t="shared" si="14"/>
        <v>0</v>
      </c>
      <c r="V23" s="130">
        <f t="shared" si="14"/>
        <v>0</v>
      </c>
      <c r="W23" s="130">
        <f t="shared" si="14"/>
        <v>0</v>
      </c>
      <c r="X23" s="130">
        <f t="shared" si="14"/>
        <v>0</v>
      </c>
      <c r="Y23" s="130">
        <f t="shared" si="14"/>
        <v>0</v>
      </c>
      <c r="Z23" s="130">
        <f t="shared" si="14"/>
        <v>0</v>
      </c>
      <c r="AA23" s="130">
        <f t="shared" si="14"/>
        <v>0</v>
      </c>
      <c r="AB23" s="130">
        <f t="shared" si="14"/>
        <v>0</v>
      </c>
      <c r="AC23" s="124">
        <f>AB23</f>
        <v>0</v>
      </c>
      <c r="AD23" s="130">
        <f t="shared" si="14"/>
        <v>0</v>
      </c>
      <c r="AE23" s="130">
        <f t="shared" si="14"/>
        <v>0</v>
      </c>
      <c r="AF23" s="130">
        <f t="shared" si="14"/>
        <v>0</v>
      </c>
      <c r="AG23" s="130">
        <f t="shared" si="14"/>
        <v>0</v>
      </c>
      <c r="AH23" s="130">
        <f t="shared" si="14"/>
        <v>0</v>
      </c>
      <c r="AI23" s="130">
        <f t="shared" si="14"/>
        <v>0</v>
      </c>
    </row>
    <row r="24" spans="1:35" s="127" customFormat="1" ht="15" customHeight="1">
      <c r="A24" s="123" t="s">
        <v>134</v>
      </c>
      <c r="B24" s="124"/>
      <c r="C24" s="124">
        <f aca="true" t="shared" si="15" ref="C24:AH24">SUM(C25:C26)</f>
        <v>0</v>
      </c>
      <c r="D24" s="124">
        <f t="shared" si="15"/>
        <v>0</v>
      </c>
      <c r="E24" s="124">
        <f t="shared" si="15"/>
        <v>0</v>
      </c>
      <c r="F24" s="124">
        <f t="shared" si="15"/>
        <v>0</v>
      </c>
      <c r="G24" s="124">
        <f t="shared" si="15"/>
        <v>0</v>
      </c>
      <c r="H24" s="124">
        <f t="shared" si="15"/>
        <v>0</v>
      </c>
      <c r="I24" s="124">
        <f t="shared" si="15"/>
        <v>0</v>
      </c>
      <c r="J24" s="124">
        <f t="shared" si="15"/>
        <v>0</v>
      </c>
      <c r="K24" s="124">
        <f t="shared" si="15"/>
        <v>0</v>
      </c>
      <c r="L24" s="124">
        <f t="shared" si="15"/>
        <v>0</v>
      </c>
      <c r="M24" s="124">
        <f t="shared" si="15"/>
        <v>30.974944775132315</v>
      </c>
      <c r="N24" s="124">
        <f t="shared" si="15"/>
        <v>-226.61254772486757</v>
      </c>
      <c r="O24" s="124">
        <f t="shared" si="15"/>
        <v>-297.92978812402725</v>
      </c>
      <c r="P24" s="124">
        <f t="shared" si="15"/>
        <v>-297.92978812402725</v>
      </c>
      <c r="Q24" s="124">
        <f t="shared" si="15"/>
        <v>-369.2470285231868</v>
      </c>
      <c r="R24" s="124">
        <f t="shared" si="15"/>
        <v>-626.8345210231867</v>
      </c>
      <c r="S24" s="124">
        <f t="shared" si="15"/>
        <v>-884.4220135231867</v>
      </c>
      <c r="T24" s="124">
        <f t="shared" si="15"/>
        <v>37.663286888010134</v>
      </c>
      <c r="U24" s="124">
        <f t="shared" si="15"/>
        <v>4348.992519529714</v>
      </c>
      <c r="V24" s="124">
        <f t="shared" si="15"/>
        <v>4170.174043571066</v>
      </c>
      <c r="W24" s="124">
        <f t="shared" si="15"/>
        <v>3984.3104587633743</v>
      </c>
      <c r="X24" s="124">
        <f t="shared" si="15"/>
        <v>3833.7025376919455</v>
      </c>
      <c r="Y24" s="124">
        <f t="shared" si="15"/>
        <v>6429.643555140577</v>
      </c>
      <c r="Z24" s="124">
        <f t="shared" si="15"/>
        <v>7906.208664435204</v>
      </c>
      <c r="AA24" s="124">
        <f t="shared" si="15"/>
        <v>9384.140449059518</v>
      </c>
      <c r="AB24" s="124">
        <f t="shared" si="15"/>
        <v>10863.43890901352</v>
      </c>
      <c r="AC24" s="124">
        <f t="shared" si="15"/>
        <v>10863.43890901352</v>
      </c>
      <c r="AD24" s="124">
        <f t="shared" si="15"/>
        <v>15245.735264317736</v>
      </c>
      <c r="AE24" s="124">
        <f t="shared" si="15"/>
        <v>19824.832867096953</v>
      </c>
      <c r="AF24" s="124">
        <f t="shared" si="15"/>
        <v>24600.73171735117</v>
      </c>
      <c r="AG24" s="124">
        <f t="shared" si="15"/>
        <v>29573.431815080385</v>
      </c>
      <c r="AH24" s="124">
        <f t="shared" si="15"/>
        <v>34742.9331602846</v>
      </c>
      <c r="AI24" s="124">
        <f>SUM(AI25:AI26)</f>
        <v>40105.13572697475</v>
      </c>
    </row>
    <row r="25" spans="1:35" ht="15" customHeight="1">
      <c r="A25" s="128" t="s">
        <v>135</v>
      </c>
      <c r="B25" s="124"/>
      <c r="C25" s="130"/>
      <c r="D25" s="130">
        <f>C25+'1-Ф3'!D33</f>
        <v>0</v>
      </c>
      <c r="E25" s="130">
        <f>D25+'1-Ф3'!E33</f>
        <v>0</v>
      </c>
      <c r="F25" s="130">
        <f>E25+'1-Ф3'!F33</f>
        <v>0</v>
      </c>
      <c r="G25" s="130">
        <f>F25+'1-Ф3'!G33</f>
        <v>0</v>
      </c>
      <c r="H25" s="130">
        <f>G25+'1-Ф3'!H33</f>
        <v>0</v>
      </c>
      <c r="I25" s="130">
        <f>H25+'1-Ф3'!I33</f>
        <v>0</v>
      </c>
      <c r="J25" s="130">
        <f>I25+'1-Ф3'!J33</f>
        <v>0</v>
      </c>
      <c r="K25" s="130">
        <f>J25+'1-Ф3'!K33</f>
        <v>0</v>
      </c>
      <c r="L25" s="130">
        <f>K25+'1-Ф3'!L33</f>
        <v>0</v>
      </c>
      <c r="M25" s="130">
        <f>L25+'1-Ф3'!M33</f>
        <v>463.2901850529101</v>
      </c>
      <c r="N25" s="130">
        <f>M25+'1-Ф3'!N33</f>
        <v>730.4852378306879</v>
      </c>
      <c r="O25" s="130">
        <f>N25+'1-Ф3'!O33</f>
        <v>1183.9505427093059</v>
      </c>
      <c r="P25" s="130">
        <f>O25</f>
        <v>1183.9505427093059</v>
      </c>
      <c r="Q25" s="130">
        <f>P25+'1-Ф3'!Q33</f>
        <v>1637.415847587924</v>
      </c>
      <c r="R25" s="130">
        <f>Q25+'1-Ф3'!R33</f>
        <v>1904.6109003657018</v>
      </c>
      <c r="S25" s="130">
        <f>R25+'1-Ф3'!S33</f>
        <v>2171.8059531434797</v>
      </c>
      <c r="T25" s="130">
        <f>S25+'1-Ф3'!T33</f>
        <v>3618.6737988324544</v>
      </c>
      <c r="U25" s="130">
        <f>T25+'1-Ф3'!U33</f>
        <v>8454.785576751936</v>
      </c>
      <c r="V25" s="130">
        <f>U25+'1-Ф3'!V33</f>
        <v>8800.749646071066</v>
      </c>
      <c r="W25" s="130">
        <f>V25+'1-Ф3'!W33</f>
        <v>9139.668606541152</v>
      </c>
      <c r="X25" s="130">
        <f>W25+'1-Ф3'!X33</f>
        <v>9513.843230747501</v>
      </c>
      <c r="Y25" s="130">
        <f>X25+'1-Ф3'!Y33</f>
        <v>12634.56679347391</v>
      </c>
      <c r="Z25" s="130">
        <f>Y25+'1-Ф3'!Z33</f>
        <v>12634.56679347391</v>
      </c>
      <c r="AA25" s="130">
        <f>Z25+'1-Ф3'!AA33</f>
        <v>12634.56679347391</v>
      </c>
      <c r="AB25" s="130">
        <f>AA25+'1-Ф3'!AB33</f>
        <v>12634.56679347391</v>
      </c>
      <c r="AC25" s="130">
        <f>AB25</f>
        <v>12634.56679347391</v>
      </c>
      <c r="AD25" s="130">
        <f>AC25+'1-Ф3'!AD33</f>
        <v>12634.56679347391</v>
      </c>
      <c r="AE25" s="130">
        <f>AD25+'1-Ф3'!AE33</f>
        <v>12634.56679347391</v>
      </c>
      <c r="AF25" s="130">
        <f>AE25+'1-Ф3'!AF33</f>
        <v>12634.56679347391</v>
      </c>
      <c r="AG25" s="130">
        <f>AF25+'1-Ф3'!AG33</f>
        <v>12634.56679347391</v>
      </c>
      <c r="AH25" s="130">
        <f>AG25+'1-Ф3'!AH33</f>
        <v>12634.56679347391</v>
      </c>
      <c r="AI25" s="130">
        <f>AH25+'1-Ф3'!AI33</f>
        <v>12634.56679347391</v>
      </c>
    </row>
    <row r="26" spans="1:35" ht="15" customHeight="1">
      <c r="A26" s="128" t="s">
        <v>136</v>
      </c>
      <c r="B26" s="124"/>
      <c r="C26" s="130"/>
      <c r="D26" s="130">
        <f>'2-ф2'!D21</f>
        <v>0</v>
      </c>
      <c r="E26" s="130">
        <f>'2-ф2'!E21</f>
        <v>0</v>
      </c>
      <c r="F26" s="130">
        <f>'2-ф2'!F21</f>
        <v>0</v>
      </c>
      <c r="G26" s="130">
        <f>'2-ф2'!G21</f>
        <v>0</v>
      </c>
      <c r="H26" s="130">
        <f>'2-ф2'!H21</f>
        <v>0</v>
      </c>
      <c r="I26" s="130">
        <f>'2-ф2'!I21</f>
        <v>0</v>
      </c>
      <c r="J26" s="130">
        <f>'2-ф2'!J21</f>
        <v>0</v>
      </c>
      <c r="K26" s="130">
        <f>'2-ф2'!K21</f>
        <v>0</v>
      </c>
      <c r="L26" s="130">
        <f>'2-ф2'!L21</f>
        <v>0</v>
      </c>
      <c r="M26" s="130">
        <f>'2-ф2'!M21</f>
        <v>-432.3152402777778</v>
      </c>
      <c r="N26" s="130">
        <f>'2-ф2'!N21</f>
        <v>-957.0977855555554</v>
      </c>
      <c r="O26" s="130">
        <f>'2-ф2'!O21</f>
        <v>-1481.8803308333331</v>
      </c>
      <c r="P26" s="130">
        <f>'2-ф2'!P21</f>
        <v>-1481.8803308333331</v>
      </c>
      <c r="Q26" s="130">
        <f>'2-ф2'!Q21</f>
        <v>-2006.6628761111108</v>
      </c>
      <c r="R26" s="130">
        <f>'2-ф2'!R21</f>
        <v>-2531.4454213888885</v>
      </c>
      <c r="S26" s="130">
        <f>'2-ф2'!S21</f>
        <v>-3056.2279666666664</v>
      </c>
      <c r="T26" s="130">
        <f>'2-ф2'!T21</f>
        <v>-3581.0105119444443</v>
      </c>
      <c r="U26" s="130">
        <f>'2-ф2'!U21</f>
        <v>-4105.793057222222</v>
      </c>
      <c r="V26" s="130">
        <f>'2-ф2'!V21</f>
        <v>-4630.5756025</v>
      </c>
      <c r="W26" s="130">
        <f>'2-ф2'!W21</f>
        <v>-5155.358147777778</v>
      </c>
      <c r="X26" s="130">
        <f>'2-ф2'!X21</f>
        <v>-5680.140693055556</v>
      </c>
      <c r="Y26" s="130">
        <f>'2-ф2'!Y21</f>
        <v>-6204.923238333334</v>
      </c>
      <c r="Z26" s="130">
        <f>'2-ф2'!Z21</f>
        <v>-4728.3581290387065</v>
      </c>
      <c r="AA26" s="130">
        <f>'2-ф2'!AA21</f>
        <v>-3250.426344414392</v>
      </c>
      <c r="AB26" s="130">
        <f>'2-ф2'!AB21</f>
        <v>-1771.1278844603903</v>
      </c>
      <c r="AC26" s="130">
        <f>'2-ф2'!AC21</f>
        <v>-1771.1278844603903</v>
      </c>
      <c r="AD26" s="130">
        <f>'2-ф2'!AD21</f>
        <v>2611.168470843826</v>
      </c>
      <c r="AE26" s="130">
        <f>'2-ф2'!AE21</f>
        <v>7190.266073623043</v>
      </c>
      <c r="AF26" s="130">
        <f>'2-ф2'!AF21</f>
        <v>11966.164923877259</v>
      </c>
      <c r="AG26" s="130">
        <f>'2-ф2'!AG21</f>
        <v>16938.865021606474</v>
      </c>
      <c r="AH26" s="130">
        <f>'2-ф2'!AH21</f>
        <v>22108.36636681069</v>
      </c>
      <c r="AI26" s="130">
        <f>'2-ф2'!AI21</f>
        <v>27470.568933500843</v>
      </c>
    </row>
    <row r="28" spans="1:35" ht="12.75">
      <c r="A28" s="133" t="s">
        <v>137</v>
      </c>
      <c r="B28" s="134"/>
      <c r="C28" s="135">
        <f aca="true" t="shared" si="16" ref="C28:AH28">C5-C16</f>
        <v>0</v>
      </c>
      <c r="D28" s="136">
        <f t="shared" si="16"/>
        <v>0</v>
      </c>
      <c r="E28" s="136">
        <f t="shared" si="16"/>
        <v>0</v>
      </c>
      <c r="F28" s="136">
        <f t="shared" si="16"/>
        <v>0</v>
      </c>
      <c r="G28" s="136">
        <f t="shared" si="16"/>
        <v>0</v>
      </c>
      <c r="H28" s="136">
        <f t="shared" si="16"/>
        <v>0</v>
      </c>
      <c r="I28" s="136">
        <f t="shared" si="16"/>
        <v>0</v>
      </c>
      <c r="J28" s="136">
        <f t="shared" si="16"/>
        <v>0</v>
      </c>
      <c r="K28" s="136">
        <f t="shared" si="16"/>
        <v>0</v>
      </c>
      <c r="L28" s="136">
        <f t="shared" si="16"/>
        <v>0</v>
      </c>
      <c r="M28" s="136">
        <f t="shared" si="16"/>
        <v>0</v>
      </c>
      <c r="N28" s="136">
        <f t="shared" si="16"/>
        <v>0</v>
      </c>
      <c r="O28" s="136">
        <f t="shared" si="16"/>
        <v>0</v>
      </c>
      <c r="P28" s="136">
        <f>P5-P16</f>
        <v>0</v>
      </c>
      <c r="Q28" s="136">
        <f t="shared" si="16"/>
        <v>0</v>
      </c>
      <c r="R28" s="136">
        <f t="shared" si="16"/>
        <v>0</v>
      </c>
      <c r="S28" s="136">
        <f t="shared" si="16"/>
        <v>0</v>
      </c>
      <c r="T28" s="136">
        <f t="shared" si="16"/>
        <v>0</v>
      </c>
      <c r="U28" s="136">
        <f t="shared" si="16"/>
        <v>0</v>
      </c>
      <c r="V28" s="136">
        <f t="shared" si="16"/>
        <v>0</v>
      </c>
      <c r="W28" s="136">
        <f t="shared" si="16"/>
        <v>0</v>
      </c>
      <c r="X28" s="136">
        <f t="shared" si="16"/>
        <v>0</v>
      </c>
      <c r="Y28" s="136">
        <f t="shared" si="16"/>
        <v>0</v>
      </c>
      <c r="Z28" s="136">
        <f t="shared" si="16"/>
        <v>0</v>
      </c>
      <c r="AA28" s="136">
        <f t="shared" si="16"/>
        <v>0</v>
      </c>
      <c r="AB28" s="136">
        <f t="shared" si="16"/>
        <v>0</v>
      </c>
      <c r="AC28" s="136">
        <f t="shared" si="16"/>
        <v>0</v>
      </c>
      <c r="AD28" s="136">
        <f t="shared" si="16"/>
        <v>0</v>
      </c>
      <c r="AE28" s="136">
        <f t="shared" si="16"/>
        <v>0</v>
      </c>
      <c r="AF28" s="136">
        <f t="shared" si="16"/>
        <v>-2.9103830456733704E-11</v>
      </c>
      <c r="AG28" s="136">
        <f t="shared" si="16"/>
        <v>0</v>
      </c>
      <c r="AH28" s="136">
        <f t="shared" si="16"/>
        <v>0</v>
      </c>
      <c r="AI28" s="136">
        <f>AI5-AI16</f>
        <v>0</v>
      </c>
    </row>
    <row r="29" ht="12.75" hidden="1"/>
    <row r="30" spans="1:35" ht="12.75" hidden="1">
      <c r="A30" s="116" t="s">
        <v>136</v>
      </c>
      <c r="P30" s="117">
        <f>P26</f>
        <v>-1481.8803308333331</v>
      </c>
      <c r="Q30" s="117">
        <f>'[45]ф2'!Q32</f>
        <v>109.48954266069855</v>
      </c>
      <c r="R30" s="117">
        <f>'[45]ф2'!R32</f>
        <v>109.48954266069855</v>
      </c>
      <c r="S30" s="117">
        <f>'[45]ф2'!S32</f>
        <v>108.45296951069854</v>
      </c>
      <c r="T30" s="117">
        <f>'[45]ф2'!T32</f>
        <v>106.37982321069852</v>
      </c>
      <c r="U30" s="117">
        <f>'[45]ф2'!U32</f>
        <v>103.27010376069849</v>
      </c>
      <c r="V30" s="117">
        <f>'[45]ф2'!V32</f>
        <v>103.27010376069849</v>
      </c>
      <c r="W30" s="117">
        <f>'[45]ф2'!W32</f>
        <v>103.27010376069849</v>
      </c>
      <c r="X30" s="117">
        <f>'[45]ф2'!X32</f>
        <v>99.20125340855881</v>
      </c>
      <c r="Y30" s="117">
        <f>'[45]ф2'!Y32</f>
        <v>99.20125340855881</v>
      </c>
      <c r="Z30" s="117">
        <f>'[45]ф2'!Z32</f>
        <v>99.20125340855881</v>
      </c>
      <c r="AA30" s="117">
        <f>'[45]ф2'!AA32</f>
        <v>99.20125340855881</v>
      </c>
      <c r="AB30" s="117">
        <f>'[45]ф2'!AB32</f>
        <v>82.61608300855879</v>
      </c>
      <c r="AC30" s="117">
        <f>AC26-P26</f>
        <v>-289.2475536270572</v>
      </c>
      <c r="AD30" s="117">
        <f aca="true" t="shared" si="17" ref="AD30:AI30">AD26-AC26</f>
        <v>4382.296355304216</v>
      </c>
      <c r="AE30" s="117">
        <f t="shared" si="17"/>
        <v>4579.097602779217</v>
      </c>
      <c r="AF30" s="117">
        <f t="shared" si="17"/>
        <v>4775.898850254216</v>
      </c>
      <c r="AG30" s="117">
        <f t="shared" si="17"/>
        <v>4972.7000977292155</v>
      </c>
      <c r="AH30" s="117">
        <f t="shared" si="17"/>
        <v>5169.501345204215</v>
      </c>
      <c r="AI30" s="117">
        <f t="shared" si="17"/>
        <v>5362.202566690154</v>
      </c>
    </row>
    <row r="31" spans="1:35" ht="12.75" hidden="1">
      <c r="A31" s="116" t="s">
        <v>138</v>
      </c>
      <c r="P31" s="117">
        <f>(P8+P10+P13+P14)-(C8+C10+C13+C14)</f>
        <v>382.3653843759726</v>
      </c>
      <c r="AC31" s="117">
        <f>(AC8+AC10+AC13+AC14)-(P8+P10+P13+P14)</f>
        <v>6417.9690800702865</v>
      </c>
      <c r="AD31" s="117">
        <f aca="true" t="shared" si="18" ref="AD31:AI31">(AD8+AD10+AD13+AD14)-(AC8+AC10+AC13+AC14)</f>
        <v>0</v>
      </c>
      <c r="AE31" s="117">
        <f t="shared" si="18"/>
        <v>0</v>
      </c>
      <c r="AF31" s="117">
        <f t="shared" si="18"/>
        <v>0</v>
      </c>
      <c r="AG31" s="117">
        <f t="shared" si="18"/>
        <v>0</v>
      </c>
      <c r="AH31" s="117">
        <f t="shared" si="18"/>
        <v>0</v>
      </c>
      <c r="AI31" s="117">
        <f t="shared" si="18"/>
        <v>0</v>
      </c>
    </row>
    <row r="32" spans="1:35" ht="12.75" hidden="1">
      <c r="A32" s="116" t="s">
        <v>139</v>
      </c>
      <c r="P32" s="117">
        <f>P9-C9</f>
        <v>0</v>
      </c>
      <c r="AC32" s="117">
        <f>AC9-P9</f>
        <v>0</v>
      </c>
      <c r="AD32" s="117">
        <f aca="true" t="shared" si="19" ref="AD32:AI32">AD9-AC9</f>
        <v>0</v>
      </c>
      <c r="AE32" s="117">
        <f t="shared" si="19"/>
        <v>0</v>
      </c>
      <c r="AF32" s="117">
        <f t="shared" si="19"/>
        <v>0</v>
      </c>
      <c r="AG32" s="117">
        <f t="shared" si="19"/>
        <v>0</v>
      </c>
      <c r="AH32" s="117">
        <f t="shared" si="19"/>
        <v>0</v>
      </c>
      <c r="AI32" s="117">
        <f t="shared" si="19"/>
        <v>0</v>
      </c>
    </row>
    <row r="33" spans="1:35" ht="12.75" hidden="1">
      <c r="A33" s="116" t="s">
        <v>140</v>
      </c>
      <c r="P33" s="117">
        <f>(P21+P17)-(C21+C17)</f>
        <v>16036.472609999999</v>
      </c>
      <c r="AC33" s="117">
        <f>(AC21+AC17)-(P21+P17)</f>
        <v>129.34414687499884</v>
      </c>
      <c r="AD33" s="117">
        <f aca="true" t="shared" si="20" ref="AD33:AI33">(AD21+AD17)-(AC21+AC17)</f>
        <v>-2811.4463924999945</v>
      </c>
      <c r="AE33" s="117">
        <f t="shared" si="20"/>
        <v>-2811.4463924999945</v>
      </c>
      <c r="AF33" s="117">
        <f t="shared" si="20"/>
        <v>-2811.4463924999945</v>
      </c>
      <c r="AG33" s="117">
        <f t="shared" si="20"/>
        <v>-2811.4463924999945</v>
      </c>
      <c r="AH33" s="117">
        <f t="shared" si="20"/>
        <v>-2811.4463924999986</v>
      </c>
      <c r="AI33" s="117">
        <f t="shared" si="20"/>
        <v>-2108.584794375</v>
      </c>
    </row>
    <row r="34" spans="1:35" ht="12.75" hidden="1">
      <c r="A34" s="116" t="s">
        <v>141</v>
      </c>
      <c r="P34" s="117">
        <f>-P31+P32+P33</f>
        <v>15654.107225624026</v>
      </c>
      <c r="Q34" s="117">
        <f aca="true" t="shared" si="21" ref="Q34:AB34">Q31+Q32+Q33</f>
        <v>0</v>
      </c>
      <c r="R34" s="117">
        <f t="shared" si="21"/>
        <v>0</v>
      </c>
      <c r="S34" s="117">
        <f t="shared" si="21"/>
        <v>0</v>
      </c>
      <c r="T34" s="117">
        <f t="shared" si="21"/>
        <v>0</v>
      </c>
      <c r="U34" s="117">
        <f t="shared" si="21"/>
        <v>0</v>
      </c>
      <c r="V34" s="117">
        <f t="shared" si="21"/>
        <v>0</v>
      </c>
      <c r="W34" s="117">
        <f t="shared" si="21"/>
        <v>0</v>
      </c>
      <c r="X34" s="117">
        <f t="shared" si="21"/>
        <v>0</v>
      </c>
      <c r="Y34" s="117">
        <f t="shared" si="21"/>
        <v>0</v>
      </c>
      <c r="Z34" s="117">
        <f t="shared" si="21"/>
        <v>0</v>
      </c>
      <c r="AA34" s="117">
        <f t="shared" si="21"/>
        <v>0</v>
      </c>
      <c r="AB34" s="117">
        <f t="shared" si="21"/>
        <v>0</v>
      </c>
      <c r="AC34" s="117">
        <f aca="true" t="shared" si="22" ref="AC34:AH34">-AC31+AC32+AC33</f>
        <v>-6288.624933195288</v>
      </c>
      <c r="AD34" s="117">
        <f t="shared" si="22"/>
        <v>-2811.4463924999945</v>
      </c>
      <c r="AE34" s="117">
        <f t="shared" si="22"/>
        <v>-2811.4463924999945</v>
      </c>
      <c r="AF34" s="117">
        <f t="shared" si="22"/>
        <v>-2811.4463924999945</v>
      </c>
      <c r="AG34" s="117">
        <f t="shared" si="22"/>
        <v>-2811.4463924999945</v>
      </c>
      <c r="AH34" s="117">
        <f t="shared" si="22"/>
        <v>-2811.4463924999986</v>
      </c>
      <c r="AI34" s="117">
        <f>-AI31+AI32+AI33</f>
        <v>-2108.584794375</v>
      </c>
    </row>
    <row r="35" spans="1:35" ht="12.75" hidden="1">
      <c r="A35" s="116" t="s">
        <v>75</v>
      </c>
      <c r="P35" s="117">
        <f>'2-ф2'!P16</f>
        <v>495.36056249999996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>
        <f>'2-ф2'!AC16</f>
        <v>1981.4422499999994</v>
      </c>
      <c r="AD35" s="117">
        <f>'2-ф2'!AD16</f>
        <v>1981.4422499999998</v>
      </c>
      <c r="AE35" s="117">
        <f>'2-ф2'!AE16</f>
        <v>1981.4422499999998</v>
      </c>
      <c r="AF35" s="117">
        <f>'2-ф2'!AF16</f>
        <v>1981.4422499999998</v>
      </c>
      <c r="AG35" s="117">
        <f>'2-ф2'!AG16</f>
        <v>1981.4422499999998</v>
      </c>
      <c r="AH35" s="117">
        <f>'2-ф2'!AH16</f>
        <v>1981.4422499999998</v>
      </c>
      <c r="AI35" s="117">
        <f>'2-ф2'!AI16</f>
        <v>1981.4422499999998</v>
      </c>
    </row>
    <row r="36" spans="1:35" ht="12.75" hidden="1">
      <c r="A36" s="116" t="s">
        <v>142</v>
      </c>
      <c r="P36" s="117">
        <f>-'1-Ф3'!P26</f>
        <v>-15851.537999999999</v>
      </c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>
        <f>-'1-Ф3'!AC26</f>
        <v>0</v>
      </c>
      <c r="AD36" s="117">
        <f>-'1-Ф3'!AD26</f>
        <v>0</v>
      </c>
      <c r="AE36" s="117">
        <f>-'1-Ф3'!AE26</f>
        <v>0</v>
      </c>
      <c r="AF36" s="117">
        <f>-'1-Ф3'!AF26</f>
        <v>0</v>
      </c>
      <c r="AG36" s="117">
        <f>-'1-Ф3'!AG26</f>
        <v>0</v>
      </c>
      <c r="AH36" s="117">
        <f>-'1-Ф3'!AH26</f>
        <v>0</v>
      </c>
      <c r="AI36" s="117">
        <f>-'1-Ф3'!AI26</f>
        <v>0</v>
      </c>
    </row>
    <row r="37" spans="1:35" ht="12.75" hidden="1">
      <c r="A37" s="116" t="s">
        <v>143</v>
      </c>
      <c r="P37" s="117">
        <f>P30+P34+P35+P36+P25</f>
        <v>0</v>
      </c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>
        <f aca="true" t="shared" si="23" ref="AC37:AH37">AC30+AC34+AC35+AC36</f>
        <v>-4596.430236822346</v>
      </c>
      <c r="AD37" s="117">
        <f t="shared" si="23"/>
        <v>3552.292212804222</v>
      </c>
      <c r="AE37" s="117">
        <f t="shared" si="23"/>
        <v>3749.093460279222</v>
      </c>
      <c r="AF37" s="117">
        <f t="shared" si="23"/>
        <v>3945.8947077542216</v>
      </c>
      <c r="AG37" s="117">
        <f t="shared" si="23"/>
        <v>4142.695955229221</v>
      </c>
      <c r="AH37" s="117">
        <f t="shared" si="23"/>
        <v>4339.497202704216</v>
      </c>
      <c r="AI37" s="117">
        <f>AI30+AI34+AI35+AI36</f>
        <v>5235.060022315153</v>
      </c>
    </row>
    <row r="38" ht="12.75" hidden="1"/>
    <row r="39" spans="1:35" ht="12.75" hidden="1">
      <c r="A39" s="116" t="s">
        <v>149</v>
      </c>
      <c r="P39" s="117">
        <f>'1-Ф3'!P39</f>
        <v>0</v>
      </c>
      <c r="AC39" s="117">
        <f>'1-Ф3'!AC39</f>
        <v>6854.186013942262</v>
      </c>
      <c r="AD39" s="117">
        <f>'1-Ф3'!AD39</f>
        <v>3552.2922128042173</v>
      </c>
      <c r="AE39" s="117">
        <f>'1-Ф3'!AE39</f>
        <v>3749.0934602792167</v>
      </c>
      <c r="AF39" s="117">
        <f>'1-Ф3'!AF39</f>
        <v>3945.894707754216</v>
      </c>
      <c r="AG39" s="117">
        <f>'1-Ф3'!AG39</f>
        <v>4142.6959552292155</v>
      </c>
      <c r="AH39" s="117">
        <f>'1-Ф3'!AH39</f>
        <v>4339.497202704217</v>
      </c>
      <c r="AI39" s="117">
        <f>'1-Ф3'!AI39</f>
        <v>5235.060022315154</v>
      </c>
    </row>
    <row r="40" spans="1:35" ht="12.75" hidden="1">
      <c r="A40" s="133" t="s">
        <v>137</v>
      </c>
      <c r="B40" s="134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>
        <f>P39-P37</f>
        <v>0</v>
      </c>
      <c r="Q40" s="136">
        <f aca="true" t="shared" si="24" ref="Q40:AB40">Q39-Q37</f>
        <v>0</v>
      </c>
      <c r="R40" s="136">
        <f t="shared" si="24"/>
        <v>0</v>
      </c>
      <c r="S40" s="136">
        <f t="shared" si="24"/>
        <v>0</v>
      </c>
      <c r="T40" s="136">
        <f t="shared" si="24"/>
        <v>0</v>
      </c>
      <c r="U40" s="136">
        <f t="shared" si="24"/>
        <v>0</v>
      </c>
      <c r="V40" s="136">
        <f t="shared" si="24"/>
        <v>0</v>
      </c>
      <c r="W40" s="136">
        <f t="shared" si="24"/>
        <v>0</v>
      </c>
      <c r="X40" s="136">
        <f t="shared" si="24"/>
        <v>0</v>
      </c>
      <c r="Y40" s="136">
        <f t="shared" si="24"/>
        <v>0</v>
      </c>
      <c r="Z40" s="136">
        <f t="shared" si="24"/>
        <v>0</v>
      </c>
      <c r="AA40" s="136">
        <f t="shared" si="24"/>
        <v>0</v>
      </c>
      <c r="AB40" s="136">
        <f t="shared" si="24"/>
        <v>0</v>
      </c>
      <c r="AC40" s="136">
        <f aca="true" t="shared" si="25" ref="AC40:AH40">AC39-AC37</f>
        <v>11450.616250764608</v>
      </c>
      <c r="AD40" s="136">
        <f t="shared" si="25"/>
        <v>-4.547473508864641E-12</v>
      </c>
      <c r="AE40" s="136">
        <f t="shared" si="25"/>
        <v>-5.4569682106375694E-12</v>
      </c>
      <c r="AF40" s="136">
        <f t="shared" si="25"/>
        <v>-5.4569682106375694E-12</v>
      </c>
      <c r="AG40" s="136">
        <f t="shared" si="25"/>
        <v>0</v>
      </c>
      <c r="AH40" s="136">
        <f t="shared" si="25"/>
        <v>0</v>
      </c>
      <c r="AI40" s="136">
        <f>AI39-AI37</f>
        <v>0</v>
      </c>
    </row>
    <row r="41" spans="11:14" ht="12.75">
      <c r="K41" s="237">
        <f>K28-J28</f>
        <v>0</v>
      </c>
      <c r="L41" s="237">
        <f>L28-K28</f>
        <v>0</v>
      </c>
      <c r="M41" s="237">
        <f>M28-L28</f>
        <v>0</v>
      </c>
      <c r="N41" s="237">
        <f>N28-M28</f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68"/>
  <sheetViews>
    <sheetView showGridLines="0" zoomScalePageLayoutView="0" workbookViewId="0" topLeftCell="A1">
      <pane ySplit="3" topLeftCell="A39" activePane="bottomLeft" state="frozen"/>
      <selection pane="topLeft" activeCell="A34" sqref="A34"/>
      <selection pane="bottomLeft" activeCell="F63" sqref="F63"/>
    </sheetView>
  </sheetViews>
  <sheetFormatPr defaultColWidth="9.00390625" defaultRowHeight="12.75"/>
  <cols>
    <col min="1" max="1" width="29.875" style="71" customWidth="1"/>
    <col min="2" max="2" width="18.75390625" style="71" customWidth="1"/>
    <col min="3" max="3" width="20.00390625" style="71" customWidth="1"/>
    <col min="4" max="4" width="19.00390625" style="71" customWidth="1"/>
    <col min="5" max="13" width="9.125" style="71" customWidth="1"/>
    <col min="14" max="14" width="14.375" style="71" customWidth="1"/>
    <col min="15" max="16384" width="9.125" style="71" customWidth="1"/>
  </cols>
  <sheetData>
    <row r="1" spans="1:3" ht="15.75" customHeight="1">
      <c r="A1" s="339" t="s">
        <v>36</v>
      </c>
      <c r="B1" s="339"/>
      <c r="C1" s="339"/>
    </row>
    <row r="2" spans="1:7" ht="12" customHeight="1">
      <c r="A2" s="61"/>
      <c r="G2" s="242">
        <f>'1-Ф3'!B40</f>
        <v>31818.719575028477</v>
      </c>
    </row>
    <row r="3" spans="1:3" ht="12.75">
      <c r="A3" s="72" t="s">
        <v>26</v>
      </c>
      <c r="B3" s="73" t="s">
        <v>37</v>
      </c>
      <c r="C3" s="73" t="s">
        <v>7</v>
      </c>
    </row>
    <row r="4" ht="12.75">
      <c r="A4" s="61" t="s">
        <v>151</v>
      </c>
    </row>
    <row r="5" spans="1:3" ht="12.75">
      <c r="A5" s="74" t="s">
        <v>102</v>
      </c>
      <c r="B5" s="74"/>
      <c r="C5" s="142">
        <v>151.54</v>
      </c>
    </row>
    <row r="6" spans="1:3" ht="12.75">
      <c r="A6" s="74" t="s">
        <v>161</v>
      </c>
      <c r="B6" s="74"/>
      <c r="C6" s="228">
        <v>4.61</v>
      </c>
    </row>
    <row r="7" spans="1:4" ht="12.75">
      <c r="A7" s="74" t="s">
        <v>71</v>
      </c>
      <c r="B7" s="74"/>
      <c r="C7" s="155">
        <f>(20%*C8+C54*(1-C21)*(1-C8))*0+10%</f>
        <v>0.1</v>
      </c>
      <c r="D7" s="71" t="s">
        <v>235</v>
      </c>
    </row>
    <row r="8" spans="1:3" ht="12.75" hidden="1">
      <c r="A8" s="74" t="s">
        <v>218</v>
      </c>
      <c r="B8" s="74"/>
      <c r="C8" s="77">
        <v>0</v>
      </c>
    </row>
    <row r="9" spans="1:3" ht="12.75">
      <c r="A9" s="74" t="s">
        <v>144</v>
      </c>
      <c r="B9" s="74"/>
      <c r="C9" s="78" t="s">
        <v>57</v>
      </c>
    </row>
    <row r="10" ht="12.75">
      <c r="A10" s="61" t="s">
        <v>145</v>
      </c>
    </row>
    <row r="11" spans="1:3" ht="12.75">
      <c r="A11" s="74" t="s">
        <v>45</v>
      </c>
      <c r="B11" s="76" t="s">
        <v>39</v>
      </c>
      <c r="C11" s="77">
        <v>0.1</v>
      </c>
    </row>
    <row r="12" spans="1:3" ht="12.75">
      <c r="A12" s="74" t="s">
        <v>50</v>
      </c>
      <c r="B12" s="76" t="s">
        <v>39</v>
      </c>
      <c r="C12" s="77">
        <v>0.05</v>
      </c>
    </row>
    <row r="13" spans="1:3" ht="12.75">
      <c r="A13" s="74" t="s">
        <v>237</v>
      </c>
      <c r="B13" s="76" t="s">
        <v>39</v>
      </c>
      <c r="C13" s="77">
        <v>0.1</v>
      </c>
    </row>
    <row r="14" spans="1:3" ht="12.75" hidden="1">
      <c r="A14" s="74" t="s">
        <v>48</v>
      </c>
      <c r="B14" s="76" t="s">
        <v>39</v>
      </c>
      <c r="C14" s="77">
        <f>11%*0</f>
        <v>0</v>
      </c>
    </row>
    <row r="15" spans="1:3" ht="12.75">
      <c r="A15" s="74" t="s">
        <v>114</v>
      </c>
      <c r="B15" s="76" t="s">
        <v>57</v>
      </c>
      <c r="C15" s="79">
        <v>18.66</v>
      </c>
    </row>
    <row r="16" spans="1:4" ht="12.75">
      <c r="A16" s="74" t="s">
        <v>238</v>
      </c>
      <c r="B16" s="76"/>
      <c r="C16" s="269"/>
      <c r="D16" s="71" t="s">
        <v>236</v>
      </c>
    </row>
    <row r="17" spans="1:4" ht="12.75">
      <c r="A17" s="74" t="s">
        <v>314</v>
      </c>
      <c r="B17" s="76"/>
      <c r="C17" s="240">
        <v>0.001</v>
      </c>
      <c r="D17" s="71" t="s">
        <v>242</v>
      </c>
    </row>
    <row r="18" spans="1:4" ht="12.75">
      <c r="A18" s="74" t="s">
        <v>1</v>
      </c>
      <c r="B18" s="76"/>
      <c r="C18" s="240">
        <f>1.5%*0</f>
        <v>0</v>
      </c>
      <c r="D18" s="71" t="s">
        <v>236</v>
      </c>
    </row>
    <row r="19" spans="1:4" ht="12.75" hidden="1">
      <c r="A19" s="74" t="s">
        <v>38</v>
      </c>
      <c r="B19" s="76" t="s">
        <v>39</v>
      </c>
      <c r="C19" s="77">
        <f>12%*0</f>
        <v>0</v>
      </c>
      <c r="D19" s="71" t="s">
        <v>236</v>
      </c>
    </row>
    <row r="20" spans="1:4" ht="12.75" hidden="1">
      <c r="A20" s="74" t="s">
        <v>58</v>
      </c>
      <c r="B20" s="74"/>
      <c r="C20" s="75">
        <v>1</v>
      </c>
      <c r="D20" s="71" t="s">
        <v>236</v>
      </c>
    </row>
    <row r="21" spans="1:4" ht="12.75">
      <c r="A21" s="74" t="s">
        <v>191</v>
      </c>
      <c r="B21" s="74"/>
      <c r="C21" s="77">
        <v>0</v>
      </c>
      <c r="D21" s="71" t="s">
        <v>236</v>
      </c>
    </row>
    <row r="23" spans="1:10" ht="12.75">
      <c r="A23" s="61" t="s">
        <v>307</v>
      </c>
      <c r="C23" s="144"/>
      <c r="D23" s="144"/>
      <c r="E23" s="144"/>
      <c r="F23" s="144"/>
      <c r="G23" s="144"/>
      <c r="H23" s="144"/>
      <c r="I23" s="144"/>
      <c r="J23" s="144"/>
    </row>
    <row r="24" spans="1:10" ht="12.75">
      <c r="A24" s="74" t="s">
        <v>86</v>
      </c>
      <c r="B24" s="76" t="s">
        <v>239</v>
      </c>
      <c r="C24" s="143">
        <f>SUM(C25:C26)</f>
        <v>400</v>
      </c>
      <c r="D24" s="144"/>
      <c r="E24" s="144"/>
      <c r="F24" s="144"/>
      <c r="G24" s="144"/>
      <c r="H24" s="144"/>
      <c r="I24" s="144"/>
      <c r="J24" s="144"/>
    </row>
    <row r="25" spans="1:10" ht="12.75">
      <c r="A25" s="74" t="s">
        <v>308</v>
      </c>
      <c r="B25" s="76" t="s">
        <v>239</v>
      </c>
      <c r="C25" s="142">
        <v>308</v>
      </c>
      <c r="D25" s="144"/>
      <c r="E25" s="144"/>
      <c r="F25" s="144"/>
      <c r="G25" s="144"/>
      <c r="H25" s="144"/>
      <c r="I25" s="144"/>
      <c r="J25" s="144"/>
    </row>
    <row r="26" spans="1:10" ht="12.75">
      <c r="A26" s="292" t="s">
        <v>309</v>
      </c>
      <c r="B26" s="76" t="s">
        <v>239</v>
      </c>
      <c r="C26" s="142">
        <v>92</v>
      </c>
      <c r="D26" s="144"/>
      <c r="E26" s="144"/>
      <c r="F26" s="144"/>
      <c r="G26" s="144"/>
      <c r="H26" s="144"/>
      <c r="I26" s="144"/>
      <c r="J26" s="144"/>
    </row>
    <row r="27" ht="12.75">
      <c r="A27" s="61" t="s">
        <v>246</v>
      </c>
    </row>
    <row r="28" spans="1:3" ht="12.75">
      <c r="A28" s="162" t="s">
        <v>310</v>
      </c>
      <c r="B28" s="76" t="s">
        <v>249</v>
      </c>
      <c r="C28" s="228">
        <v>15.3</v>
      </c>
    </row>
    <row r="29" spans="1:3" ht="12.75">
      <c r="A29" s="162" t="s">
        <v>312</v>
      </c>
      <c r="B29" s="76" t="s">
        <v>249</v>
      </c>
      <c r="C29" s="142">
        <v>5</v>
      </c>
    </row>
    <row r="30" ht="12.75">
      <c r="A30" s="61" t="s">
        <v>250</v>
      </c>
    </row>
    <row r="31" spans="1:3" ht="12.75">
      <c r="A31" s="162" t="s">
        <v>310</v>
      </c>
      <c r="B31" s="76" t="s">
        <v>249</v>
      </c>
      <c r="C31" s="228">
        <v>1.2</v>
      </c>
    </row>
    <row r="32" ht="12.75">
      <c r="A32" s="61" t="s">
        <v>350</v>
      </c>
    </row>
    <row r="33" spans="1:3" ht="12.75">
      <c r="A33" s="162" t="s">
        <v>337</v>
      </c>
      <c r="B33" s="76" t="s">
        <v>351</v>
      </c>
      <c r="C33" s="142">
        <v>100</v>
      </c>
    </row>
    <row r="34" spans="1:3" ht="12.75">
      <c r="A34" s="162" t="s">
        <v>260</v>
      </c>
      <c r="B34" s="76" t="s">
        <v>352</v>
      </c>
      <c r="C34" s="142">
        <v>7</v>
      </c>
    </row>
    <row r="35" spans="1:3" ht="25.5">
      <c r="A35" s="162" t="s">
        <v>406</v>
      </c>
      <c r="B35" s="76" t="s">
        <v>251</v>
      </c>
      <c r="C35" s="228">
        <v>1.5</v>
      </c>
    </row>
    <row r="36" spans="1:3" ht="25.5">
      <c r="A36" s="162" t="s">
        <v>412</v>
      </c>
      <c r="B36" s="76" t="s">
        <v>351</v>
      </c>
      <c r="C36" s="305">
        <v>1.2</v>
      </c>
    </row>
    <row r="37" spans="1:3" ht="12.75">
      <c r="A37" s="162" t="s">
        <v>407</v>
      </c>
      <c r="B37" s="76" t="s">
        <v>251</v>
      </c>
      <c r="C37" s="305">
        <v>0.03</v>
      </c>
    </row>
    <row r="38" spans="1:3" ht="12.75">
      <c r="A38" s="162" t="s">
        <v>354</v>
      </c>
      <c r="B38" s="76" t="s">
        <v>39</v>
      </c>
      <c r="C38" s="295">
        <v>0.4</v>
      </c>
    </row>
    <row r="39" ht="12.75">
      <c r="A39" s="61" t="s">
        <v>247</v>
      </c>
    </row>
    <row r="40" spans="1:4" ht="12.75">
      <c r="A40" s="162" t="s">
        <v>310</v>
      </c>
      <c r="B40" s="76" t="s">
        <v>252</v>
      </c>
      <c r="C40" s="142">
        <v>35000</v>
      </c>
      <c r="D40" s="225" t="s">
        <v>428</v>
      </c>
    </row>
    <row r="41" spans="1:4" ht="12.75">
      <c r="A41" s="162" t="s">
        <v>312</v>
      </c>
      <c r="B41" s="76" t="s">
        <v>252</v>
      </c>
      <c r="C41" s="142">
        <v>9300</v>
      </c>
      <c r="D41" s="311" t="s">
        <v>441</v>
      </c>
    </row>
    <row r="42" spans="1:3" ht="12.75">
      <c r="A42" s="162" t="s">
        <v>253</v>
      </c>
      <c r="B42" s="222" t="s">
        <v>248</v>
      </c>
      <c r="C42" s="223">
        <v>110</v>
      </c>
    </row>
    <row r="43" spans="1:4" ht="12.75">
      <c r="A43" s="162" t="s">
        <v>313</v>
      </c>
      <c r="B43" s="222" t="s">
        <v>254</v>
      </c>
      <c r="C43" s="286">
        <f>20*$C$6</f>
        <v>92.2</v>
      </c>
      <c r="D43" s="225" t="s">
        <v>427</v>
      </c>
    </row>
    <row r="44" spans="1:5" ht="12.75">
      <c r="A44" s="162" t="s">
        <v>408</v>
      </c>
      <c r="B44" s="76" t="s">
        <v>254</v>
      </c>
      <c r="C44" s="142">
        <f>120*1.1*$C$6</f>
        <v>608.5200000000001</v>
      </c>
      <c r="D44" s="311" t="s">
        <v>409</v>
      </c>
      <c r="E44" s="71" t="s">
        <v>410</v>
      </c>
    </row>
    <row r="45" spans="1:5" ht="12.75">
      <c r="A45" s="162" t="s">
        <v>413</v>
      </c>
      <c r="B45" s="76" t="s">
        <v>248</v>
      </c>
      <c r="C45" s="142">
        <f>9.5*$C$5</f>
        <v>1439.6299999999999</v>
      </c>
      <c r="D45" s="8"/>
      <c r="E45" s="312"/>
    </row>
    <row r="46" spans="1:4" ht="12.75">
      <c r="A46" s="162" t="s">
        <v>411</v>
      </c>
      <c r="B46" s="76" t="s">
        <v>254</v>
      </c>
      <c r="C46" s="142">
        <f>203*$C$5</f>
        <v>30762.62</v>
      </c>
      <c r="D46" s="8"/>
    </row>
    <row r="47" ht="12.75">
      <c r="A47" s="61" t="s">
        <v>240</v>
      </c>
    </row>
    <row r="48" spans="1:3" ht="12.75">
      <c r="A48" s="162" t="s">
        <v>311</v>
      </c>
      <c r="B48" s="222" t="s">
        <v>239</v>
      </c>
      <c r="C48" s="223">
        <v>400</v>
      </c>
    </row>
    <row r="49" spans="1:3" ht="12.75">
      <c r="A49" s="162"/>
      <c r="B49" s="222"/>
      <c r="C49" s="270"/>
    </row>
    <row r="50" ht="12.75">
      <c r="A50" s="61" t="s">
        <v>241</v>
      </c>
    </row>
    <row r="51" spans="1:3" ht="12.75">
      <c r="A51" s="162" t="s">
        <v>311</v>
      </c>
      <c r="B51" s="222" t="s">
        <v>57</v>
      </c>
      <c r="C51" s="286">
        <f>27100/3</f>
        <v>9033.333333333334</v>
      </c>
    </row>
    <row r="52" spans="1:3" ht="12.75">
      <c r="A52" s="162"/>
      <c r="B52" s="222"/>
      <c r="C52" s="270"/>
    </row>
    <row r="53" ht="12.75">
      <c r="A53" s="61" t="s">
        <v>152</v>
      </c>
    </row>
    <row r="54" spans="1:3" ht="12.75">
      <c r="A54" s="74" t="s">
        <v>55</v>
      </c>
      <c r="B54" s="76" t="s">
        <v>39</v>
      </c>
      <c r="C54" s="77">
        <v>0.07</v>
      </c>
    </row>
    <row r="55" spans="1:3" ht="12.75">
      <c r="A55" s="74" t="s">
        <v>153</v>
      </c>
      <c r="B55" s="76" t="s">
        <v>154</v>
      </c>
      <c r="C55" s="228">
        <v>7</v>
      </c>
    </row>
    <row r="56" spans="1:3" ht="12.75">
      <c r="A56" s="74" t="s">
        <v>155</v>
      </c>
      <c r="B56" s="76" t="s">
        <v>157</v>
      </c>
      <c r="C56" s="142">
        <v>12</v>
      </c>
    </row>
    <row r="57" spans="1:3" ht="12.75">
      <c r="A57" s="74" t="s">
        <v>156</v>
      </c>
      <c r="B57" s="76" t="s">
        <v>157</v>
      </c>
      <c r="C57" s="142">
        <v>12</v>
      </c>
    </row>
    <row r="59" spans="1:5" ht="12.75">
      <c r="A59" s="61" t="s">
        <v>280</v>
      </c>
      <c r="B59" s="144" t="s">
        <v>210</v>
      </c>
      <c r="C59" s="144" t="s">
        <v>282</v>
      </c>
      <c r="D59" s="144" t="s">
        <v>281</v>
      </c>
      <c r="E59" s="71" t="s">
        <v>283</v>
      </c>
    </row>
    <row r="60" spans="1:5" ht="12.75">
      <c r="A60" s="143">
        <f>C48</f>
        <v>400</v>
      </c>
      <c r="B60" s="71" t="s">
        <v>239</v>
      </c>
      <c r="C60" s="279">
        <f>C17</f>
        <v>0.001</v>
      </c>
      <c r="D60" s="149">
        <f>C51</f>
        <v>9033.333333333334</v>
      </c>
      <c r="E60" s="149">
        <f>C60*D60</f>
        <v>9.033333333333335</v>
      </c>
    </row>
    <row r="61" spans="5:6" ht="12.75">
      <c r="E61" s="206">
        <f>SUM(E60:E60)</f>
        <v>9.033333333333335</v>
      </c>
      <c r="F61" s="61" t="s">
        <v>284</v>
      </c>
    </row>
    <row r="62" spans="1:4" ht="12.75">
      <c r="A62" s="151" t="s">
        <v>429</v>
      </c>
      <c r="B62" s="76" t="s">
        <v>435</v>
      </c>
      <c r="C62" s="296" t="s">
        <v>247</v>
      </c>
      <c r="D62" s="296" t="s">
        <v>158</v>
      </c>
    </row>
    <row r="63" spans="1:4" ht="12.75">
      <c r="A63" s="74" t="s">
        <v>430</v>
      </c>
      <c r="B63" s="74"/>
      <c r="C63" s="313">
        <f>185*1.1</f>
        <v>203.50000000000003</v>
      </c>
      <c r="D63" s="149">
        <f>C63</f>
        <v>203.50000000000003</v>
      </c>
    </row>
    <row r="64" spans="1:4" ht="12.75">
      <c r="A64" s="74" t="s">
        <v>431</v>
      </c>
      <c r="B64" s="314">
        <v>3</v>
      </c>
      <c r="C64" s="313">
        <f>320*1.1</f>
        <v>352</v>
      </c>
      <c r="D64" s="149">
        <f>B64*C64</f>
        <v>1056</v>
      </c>
    </row>
    <row r="65" spans="1:4" ht="12.75">
      <c r="A65" s="74" t="s">
        <v>432</v>
      </c>
      <c r="B65" s="314">
        <v>6</v>
      </c>
      <c r="C65" s="313">
        <f>40*1.1</f>
        <v>44</v>
      </c>
      <c r="D65" s="149">
        <f>B65*C65</f>
        <v>264</v>
      </c>
    </row>
    <row r="66" spans="1:4" ht="12.75">
      <c r="A66" s="74" t="s">
        <v>433</v>
      </c>
      <c r="B66" s="314">
        <v>6</v>
      </c>
      <c r="C66" s="313">
        <f>200*1.1</f>
        <v>220.00000000000003</v>
      </c>
      <c r="D66" s="149">
        <f>B66*C66</f>
        <v>1320.0000000000002</v>
      </c>
    </row>
    <row r="67" spans="1:4" ht="12.75">
      <c r="A67" s="74" t="s">
        <v>434</v>
      </c>
      <c r="B67" s="74"/>
      <c r="C67" s="313">
        <f>465*1.1</f>
        <v>511.50000000000006</v>
      </c>
      <c r="D67" s="149">
        <f>C67</f>
        <v>511.50000000000006</v>
      </c>
    </row>
    <row r="68" spans="1:4" ht="12.75">
      <c r="A68" s="151" t="s">
        <v>0</v>
      </c>
      <c r="B68" s="151"/>
      <c r="C68" s="151"/>
      <c r="D68" s="315">
        <f>SUM(D63:D67)</f>
        <v>3355</v>
      </c>
    </row>
  </sheetData>
  <sheetProtection/>
  <mergeCells count="1">
    <mergeCell ref="A1:C1"/>
  </mergeCells>
  <hyperlinks>
    <hyperlink ref="D44" r:id="rId1" display="www.agroyug.ru"/>
    <hyperlink ref="D43" r:id="rId2" display="http://www.agroserver.ru/b/semena-pshenitsy-yarovoy-192941.htm"/>
    <hyperlink ref="D40" r:id="rId3" display="http://www.agroprom.kz/marketplace/produktsiya-rastenievodstva/pshenitsa/kazahstan/"/>
    <hyperlink ref="D41" r:id="rId4" display="http://goszakup.gov.kz/app/index.php/ru/publictrade/showbuy/3049160"/>
  </hyperlinks>
  <printOptions/>
  <pageMargins left="0.3" right="0.25" top="0.43" bottom="0.33" header="0.21" footer="0.24"/>
  <pageSetup horizontalDpi="600" verticalDpi="600" orientation="landscape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9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D26" sqref="D26"/>
    </sheetView>
  </sheetViews>
  <sheetFormatPr defaultColWidth="8.875" defaultRowHeight="12.75"/>
  <cols>
    <col min="1" max="1" width="29.75390625" style="71" customWidth="1"/>
    <col min="2" max="2" width="10.875" style="71" customWidth="1"/>
    <col min="3" max="7" width="8.875" style="71" customWidth="1"/>
    <col min="8" max="16384" width="8.875" style="71" customWidth="1"/>
  </cols>
  <sheetData>
    <row r="1" ht="12.75">
      <c r="A1" s="61" t="s">
        <v>95</v>
      </c>
    </row>
    <row r="2" ht="12.75">
      <c r="A2" s="61"/>
    </row>
    <row r="3" spans="1:7" ht="12.75">
      <c r="A3" s="71" t="s">
        <v>40</v>
      </c>
      <c r="C3" s="137"/>
      <c r="D3" s="137"/>
      <c r="E3" s="137"/>
      <c r="F3" s="137"/>
      <c r="G3" s="137"/>
    </row>
    <row r="4" spans="1:9" ht="12.75">
      <c r="A4" s="221" t="s">
        <v>96</v>
      </c>
      <c r="B4" s="217"/>
      <c r="C4" s="217">
        <v>2012</v>
      </c>
      <c r="D4" s="217">
        <f aca="true" t="shared" si="0" ref="D4:I4">C4+1</f>
        <v>2013</v>
      </c>
      <c r="E4" s="217">
        <f t="shared" si="0"/>
        <v>2014</v>
      </c>
      <c r="F4" s="217">
        <f t="shared" si="0"/>
        <v>2015</v>
      </c>
      <c r="G4" s="217">
        <f t="shared" si="0"/>
        <v>2016</v>
      </c>
      <c r="H4" s="217">
        <f t="shared" si="0"/>
        <v>2017</v>
      </c>
      <c r="I4" s="217">
        <f t="shared" si="0"/>
        <v>2018</v>
      </c>
    </row>
    <row r="5" spans="1:9" ht="12.75">
      <c r="A5" s="218"/>
      <c r="B5" s="220" t="s">
        <v>107</v>
      </c>
      <c r="C5" s="219">
        <f>C8*C9</f>
        <v>0</v>
      </c>
      <c r="D5" s="219">
        <f aca="true" t="shared" si="1" ref="D5:I5">D8*D9</f>
        <v>0</v>
      </c>
      <c r="E5" s="219">
        <f t="shared" si="1"/>
        <v>0</v>
      </c>
      <c r="F5" s="219">
        <f t="shared" si="1"/>
        <v>0</v>
      </c>
      <c r="G5" s="219">
        <f t="shared" si="1"/>
        <v>0</v>
      </c>
      <c r="H5" s="219">
        <f t="shared" si="1"/>
        <v>0</v>
      </c>
      <c r="I5" s="219">
        <f t="shared" si="1"/>
        <v>0</v>
      </c>
    </row>
    <row r="6" spans="1:9" ht="12.75">
      <c r="A6" s="74"/>
      <c r="B6" s="143"/>
      <c r="C6" s="143"/>
      <c r="D6" s="143"/>
      <c r="E6" s="143"/>
      <c r="F6" s="143"/>
      <c r="G6" s="143"/>
      <c r="H6" s="143"/>
      <c r="I6" s="143"/>
    </row>
    <row r="7" spans="1:9" ht="12.75">
      <c r="A7" s="74"/>
      <c r="B7" s="143"/>
      <c r="C7" s="143"/>
      <c r="D7" s="143"/>
      <c r="E7" s="143"/>
      <c r="F7" s="143"/>
      <c r="G7" s="143"/>
      <c r="H7" s="143"/>
      <c r="I7" s="143"/>
    </row>
    <row r="8" spans="1:9" ht="12.75">
      <c r="A8" s="74"/>
      <c r="B8" s="143"/>
      <c r="C8" s="143"/>
      <c r="D8" s="143"/>
      <c r="E8" s="143"/>
      <c r="F8" s="143"/>
      <c r="G8" s="143"/>
      <c r="H8" s="143"/>
      <c r="I8" s="143"/>
    </row>
    <row r="9" spans="1:9" ht="12.75">
      <c r="A9" s="74"/>
      <c r="B9" s="143"/>
      <c r="C9" s="143"/>
      <c r="D9" s="143"/>
      <c r="E9" s="143"/>
      <c r="F9" s="143"/>
      <c r="G9" s="143"/>
      <c r="H9" s="143"/>
      <c r="I9" s="143"/>
    </row>
  </sheetData>
  <sheetProtection/>
  <printOptions/>
  <pageMargins left="0.49" right="0.18" top="0.3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V5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875" defaultRowHeight="12.75"/>
  <cols>
    <col min="1" max="1" width="27.75390625" style="71" customWidth="1"/>
    <col min="2" max="2" width="12.75390625" style="71" customWidth="1"/>
    <col min="3" max="3" width="17.25390625" style="71" customWidth="1"/>
    <col min="4" max="4" width="11.875" style="71" customWidth="1"/>
    <col min="5" max="5" width="9.75390625" style="71" customWidth="1"/>
    <col min="6" max="6" width="11.875" style="71" customWidth="1"/>
    <col min="7" max="7" width="10.25390625" style="71" customWidth="1"/>
    <col min="8" max="8" width="8.25390625" style="71" customWidth="1"/>
    <col min="9" max="9" width="8.625" style="71" customWidth="1"/>
    <col min="10" max="11" width="12.625" style="71" customWidth="1"/>
    <col min="12" max="12" width="10.25390625" style="71" customWidth="1"/>
    <col min="13" max="13" width="9.375" style="71" customWidth="1"/>
    <col min="14" max="14" width="13.25390625" style="71" customWidth="1"/>
    <col min="15" max="15" width="7.375" style="71" customWidth="1"/>
    <col min="16" max="16" width="12.375" style="71" customWidth="1"/>
    <col min="17" max="17" width="6.125" style="71" customWidth="1"/>
    <col min="18" max="18" width="13.00390625" style="71" customWidth="1"/>
    <col min="19" max="19" width="7.875" style="71" customWidth="1"/>
    <col min="20" max="20" width="9.25390625" style="71" customWidth="1"/>
    <col min="21" max="21" width="8.00390625" style="71" customWidth="1"/>
    <col min="22" max="22" width="10.25390625" style="71" customWidth="1"/>
    <col min="23" max="23" width="11.125" style="71" customWidth="1"/>
    <col min="24" max="24" width="11.75390625" style="71" customWidth="1"/>
    <col min="25" max="25" width="11.625" style="71" customWidth="1"/>
    <col min="26" max="26" width="9.25390625" style="71" customWidth="1"/>
    <col min="27" max="27" width="6.125" style="71" customWidth="1"/>
    <col min="28" max="28" width="11.875" style="71" customWidth="1"/>
    <col min="29" max="29" width="7.875" style="71" customWidth="1"/>
    <col min="30" max="30" width="9.25390625" style="71" customWidth="1"/>
    <col min="31" max="31" width="6.125" style="71" customWidth="1"/>
    <col min="32" max="32" width="13.00390625" style="71" customWidth="1"/>
    <col min="33" max="33" width="7.875" style="71" customWidth="1"/>
    <col min="34" max="34" width="9.25390625" style="71" customWidth="1"/>
    <col min="35" max="35" width="6.125" style="71" customWidth="1"/>
    <col min="36" max="36" width="11.375" style="71" customWidth="1"/>
    <col min="37" max="37" width="7.875" style="71" customWidth="1"/>
    <col min="38" max="38" width="9.25390625" style="71" customWidth="1"/>
    <col min="39" max="39" width="8.375" style="71" customWidth="1"/>
    <col min="40" max="40" width="9.25390625" style="71" customWidth="1"/>
    <col min="41" max="41" width="11.375" style="71" customWidth="1"/>
    <col min="42" max="42" width="10.625" style="71" customWidth="1"/>
    <col min="43" max="43" width="13.00390625" style="71" customWidth="1"/>
    <col min="44" max="44" width="14.125" style="71" customWidth="1"/>
    <col min="45" max="16384" width="8.875" style="71" customWidth="1"/>
  </cols>
  <sheetData>
    <row r="1" spans="1:8" ht="12.75">
      <c r="A1" s="61" t="s">
        <v>474</v>
      </c>
      <c r="B1" s="61"/>
      <c r="C1" s="61"/>
      <c r="D1" s="61"/>
      <c r="E1" s="61"/>
      <c r="F1" s="61"/>
      <c r="H1" s="61"/>
    </row>
    <row r="2" ht="12.75"/>
    <row r="3" spans="1:41" ht="24.75" customHeight="1">
      <c r="A3" s="341" t="s">
        <v>255</v>
      </c>
      <c r="B3" s="345" t="s">
        <v>315</v>
      </c>
      <c r="C3" s="345" t="s">
        <v>316</v>
      </c>
      <c r="D3" s="340" t="s">
        <v>317</v>
      </c>
      <c r="E3" s="340"/>
      <c r="F3" s="340" t="s">
        <v>256</v>
      </c>
      <c r="G3" s="340"/>
      <c r="H3" s="340" t="s">
        <v>100</v>
      </c>
      <c r="I3" s="340"/>
      <c r="J3" s="345" t="s">
        <v>321</v>
      </c>
      <c r="K3" s="340" t="s">
        <v>322</v>
      </c>
      <c r="L3" s="342" t="s">
        <v>326</v>
      </c>
      <c r="M3" s="343"/>
      <c r="N3" s="344"/>
      <c r="O3" s="342" t="s">
        <v>327</v>
      </c>
      <c r="P3" s="344"/>
      <c r="Q3" s="348" t="s">
        <v>329</v>
      </c>
      <c r="R3" s="349"/>
      <c r="S3" s="349"/>
      <c r="T3" s="350"/>
      <c r="U3" s="342" t="s">
        <v>330</v>
      </c>
      <c r="V3" s="343"/>
      <c r="W3" s="343"/>
      <c r="X3" s="343"/>
      <c r="Y3" s="343"/>
      <c r="Z3" s="344"/>
      <c r="AA3" s="348" t="s">
        <v>414</v>
      </c>
      <c r="AB3" s="349"/>
      <c r="AC3" s="349"/>
      <c r="AD3" s="350"/>
      <c r="AE3" s="348" t="s">
        <v>418</v>
      </c>
      <c r="AF3" s="349"/>
      <c r="AG3" s="349"/>
      <c r="AH3" s="350"/>
      <c r="AI3" s="348" t="s">
        <v>353</v>
      </c>
      <c r="AJ3" s="349"/>
      <c r="AK3" s="349"/>
      <c r="AL3" s="350"/>
      <c r="AM3" s="348" t="s">
        <v>440</v>
      </c>
      <c r="AN3" s="350"/>
      <c r="AO3" s="340" t="s">
        <v>438</v>
      </c>
    </row>
    <row r="4" spans="1:41" ht="27.75" customHeight="1">
      <c r="A4" s="341"/>
      <c r="B4" s="346"/>
      <c r="C4" s="346"/>
      <c r="D4" s="340" t="s">
        <v>8</v>
      </c>
      <c r="E4" s="340" t="s">
        <v>318</v>
      </c>
      <c r="F4" s="345" t="s">
        <v>257</v>
      </c>
      <c r="G4" s="345" t="s">
        <v>258</v>
      </c>
      <c r="H4" s="345" t="s">
        <v>319</v>
      </c>
      <c r="I4" s="345" t="s">
        <v>320</v>
      </c>
      <c r="J4" s="346"/>
      <c r="K4" s="340"/>
      <c r="L4" s="340" t="s">
        <v>323</v>
      </c>
      <c r="M4" s="340" t="s">
        <v>324</v>
      </c>
      <c r="N4" s="340" t="s">
        <v>325</v>
      </c>
      <c r="O4" s="340" t="s">
        <v>397</v>
      </c>
      <c r="P4" s="340" t="s">
        <v>328</v>
      </c>
      <c r="Q4" s="340" t="s">
        <v>398</v>
      </c>
      <c r="R4" s="340" t="s">
        <v>399</v>
      </c>
      <c r="S4" s="340" t="s">
        <v>400</v>
      </c>
      <c r="T4" s="340" t="s">
        <v>403</v>
      </c>
      <c r="U4" s="340" t="s">
        <v>331</v>
      </c>
      <c r="V4" s="340" t="s">
        <v>402</v>
      </c>
      <c r="W4" s="340" t="s">
        <v>404</v>
      </c>
      <c r="X4" s="340" t="s">
        <v>332</v>
      </c>
      <c r="Y4" s="340" t="s">
        <v>333</v>
      </c>
      <c r="Z4" s="340" t="s">
        <v>334</v>
      </c>
      <c r="AA4" s="340" t="s">
        <v>415</v>
      </c>
      <c r="AB4" s="340" t="s">
        <v>416</v>
      </c>
      <c r="AC4" s="340" t="s">
        <v>417</v>
      </c>
      <c r="AD4" s="340" t="s">
        <v>421</v>
      </c>
      <c r="AE4" s="340" t="s">
        <v>398</v>
      </c>
      <c r="AF4" s="340" t="s">
        <v>419</v>
      </c>
      <c r="AG4" s="340" t="s">
        <v>417</v>
      </c>
      <c r="AH4" s="340" t="s">
        <v>422</v>
      </c>
      <c r="AI4" s="340" t="s">
        <v>398</v>
      </c>
      <c r="AJ4" s="340" t="s">
        <v>420</v>
      </c>
      <c r="AK4" s="340" t="s">
        <v>424</v>
      </c>
      <c r="AL4" s="340" t="s">
        <v>423</v>
      </c>
      <c r="AM4" s="340" t="s">
        <v>437</v>
      </c>
      <c r="AN4" s="340" t="s">
        <v>439</v>
      </c>
      <c r="AO4" s="340"/>
    </row>
    <row r="5" spans="1:41" ht="24.75" customHeight="1">
      <c r="A5" s="341"/>
      <c r="B5" s="347"/>
      <c r="C5" s="347"/>
      <c r="D5" s="340"/>
      <c r="E5" s="340"/>
      <c r="F5" s="347"/>
      <c r="G5" s="347"/>
      <c r="H5" s="347"/>
      <c r="I5" s="347"/>
      <c r="J5" s="347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</row>
    <row r="6" spans="1:41" ht="12.75">
      <c r="A6" s="298">
        <v>1</v>
      </c>
      <c r="B6" s="299">
        <v>2</v>
      </c>
      <c r="C6" s="299">
        <v>3</v>
      </c>
      <c r="D6" s="299">
        <v>4</v>
      </c>
      <c r="E6" s="299">
        <v>5</v>
      </c>
      <c r="F6" s="299">
        <v>6</v>
      </c>
      <c r="G6" s="299">
        <v>7</v>
      </c>
      <c r="H6" s="299">
        <v>8</v>
      </c>
      <c r="I6" s="299">
        <v>9</v>
      </c>
      <c r="J6" s="299">
        <v>10</v>
      </c>
      <c r="K6" s="299">
        <v>11</v>
      </c>
      <c r="L6" s="299">
        <v>12</v>
      </c>
      <c r="M6" s="299">
        <v>13</v>
      </c>
      <c r="N6" s="299">
        <v>14</v>
      </c>
      <c r="O6" s="299">
        <v>15</v>
      </c>
      <c r="P6" s="299">
        <v>16</v>
      </c>
      <c r="Q6" s="299">
        <v>17</v>
      </c>
      <c r="R6" s="299">
        <v>18</v>
      </c>
      <c r="S6" s="299">
        <v>19</v>
      </c>
      <c r="T6" s="299">
        <v>20</v>
      </c>
      <c r="U6" s="299">
        <v>21</v>
      </c>
      <c r="V6" s="299">
        <v>22</v>
      </c>
      <c r="W6" s="299">
        <v>23</v>
      </c>
      <c r="X6" s="299">
        <v>24</v>
      </c>
      <c r="Y6" s="299">
        <v>25</v>
      </c>
      <c r="Z6" s="299">
        <v>26</v>
      </c>
      <c r="AA6" s="299">
        <v>27</v>
      </c>
      <c r="AB6" s="299">
        <v>28</v>
      </c>
      <c r="AC6" s="299">
        <v>29</v>
      </c>
      <c r="AD6" s="299">
        <v>30</v>
      </c>
      <c r="AE6" s="299">
        <v>31</v>
      </c>
      <c r="AF6" s="299">
        <v>32</v>
      </c>
      <c r="AG6" s="299">
        <v>33</v>
      </c>
      <c r="AH6" s="299">
        <v>34</v>
      </c>
      <c r="AI6" s="299">
        <v>35</v>
      </c>
      <c r="AJ6" s="299">
        <v>36</v>
      </c>
      <c r="AK6" s="299">
        <v>37</v>
      </c>
      <c r="AL6" s="299">
        <v>38</v>
      </c>
      <c r="AM6" s="299">
        <v>39</v>
      </c>
      <c r="AN6" s="299">
        <v>40</v>
      </c>
      <c r="AO6" s="299">
        <v>41</v>
      </c>
    </row>
    <row r="7" spans="1:41" ht="12.75">
      <c r="A7" s="74" t="s">
        <v>335</v>
      </c>
      <c r="B7" s="226">
        <f>Исх!C24</f>
        <v>400</v>
      </c>
      <c r="C7" s="273" t="s">
        <v>355</v>
      </c>
      <c r="D7" s="273" t="s">
        <v>369</v>
      </c>
      <c r="E7" s="273">
        <v>1.5</v>
      </c>
      <c r="F7" s="273" t="s">
        <v>382</v>
      </c>
      <c r="G7" s="273" t="s">
        <v>385</v>
      </c>
      <c r="H7" s="294">
        <v>2</v>
      </c>
      <c r="I7" s="226" t="s">
        <v>263</v>
      </c>
      <c r="J7" s="305">
        <v>15.12</v>
      </c>
      <c r="K7" s="272">
        <f>B7/J7</f>
        <v>26.455026455026456</v>
      </c>
      <c r="L7" s="294">
        <v>1</v>
      </c>
      <c r="M7" s="294">
        <v>1</v>
      </c>
      <c r="N7" s="294">
        <v>2</v>
      </c>
      <c r="O7" s="289">
        <f>P7/B7</f>
        <v>0.23</v>
      </c>
      <c r="P7" s="294">
        <v>92</v>
      </c>
      <c r="Q7" s="308">
        <v>5.41</v>
      </c>
      <c r="R7" s="272">
        <f>Q7*B7/1000</f>
        <v>2.164</v>
      </c>
      <c r="S7" s="143">
        <f>Исх!$C$42</f>
        <v>110</v>
      </c>
      <c r="T7" s="143">
        <f>R7*S7</f>
        <v>238.04000000000002</v>
      </c>
      <c r="U7" s="294">
        <v>6</v>
      </c>
      <c r="V7" s="142">
        <f>262*$V$29</f>
        <v>2096</v>
      </c>
      <c r="W7" s="272">
        <f>V7*K7*N7/1000</f>
        <v>110.89947089947091</v>
      </c>
      <c r="X7" s="272">
        <f>W7*0.14</f>
        <v>15.525925925925929</v>
      </c>
      <c r="Y7" s="272">
        <f>W7*0.25</f>
        <v>27.724867724867728</v>
      </c>
      <c r="Z7" s="272">
        <f>SUM(W7:Y7)</f>
        <v>154.15026455026458</v>
      </c>
      <c r="AA7" s="274"/>
      <c r="AB7" s="272"/>
      <c r="AC7" s="143"/>
      <c r="AD7" s="143">
        <f>AB7*AC7</f>
        <v>0</v>
      </c>
      <c r="AE7" s="274"/>
      <c r="AF7" s="272"/>
      <c r="AG7" s="143"/>
      <c r="AH7" s="143">
        <f>AF7*AG7</f>
        <v>0</v>
      </c>
      <c r="AI7" s="274"/>
      <c r="AJ7" s="272"/>
      <c r="AK7" s="143"/>
      <c r="AL7" s="143">
        <f>AJ7*AK7</f>
        <v>0</v>
      </c>
      <c r="AM7" s="274"/>
      <c r="AN7" s="143"/>
      <c r="AO7" s="143">
        <f>T7+Z7+AD7+AH7+AL7+AN7</f>
        <v>392.1902645502646</v>
      </c>
    </row>
    <row r="8" spans="1:41" ht="12.75">
      <c r="A8" s="74" t="s">
        <v>336</v>
      </c>
      <c r="B8" s="226">
        <f>B7</f>
        <v>400</v>
      </c>
      <c r="C8" s="273" t="s">
        <v>357</v>
      </c>
      <c r="D8" s="273" t="s">
        <v>370</v>
      </c>
      <c r="E8" s="273">
        <v>1</v>
      </c>
      <c r="F8" s="273" t="s">
        <v>382</v>
      </c>
      <c r="G8" s="273" t="s">
        <v>386</v>
      </c>
      <c r="H8" s="294">
        <v>1</v>
      </c>
      <c r="I8" s="226" t="s">
        <v>263</v>
      </c>
      <c r="J8" s="305">
        <v>42.84</v>
      </c>
      <c r="K8" s="272">
        <f aca="true" t="shared" si="0" ref="K8:K27">B8/J8</f>
        <v>9.337068160597571</v>
      </c>
      <c r="L8" s="294">
        <v>1</v>
      </c>
      <c r="M8" s="294">
        <v>2</v>
      </c>
      <c r="N8" s="294">
        <v>1</v>
      </c>
      <c r="O8" s="289">
        <f>P8/B8</f>
        <v>0.03</v>
      </c>
      <c r="P8" s="294">
        <v>12</v>
      </c>
      <c r="Q8" s="308">
        <v>3.66</v>
      </c>
      <c r="R8" s="272">
        <f aca="true" t="shared" si="1" ref="R8:R27">Q8*B8/1000</f>
        <v>1.464</v>
      </c>
      <c r="S8" s="143">
        <f>Исх!$C$42</f>
        <v>110</v>
      </c>
      <c r="T8" s="143">
        <f aca="true" t="shared" si="2" ref="T8:T27">R8*S8</f>
        <v>161.04</v>
      </c>
      <c r="U8" s="294">
        <v>5</v>
      </c>
      <c r="V8" s="142">
        <f>243*$V$29</f>
        <v>1944</v>
      </c>
      <c r="W8" s="272">
        <f aca="true" t="shared" si="3" ref="W8:W27">V8*K8*N8/1000</f>
        <v>18.151260504201677</v>
      </c>
      <c r="X8" s="272">
        <f aca="true" t="shared" si="4" ref="X8:X27">W8*0.14</f>
        <v>2.541176470588235</v>
      </c>
      <c r="Y8" s="272">
        <f aca="true" t="shared" si="5" ref="Y8:Y27">W8*0.25</f>
        <v>4.537815126050419</v>
      </c>
      <c r="Z8" s="272">
        <f aca="true" t="shared" si="6" ref="Z8:Z27">SUM(W8:Y8)</f>
        <v>25.23025210084033</v>
      </c>
      <c r="AA8" s="274"/>
      <c r="AB8" s="272"/>
      <c r="AC8" s="143"/>
      <c r="AD8" s="143">
        <f aca="true" t="shared" si="7" ref="AD8:AD27">AB8*AC8</f>
        <v>0</v>
      </c>
      <c r="AE8" s="274"/>
      <c r="AF8" s="272"/>
      <c r="AG8" s="143"/>
      <c r="AH8" s="143">
        <f aca="true" t="shared" si="8" ref="AH8:AH27">AF8*AG8</f>
        <v>0</v>
      </c>
      <c r="AI8" s="274"/>
      <c r="AJ8" s="272"/>
      <c r="AK8" s="143"/>
      <c r="AL8" s="143">
        <f>AJ8*AK8</f>
        <v>0</v>
      </c>
      <c r="AM8" s="274"/>
      <c r="AN8" s="143"/>
      <c r="AO8" s="143">
        <f aca="true" t="shared" si="9" ref="AO8:AO27">T8+Z8+AD8+AH8+AL8+AN8</f>
        <v>186.2702521008403</v>
      </c>
    </row>
    <row r="9" spans="1:41" ht="12.75">
      <c r="A9" s="74" t="s">
        <v>336</v>
      </c>
      <c r="B9" s="226">
        <f>B8</f>
        <v>400</v>
      </c>
      <c r="C9" s="274" t="s">
        <v>356</v>
      </c>
      <c r="D9" s="274" t="s">
        <v>371</v>
      </c>
      <c r="E9" s="273">
        <v>1</v>
      </c>
      <c r="F9" s="274" t="s">
        <v>382</v>
      </c>
      <c r="G9" s="273" t="s">
        <v>386</v>
      </c>
      <c r="H9" s="294">
        <v>1</v>
      </c>
      <c r="I9" s="226" t="s">
        <v>263</v>
      </c>
      <c r="J9" s="305">
        <v>42.84</v>
      </c>
      <c r="K9" s="272">
        <f t="shared" si="0"/>
        <v>9.337068160597571</v>
      </c>
      <c r="L9" s="294">
        <v>1</v>
      </c>
      <c r="M9" s="294">
        <v>2</v>
      </c>
      <c r="N9" s="294">
        <v>1</v>
      </c>
      <c r="O9" s="289">
        <f>P9/B9</f>
        <v>0.03</v>
      </c>
      <c r="P9" s="294">
        <v>12</v>
      </c>
      <c r="Q9" s="308">
        <v>3.66</v>
      </c>
      <c r="R9" s="272">
        <f t="shared" si="1"/>
        <v>1.464</v>
      </c>
      <c r="S9" s="143">
        <f>Исх!$C$42</f>
        <v>110</v>
      </c>
      <c r="T9" s="143">
        <f t="shared" si="2"/>
        <v>161.04</v>
      </c>
      <c r="U9" s="294">
        <v>5</v>
      </c>
      <c r="V9" s="142">
        <f>243*$V$29</f>
        <v>1944</v>
      </c>
      <c r="W9" s="272">
        <f t="shared" si="3"/>
        <v>18.151260504201677</v>
      </c>
      <c r="X9" s="272">
        <f t="shared" si="4"/>
        <v>2.541176470588235</v>
      </c>
      <c r="Y9" s="272">
        <f t="shared" si="5"/>
        <v>4.537815126050419</v>
      </c>
      <c r="Z9" s="272">
        <f t="shared" si="6"/>
        <v>25.23025210084033</v>
      </c>
      <c r="AA9" s="274"/>
      <c r="AB9" s="272"/>
      <c r="AC9" s="143"/>
      <c r="AD9" s="143">
        <f t="shared" si="7"/>
        <v>0</v>
      </c>
      <c r="AE9" s="274"/>
      <c r="AF9" s="272"/>
      <c r="AG9" s="143"/>
      <c r="AH9" s="143">
        <f t="shared" si="8"/>
        <v>0</v>
      </c>
      <c r="AI9" s="274"/>
      <c r="AJ9" s="272"/>
      <c r="AK9" s="143"/>
      <c r="AL9" s="143">
        <f aca="true" t="shared" si="10" ref="AL9:AL27">AJ9*AK9</f>
        <v>0</v>
      </c>
      <c r="AM9" s="274"/>
      <c r="AN9" s="143"/>
      <c r="AO9" s="143">
        <f t="shared" si="9"/>
        <v>186.2702521008403</v>
      </c>
    </row>
    <row r="10" spans="1:41" ht="12.75">
      <c r="A10" s="74" t="s">
        <v>337</v>
      </c>
      <c r="B10" s="273">
        <f>B11/Исх!$C$33*10</f>
        <v>30.8</v>
      </c>
      <c r="C10" s="273" t="s">
        <v>358</v>
      </c>
      <c r="D10" s="273" t="s">
        <v>372</v>
      </c>
      <c r="E10" s="273">
        <v>2</v>
      </c>
      <c r="F10" s="273" t="s">
        <v>261</v>
      </c>
      <c r="G10" s="273" t="s">
        <v>387</v>
      </c>
      <c r="H10" s="294">
        <v>2</v>
      </c>
      <c r="I10" s="226">
        <v>2</v>
      </c>
      <c r="J10" s="305">
        <v>112</v>
      </c>
      <c r="K10" s="272">
        <f t="shared" si="0"/>
        <v>0.275</v>
      </c>
      <c r="L10" s="294">
        <v>1</v>
      </c>
      <c r="M10" s="294">
        <v>1</v>
      </c>
      <c r="N10" s="294">
        <v>4</v>
      </c>
      <c r="O10" s="289">
        <f aca="true" t="shared" si="11" ref="O10:O27">P10/B10</f>
        <v>0.5194805194805194</v>
      </c>
      <c r="P10" s="294">
        <v>16</v>
      </c>
      <c r="Q10" s="308">
        <v>0.037</v>
      </c>
      <c r="R10" s="272">
        <f t="shared" si="1"/>
        <v>0.0011396</v>
      </c>
      <c r="S10" s="143">
        <f>Исх!$C$42</f>
        <v>110</v>
      </c>
      <c r="T10" s="143">
        <f t="shared" si="2"/>
        <v>0.125356</v>
      </c>
      <c r="U10" s="294" t="s">
        <v>263</v>
      </c>
      <c r="V10" s="142">
        <v>0</v>
      </c>
      <c r="W10" s="272">
        <f t="shared" si="3"/>
        <v>0</v>
      </c>
      <c r="X10" s="272">
        <f t="shared" si="4"/>
        <v>0</v>
      </c>
      <c r="Y10" s="272">
        <f t="shared" si="5"/>
        <v>0</v>
      </c>
      <c r="Z10" s="272">
        <f t="shared" si="6"/>
        <v>0</v>
      </c>
      <c r="AA10" s="274">
        <f>Исх!C36</f>
        <v>1.2</v>
      </c>
      <c r="AB10" s="44">
        <f>AA10*B7</f>
        <v>480</v>
      </c>
      <c r="AC10" s="272">
        <f>Исх!C45/1000</f>
        <v>1.43963</v>
      </c>
      <c r="AD10" s="143">
        <f t="shared" si="7"/>
        <v>691.0224</v>
      </c>
      <c r="AE10" s="274">
        <f>Исх!C37</f>
        <v>0.03</v>
      </c>
      <c r="AF10" s="44">
        <f>AE10*B7</f>
        <v>12</v>
      </c>
      <c r="AG10" s="272">
        <f>Исх!C46/1000</f>
        <v>30.76262</v>
      </c>
      <c r="AH10" s="143">
        <f t="shared" si="8"/>
        <v>369.15144</v>
      </c>
      <c r="AI10" s="274"/>
      <c r="AJ10" s="44"/>
      <c r="AK10" s="272"/>
      <c r="AL10" s="143">
        <f t="shared" si="10"/>
        <v>0</v>
      </c>
      <c r="AM10" s="274"/>
      <c r="AN10" s="143"/>
      <c r="AO10" s="143">
        <f t="shared" si="9"/>
        <v>1060.299196</v>
      </c>
    </row>
    <row r="11" spans="1:41" ht="25.5">
      <c r="A11" s="111" t="s">
        <v>338</v>
      </c>
      <c r="B11" s="300">
        <f>Исх!C25</f>
        <v>308</v>
      </c>
      <c r="C11" s="301" t="s">
        <v>359</v>
      </c>
      <c r="D11" s="302" t="s">
        <v>372</v>
      </c>
      <c r="E11" s="273">
        <v>2</v>
      </c>
      <c r="F11" s="302" t="s">
        <v>382</v>
      </c>
      <c r="G11" s="301" t="s">
        <v>388</v>
      </c>
      <c r="H11" s="304">
        <v>2</v>
      </c>
      <c r="I11" s="300" t="s">
        <v>263</v>
      </c>
      <c r="J11" s="306">
        <v>36.26</v>
      </c>
      <c r="K11" s="272">
        <f t="shared" si="0"/>
        <v>8.494208494208495</v>
      </c>
      <c r="L11" s="294">
        <v>1</v>
      </c>
      <c r="M11" s="294">
        <v>1</v>
      </c>
      <c r="N11" s="294">
        <v>2</v>
      </c>
      <c r="O11" s="289">
        <f t="shared" si="11"/>
        <v>0.02922077922077922</v>
      </c>
      <c r="P11" s="294">
        <v>9</v>
      </c>
      <c r="Q11" s="308">
        <v>2.28</v>
      </c>
      <c r="R11" s="272">
        <f t="shared" si="1"/>
        <v>0.7022399999999999</v>
      </c>
      <c r="S11" s="143">
        <f>Исх!$C$42</f>
        <v>110</v>
      </c>
      <c r="T11" s="143">
        <f t="shared" si="2"/>
        <v>77.24639999999998</v>
      </c>
      <c r="U11" s="294">
        <v>4</v>
      </c>
      <c r="V11" s="142">
        <f>223*$V$29</f>
        <v>1784</v>
      </c>
      <c r="W11" s="272">
        <f t="shared" si="3"/>
        <v>30.30733590733591</v>
      </c>
      <c r="X11" s="272">
        <f t="shared" si="4"/>
        <v>4.243027027027028</v>
      </c>
      <c r="Y11" s="272">
        <f t="shared" si="5"/>
        <v>7.576833976833978</v>
      </c>
      <c r="Z11" s="272">
        <f t="shared" si="6"/>
        <v>42.12719691119692</v>
      </c>
      <c r="AA11" s="274"/>
      <c r="AB11" s="272"/>
      <c r="AC11" s="143"/>
      <c r="AD11" s="143">
        <f t="shared" si="7"/>
        <v>0</v>
      </c>
      <c r="AE11" s="274"/>
      <c r="AF11" s="272"/>
      <c r="AG11" s="143"/>
      <c r="AH11" s="143">
        <f t="shared" si="8"/>
        <v>0</v>
      </c>
      <c r="AI11" s="274"/>
      <c r="AJ11" s="272"/>
      <c r="AK11" s="143"/>
      <c r="AL11" s="143">
        <f t="shared" si="10"/>
        <v>0</v>
      </c>
      <c r="AM11" s="274"/>
      <c r="AN11" s="143"/>
      <c r="AO11" s="143">
        <f t="shared" si="9"/>
        <v>119.3735969111969</v>
      </c>
    </row>
    <row r="12" spans="1:41" ht="12.75">
      <c r="A12" s="74" t="s">
        <v>339</v>
      </c>
      <c r="B12" s="226">
        <f>B11</f>
        <v>308</v>
      </c>
      <c r="C12" s="273" t="s">
        <v>360</v>
      </c>
      <c r="D12" s="273" t="s">
        <v>373</v>
      </c>
      <c r="E12" s="273">
        <v>2</v>
      </c>
      <c r="F12" s="273" t="s">
        <v>382</v>
      </c>
      <c r="G12" s="273" t="s">
        <v>389</v>
      </c>
      <c r="H12" s="294">
        <v>2</v>
      </c>
      <c r="I12" s="226" t="s">
        <v>263</v>
      </c>
      <c r="J12" s="306">
        <v>50.96</v>
      </c>
      <c r="K12" s="272">
        <f t="shared" si="0"/>
        <v>6.043956043956044</v>
      </c>
      <c r="L12" s="294">
        <v>1</v>
      </c>
      <c r="M12" s="294">
        <v>1</v>
      </c>
      <c r="N12" s="294">
        <v>2</v>
      </c>
      <c r="O12" s="289">
        <f t="shared" si="11"/>
        <v>0.02922077922077922</v>
      </c>
      <c r="P12" s="294">
        <v>9</v>
      </c>
      <c r="Q12" s="308">
        <v>4</v>
      </c>
      <c r="R12" s="272">
        <f t="shared" si="1"/>
        <v>1.232</v>
      </c>
      <c r="S12" s="143">
        <f>Исх!$C$42</f>
        <v>110</v>
      </c>
      <c r="T12" s="143">
        <f t="shared" si="2"/>
        <v>135.52</v>
      </c>
      <c r="U12" s="294">
        <v>5</v>
      </c>
      <c r="V12" s="142">
        <f>243*$V$29</f>
        <v>1944</v>
      </c>
      <c r="W12" s="272">
        <f t="shared" si="3"/>
        <v>23.498901098901097</v>
      </c>
      <c r="X12" s="272">
        <f t="shared" si="4"/>
        <v>3.289846153846154</v>
      </c>
      <c r="Y12" s="272">
        <f t="shared" si="5"/>
        <v>5.874725274725274</v>
      </c>
      <c r="Z12" s="272">
        <f t="shared" si="6"/>
        <v>32.66347252747252</v>
      </c>
      <c r="AA12" s="274"/>
      <c r="AB12" s="272"/>
      <c r="AC12" s="143"/>
      <c r="AD12" s="143">
        <f t="shared" si="7"/>
        <v>0</v>
      </c>
      <c r="AE12" s="274"/>
      <c r="AF12" s="272"/>
      <c r="AG12" s="143"/>
      <c r="AH12" s="143">
        <f t="shared" si="8"/>
        <v>0</v>
      </c>
      <c r="AI12" s="274"/>
      <c r="AJ12" s="272"/>
      <c r="AK12" s="143"/>
      <c r="AL12" s="143">
        <f t="shared" si="10"/>
        <v>0</v>
      </c>
      <c r="AM12" s="274"/>
      <c r="AN12" s="143"/>
      <c r="AO12" s="143">
        <f t="shared" si="9"/>
        <v>168.18347252747253</v>
      </c>
    </row>
    <row r="13" spans="1:41" ht="12.75">
      <c r="A13" s="74" t="s">
        <v>340</v>
      </c>
      <c r="B13" s="226">
        <f>Исх!C26</f>
        <v>92</v>
      </c>
      <c r="C13" s="273" t="s">
        <v>361</v>
      </c>
      <c r="D13" s="273" t="s">
        <v>374</v>
      </c>
      <c r="E13" s="273">
        <v>1</v>
      </c>
      <c r="F13" s="273" t="s">
        <v>382</v>
      </c>
      <c r="G13" s="273" t="s">
        <v>390</v>
      </c>
      <c r="H13" s="294">
        <v>1</v>
      </c>
      <c r="I13" s="226" t="s">
        <v>263</v>
      </c>
      <c r="J13" s="305">
        <v>26.6</v>
      </c>
      <c r="K13" s="272">
        <f t="shared" si="0"/>
        <v>3.4586466165413534</v>
      </c>
      <c r="L13" s="294">
        <v>1</v>
      </c>
      <c r="M13" s="294">
        <v>3</v>
      </c>
      <c r="N13" s="294">
        <v>1</v>
      </c>
      <c r="O13" s="289">
        <f t="shared" si="11"/>
        <v>0.09782608695652174</v>
      </c>
      <c r="P13" s="294">
        <v>9</v>
      </c>
      <c r="Q13" s="308">
        <v>6.86</v>
      </c>
      <c r="R13" s="272">
        <f t="shared" si="1"/>
        <v>0.63112</v>
      </c>
      <c r="S13" s="143">
        <f>Исх!$C$42</f>
        <v>110</v>
      </c>
      <c r="T13" s="143">
        <f t="shared" si="2"/>
        <v>69.42320000000001</v>
      </c>
      <c r="U13" s="294">
        <v>5</v>
      </c>
      <c r="V13" s="142">
        <f>243*$V$29</f>
        <v>1944</v>
      </c>
      <c r="W13" s="272">
        <f t="shared" si="3"/>
        <v>6.723609022556391</v>
      </c>
      <c r="X13" s="272">
        <f t="shared" si="4"/>
        <v>0.9413052631578949</v>
      </c>
      <c r="Y13" s="272">
        <f t="shared" si="5"/>
        <v>1.6809022556390978</v>
      </c>
      <c r="Z13" s="272">
        <f t="shared" si="6"/>
        <v>9.345816541353383</v>
      </c>
      <c r="AA13" s="274"/>
      <c r="AB13" s="272"/>
      <c r="AC13" s="143"/>
      <c r="AD13" s="143">
        <f t="shared" si="7"/>
        <v>0</v>
      </c>
      <c r="AE13" s="274"/>
      <c r="AF13" s="272"/>
      <c r="AG13" s="143"/>
      <c r="AH13" s="143">
        <f t="shared" si="8"/>
        <v>0</v>
      </c>
      <c r="AI13" s="274"/>
      <c r="AJ13" s="272"/>
      <c r="AK13" s="143"/>
      <c r="AL13" s="143">
        <f t="shared" si="10"/>
        <v>0</v>
      </c>
      <c r="AM13" s="274"/>
      <c r="AN13" s="143"/>
      <c r="AO13" s="143">
        <f t="shared" si="9"/>
        <v>78.7690165413534</v>
      </c>
    </row>
    <row r="14" spans="1:41" s="145" customFormat="1" ht="12.75">
      <c r="A14" s="74" t="s">
        <v>341</v>
      </c>
      <c r="B14" s="226">
        <f>Исх!C25*Исх!C31/10</f>
        <v>36.959999999999994</v>
      </c>
      <c r="C14" s="273" t="s">
        <v>362</v>
      </c>
      <c r="D14" s="273" t="s">
        <v>375</v>
      </c>
      <c r="E14" s="273">
        <v>2</v>
      </c>
      <c r="F14" s="273" t="s">
        <v>261</v>
      </c>
      <c r="G14" s="273" t="s">
        <v>391</v>
      </c>
      <c r="H14" s="294">
        <v>2</v>
      </c>
      <c r="I14" s="226" t="s">
        <v>263</v>
      </c>
      <c r="J14" s="305">
        <v>107.8</v>
      </c>
      <c r="K14" s="272">
        <f t="shared" si="0"/>
        <v>0.3428571428571428</v>
      </c>
      <c r="L14" s="294">
        <v>1</v>
      </c>
      <c r="M14" s="294">
        <v>1</v>
      </c>
      <c r="N14" s="294">
        <v>2</v>
      </c>
      <c r="O14" s="289">
        <f t="shared" si="11"/>
        <v>0.29761904761904767</v>
      </c>
      <c r="P14" s="294">
        <v>11</v>
      </c>
      <c r="Q14" s="308">
        <v>0.04</v>
      </c>
      <c r="R14" s="272">
        <f t="shared" si="1"/>
        <v>0.0014783999999999997</v>
      </c>
      <c r="S14" s="143">
        <f>Исх!$C$42</f>
        <v>110</v>
      </c>
      <c r="T14" s="143">
        <f t="shared" si="2"/>
        <v>0.16262399999999996</v>
      </c>
      <c r="U14" s="294">
        <v>3</v>
      </c>
      <c r="V14" s="142">
        <f>210*$V$29</f>
        <v>1680</v>
      </c>
      <c r="W14" s="272">
        <f t="shared" si="3"/>
        <v>1.1519999999999997</v>
      </c>
      <c r="X14" s="272">
        <f t="shared" si="4"/>
        <v>0.16127999999999998</v>
      </c>
      <c r="Y14" s="272">
        <f t="shared" si="5"/>
        <v>0.2879999999999999</v>
      </c>
      <c r="Z14" s="272">
        <f t="shared" si="6"/>
        <v>1.6012799999999996</v>
      </c>
      <c r="AA14" s="274"/>
      <c r="AB14" s="272"/>
      <c r="AC14" s="143"/>
      <c r="AD14" s="143">
        <f t="shared" si="7"/>
        <v>0</v>
      </c>
      <c r="AE14" s="274"/>
      <c r="AF14" s="272"/>
      <c r="AG14" s="143"/>
      <c r="AH14" s="143">
        <f t="shared" si="8"/>
        <v>0</v>
      </c>
      <c r="AI14" s="274"/>
      <c r="AJ14" s="272"/>
      <c r="AK14" s="143"/>
      <c r="AL14" s="143">
        <f t="shared" si="10"/>
        <v>0</v>
      </c>
      <c r="AM14" s="274"/>
      <c r="AN14" s="143"/>
      <c r="AO14" s="143">
        <f t="shared" si="9"/>
        <v>1.7639039999999995</v>
      </c>
    </row>
    <row r="15" spans="1:41" ht="12.75">
      <c r="A15" s="74" t="s">
        <v>260</v>
      </c>
      <c r="B15" s="226">
        <f>B14*Исх!$C$34</f>
        <v>258.71999999999997</v>
      </c>
      <c r="C15" s="273" t="s">
        <v>363</v>
      </c>
      <c r="D15" s="273" t="s">
        <v>375</v>
      </c>
      <c r="E15" s="273">
        <v>2</v>
      </c>
      <c r="F15" s="273" t="s">
        <v>383</v>
      </c>
      <c r="G15" s="273" t="s">
        <v>263</v>
      </c>
      <c r="H15" s="294">
        <v>2</v>
      </c>
      <c r="I15" s="226" t="s">
        <v>263</v>
      </c>
      <c r="J15" s="305">
        <v>326.9</v>
      </c>
      <c r="K15" s="272">
        <f t="shared" si="0"/>
        <v>0.7914346895074946</v>
      </c>
      <c r="L15" s="294">
        <v>1</v>
      </c>
      <c r="M15" s="294" t="s">
        <v>263</v>
      </c>
      <c r="N15" s="294">
        <v>2</v>
      </c>
      <c r="O15" s="289">
        <f t="shared" si="11"/>
        <v>0.011595547309833025</v>
      </c>
      <c r="P15" s="294">
        <v>3</v>
      </c>
      <c r="Q15" s="308">
        <v>0</v>
      </c>
      <c r="R15" s="272">
        <f t="shared" si="1"/>
        <v>0</v>
      </c>
      <c r="S15" s="143">
        <f>Исх!$C$42</f>
        <v>110</v>
      </c>
      <c r="T15" s="143">
        <f t="shared" si="2"/>
        <v>0</v>
      </c>
      <c r="U15" s="294" t="s">
        <v>263</v>
      </c>
      <c r="V15" s="142">
        <v>0</v>
      </c>
      <c r="W15" s="272">
        <f t="shared" si="3"/>
        <v>0</v>
      </c>
      <c r="X15" s="272">
        <f t="shared" si="4"/>
        <v>0</v>
      </c>
      <c r="Y15" s="272">
        <f t="shared" si="5"/>
        <v>0</v>
      </c>
      <c r="Z15" s="272">
        <f t="shared" si="6"/>
        <v>0</v>
      </c>
      <c r="AA15" s="274"/>
      <c r="AB15" s="272"/>
      <c r="AC15" s="143"/>
      <c r="AD15" s="143">
        <f t="shared" si="7"/>
        <v>0</v>
      </c>
      <c r="AE15" s="274"/>
      <c r="AF15" s="272"/>
      <c r="AG15" s="143"/>
      <c r="AH15" s="143">
        <f t="shared" si="8"/>
        <v>0</v>
      </c>
      <c r="AI15" s="274"/>
      <c r="AJ15" s="272"/>
      <c r="AK15" s="143"/>
      <c r="AL15" s="143">
        <f t="shared" si="10"/>
        <v>0</v>
      </c>
      <c r="AM15" s="274"/>
      <c r="AN15" s="143"/>
      <c r="AO15" s="143">
        <f t="shared" si="9"/>
        <v>0</v>
      </c>
    </row>
    <row r="16" spans="1:41" ht="12.75">
      <c r="A16" s="74" t="s">
        <v>342</v>
      </c>
      <c r="B16" s="226">
        <f>B12*Исх!$C$35*Исх!$C$34/100</f>
        <v>32.34</v>
      </c>
      <c r="C16" s="273" t="s">
        <v>405</v>
      </c>
      <c r="D16" s="273" t="s">
        <v>375</v>
      </c>
      <c r="E16" s="273">
        <v>2</v>
      </c>
      <c r="F16" s="273" t="s">
        <v>383</v>
      </c>
      <c r="G16" s="273" t="s">
        <v>263</v>
      </c>
      <c r="H16" s="294">
        <v>2</v>
      </c>
      <c r="I16" s="226" t="s">
        <v>263</v>
      </c>
      <c r="J16" s="305">
        <v>196</v>
      </c>
      <c r="K16" s="272">
        <f t="shared" si="0"/>
        <v>0.165</v>
      </c>
      <c r="L16" s="294">
        <v>1</v>
      </c>
      <c r="M16" s="294" t="s">
        <v>263</v>
      </c>
      <c r="N16" s="294">
        <v>2</v>
      </c>
      <c r="O16" s="289">
        <f t="shared" si="11"/>
        <v>0.061842918985776124</v>
      </c>
      <c r="P16" s="294">
        <v>2</v>
      </c>
      <c r="Q16" s="308">
        <v>0</v>
      </c>
      <c r="R16" s="272">
        <f t="shared" si="1"/>
        <v>0</v>
      </c>
      <c r="S16" s="143">
        <f>Исх!$C$42</f>
        <v>110</v>
      </c>
      <c r="T16" s="143">
        <f t="shared" si="2"/>
        <v>0</v>
      </c>
      <c r="U16" s="294" t="s">
        <v>263</v>
      </c>
      <c r="V16" s="142">
        <v>0</v>
      </c>
      <c r="W16" s="272">
        <f t="shared" si="3"/>
        <v>0</v>
      </c>
      <c r="X16" s="272">
        <f t="shared" si="4"/>
        <v>0</v>
      </c>
      <c r="Y16" s="272">
        <f t="shared" si="5"/>
        <v>0</v>
      </c>
      <c r="Z16" s="272">
        <f t="shared" si="6"/>
        <v>0</v>
      </c>
      <c r="AA16" s="274"/>
      <c r="AB16" s="272"/>
      <c r="AC16" s="143"/>
      <c r="AD16" s="143">
        <f t="shared" si="7"/>
        <v>0</v>
      </c>
      <c r="AE16" s="274"/>
      <c r="AF16" s="272"/>
      <c r="AG16" s="143"/>
      <c r="AH16" s="143">
        <f t="shared" si="8"/>
        <v>0</v>
      </c>
      <c r="AI16" s="273">
        <f>Исх!C35</f>
        <v>1.5</v>
      </c>
      <c r="AJ16" s="272">
        <f>AI16*B12</f>
        <v>462</v>
      </c>
      <c r="AK16" s="272">
        <f>Исх!C44/1000</f>
        <v>0.6085200000000001</v>
      </c>
      <c r="AL16" s="143">
        <f t="shared" si="10"/>
        <v>281.13624000000004</v>
      </c>
      <c r="AM16" s="273"/>
      <c r="AN16" s="143"/>
      <c r="AO16" s="143">
        <f t="shared" si="9"/>
        <v>281.13624000000004</v>
      </c>
    </row>
    <row r="17" spans="1:41" ht="12.75">
      <c r="A17" s="74" t="s">
        <v>259</v>
      </c>
      <c r="B17" s="226">
        <f>B12</f>
        <v>308</v>
      </c>
      <c r="C17" s="273" t="s">
        <v>362</v>
      </c>
      <c r="D17" s="273" t="s">
        <v>375</v>
      </c>
      <c r="E17" s="273">
        <v>2</v>
      </c>
      <c r="F17" s="273" t="s">
        <v>382</v>
      </c>
      <c r="G17" s="273" t="s">
        <v>262</v>
      </c>
      <c r="H17" s="294">
        <v>2</v>
      </c>
      <c r="I17" s="226">
        <v>3</v>
      </c>
      <c r="J17" s="305">
        <v>26.7</v>
      </c>
      <c r="K17" s="272">
        <f t="shared" si="0"/>
        <v>11.535580524344569</v>
      </c>
      <c r="L17" s="294">
        <v>1</v>
      </c>
      <c r="M17" s="294">
        <v>6</v>
      </c>
      <c r="N17" s="294">
        <v>5</v>
      </c>
      <c r="O17" s="289">
        <f t="shared" si="11"/>
        <v>0.07142857142857142</v>
      </c>
      <c r="P17" s="294">
        <v>22</v>
      </c>
      <c r="Q17" s="308">
        <v>16</v>
      </c>
      <c r="R17" s="272">
        <f t="shared" si="1"/>
        <v>4.928</v>
      </c>
      <c r="S17" s="143">
        <f>Исх!$C$42</f>
        <v>110</v>
      </c>
      <c r="T17" s="143">
        <f t="shared" si="2"/>
        <v>542.08</v>
      </c>
      <c r="U17" s="294">
        <v>6</v>
      </c>
      <c r="V17" s="142">
        <f>262*$V$29</f>
        <v>2096</v>
      </c>
      <c r="W17" s="272">
        <f t="shared" si="3"/>
        <v>120.89288389513109</v>
      </c>
      <c r="X17" s="272">
        <f t="shared" si="4"/>
        <v>16.925003745318353</v>
      </c>
      <c r="Y17" s="272">
        <f t="shared" si="5"/>
        <v>30.223220973782773</v>
      </c>
      <c r="Z17" s="272">
        <f t="shared" si="6"/>
        <v>168.0411086142322</v>
      </c>
      <c r="AA17" s="274"/>
      <c r="AB17" s="272"/>
      <c r="AC17" s="143"/>
      <c r="AD17" s="143">
        <f t="shared" si="7"/>
        <v>0</v>
      </c>
      <c r="AE17" s="274"/>
      <c r="AF17" s="272"/>
      <c r="AG17" s="143"/>
      <c r="AH17" s="143">
        <f t="shared" si="8"/>
        <v>0</v>
      </c>
      <c r="AI17" s="274"/>
      <c r="AJ17" s="272"/>
      <c r="AK17" s="143"/>
      <c r="AL17" s="143">
        <f t="shared" si="10"/>
        <v>0</v>
      </c>
      <c r="AM17" s="274"/>
      <c r="AN17" s="143"/>
      <c r="AO17" s="143">
        <f t="shared" si="9"/>
        <v>710.1211086142323</v>
      </c>
    </row>
    <row r="18" spans="1:41" ht="12.75">
      <c r="A18" s="74" t="s">
        <v>340</v>
      </c>
      <c r="B18" s="226">
        <f>B13</f>
        <v>92</v>
      </c>
      <c r="C18" s="273" t="s">
        <v>361</v>
      </c>
      <c r="D18" s="273" t="s">
        <v>376</v>
      </c>
      <c r="E18" s="273">
        <v>1</v>
      </c>
      <c r="F18" s="273" t="s">
        <v>382</v>
      </c>
      <c r="G18" s="273" t="s">
        <v>390</v>
      </c>
      <c r="H18" s="294">
        <v>1</v>
      </c>
      <c r="I18" s="226" t="s">
        <v>263</v>
      </c>
      <c r="J18" s="305">
        <v>31.2</v>
      </c>
      <c r="K18" s="272">
        <f t="shared" si="0"/>
        <v>2.948717948717949</v>
      </c>
      <c r="L18" s="294">
        <v>1</v>
      </c>
      <c r="M18" s="294">
        <v>3</v>
      </c>
      <c r="N18" s="294">
        <v>1</v>
      </c>
      <c r="O18" s="289">
        <f t="shared" si="11"/>
        <v>0.05434782608695652</v>
      </c>
      <c r="P18" s="294">
        <v>5</v>
      </c>
      <c r="Q18" s="308">
        <v>6.3</v>
      </c>
      <c r="R18" s="272">
        <f t="shared" si="1"/>
        <v>0.5796</v>
      </c>
      <c r="S18" s="143">
        <f>Исх!$C$42</f>
        <v>110</v>
      </c>
      <c r="T18" s="143">
        <f t="shared" si="2"/>
        <v>63.756</v>
      </c>
      <c r="U18" s="294">
        <v>5</v>
      </c>
      <c r="V18" s="142">
        <f>243*$V$29</f>
        <v>1944</v>
      </c>
      <c r="W18" s="272">
        <f t="shared" si="3"/>
        <v>5.7323076923076925</v>
      </c>
      <c r="X18" s="272">
        <f t="shared" si="4"/>
        <v>0.802523076923077</v>
      </c>
      <c r="Y18" s="272">
        <f t="shared" si="5"/>
        <v>1.4330769230769231</v>
      </c>
      <c r="Z18" s="272">
        <f t="shared" si="6"/>
        <v>7.967907692307692</v>
      </c>
      <c r="AA18" s="274"/>
      <c r="AB18" s="272"/>
      <c r="AC18" s="143"/>
      <c r="AD18" s="143">
        <f t="shared" si="7"/>
        <v>0</v>
      </c>
      <c r="AE18" s="274"/>
      <c r="AF18" s="272"/>
      <c r="AG18" s="143"/>
      <c r="AH18" s="143">
        <f t="shared" si="8"/>
        <v>0</v>
      </c>
      <c r="AI18" s="274"/>
      <c r="AJ18" s="272"/>
      <c r="AK18" s="143"/>
      <c r="AL18" s="143">
        <f t="shared" si="10"/>
        <v>0</v>
      </c>
      <c r="AM18" s="274"/>
      <c r="AN18" s="143"/>
      <c r="AO18" s="143">
        <f t="shared" si="9"/>
        <v>71.72390769230769</v>
      </c>
    </row>
    <row r="19" spans="1:41" ht="12.75">
      <c r="A19" s="74" t="s">
        <v>340</v>
      </c>
      <c r="B19" s="226">
        <f>B18</f>
        <v>92</v>
      </c>
      <c r="C19" s="273" t="s">
        <v>361</v>
      </c>
      <c r="D19" s="273" t="s">
        <v>377</v>
      </c>
      <c r="E19" s="273">
        <v>1</v>
      </c>
      <c r="F19" s="273" t="s">
        <v>382</v>
      </c>
      <c r="G19" s="273" t="s">
        <v>390</v>
      </c>
      <c r="H19" s="294">
        <v>1</v>
      </c>
      <c r="I19" s="226" t="s">
        <v>263</v>
      </c>
      <c r="J19" s="305">
        <v>33.6</v>
      </c>
      <c r="K19" s="272">
        <f t="shared" si="0"/>
        <v>2.738095238095238</v>
      </c>
      <c r="L19" s="294">
        <v>1</v>
      </c>
      <c r="M19" s="294">
        <v>3</v>
      </c>
      <c r="N19" s="294">
        <v>1</v>
      </c>
      <c r="O19" s="289">
        <f t="shared" si="11"/>
        <v>0.05434782608695652</v>
      </c>
      <c r="P19" s="294">
        <v>5</v>
      </c>
      <c r="Q19" s="308">
        <v>9.84</v>
      </c>
      <c r="R19" s="272">
        <f t="shared" si="1"/>
        <v>0.90528</v>
      </c>
      <c r="S19" s="143">
        <f>Исх!$C$42</f>
        <v>110</v>
      </c>
      <c r="T19" s="143">
        <f t="shared" si="2"/>
        <v>99.5808</v>
      </c>
      <c r="U19" s="294">
        <v>5</v>
      </c>
      <c r="V19" s="142">
        <f>243*$V$29</f>
        <v>1944</v>
      </c>
      <c r="W19" s="272">
        <f t="shared" si="3"/>
        <v>5.322857142857143</v>
      </c>
      <c r="X19" s="272">
        <f t="shared" si="4"/>
        <v>0.7452000000000001</v>
      </c>
      <c r="Y19" s="272">
        <f t="shared" si="5"/>
        <v>1.3307142857142857</v>
      </c>
      <c r="Z19" s="272">
        <f t="shared" si="6"/>
        <v>7.398771428571428</v>
      </c>
      <c r="AA19" s="274"/>
      <c r="AB19" s="272"/>
      <c r="AC19" s="143"/>
      <c r="AD19" s="143">
        <f t="shared" si="7"/>
        <v>0</v>
      </c>
      <c r="AE19" s="274"/>
      <c r="AF19" s="272"/>
      <c r="AG19" s="143"/>
      <c r="AH19" s="143">
        <f t="shared" si="8"/>
        <v>0</v>
      </c>
      <c r="AI19" s="274"/>
      <c r="AJ19" s="272"/>
      <c r="AK19" s="143"/>
      <c r="AL19" s="143">
        <f t="shared" si="10"/>
        <v>0</v>
      </c>
      <c r="AM19" s="274"/>
      <c r="AN19" s="143"/>
      <c r="AO19" s="143">
        <f t="shared" si="9"/>
        <v>106.97957142857142</v>
      </c>
    </row>
    <row r="20" spans="1:41" ht="12.75">
      <c r="A20" s="74" t="s">
        <v>343</v>
      </c>
      <c r="B20" s="226">
        <f>B11*Исх!$C$38</f>
        <v>123.2</v>
      </c>
      <c r="C20" s="273" t="s">
        <v>364</v>
      </c>
      <c r="D20" s="273" t="s">
        <v>378</v>
      </c>
      <c r="E20" s="273">
        <v>1.5</v>
      </c>
      <c r="F20" s="273" t="s">
        <v>384</v>
      </c>
      <c r="G20" s="273" t="s">
        <v>392</v>
      </c>
      <c r="H20" s="294">
        <v>1</v>
      </c>
      <c r="I20" s="226" t="s">
        <v>263</v>
      </c>
      <c r="J20" s="305">
        <v>20.3</v>
      </c>
      <c r="K20" s="272">
        <f t="shared" si="0"/>
        <v>6.068965517241379</v>
      </c>
      <c r="L20" s="294">
        <v>1</v>
      </c>
      <c r="M20" s="294">
        <v>1</v>
      </c>
      <c r="N20" s="294">
        <v>1</v>
      </c>
      <c r="O20" s="289">
        <f t="shared" si="11"/>
        <v>0.08928571428571429</v>
      </c>
      <c r="P20" s="294">
        <v>11</v>
      </c>
      <c r="Q20" s="308">
        <v>7.8</v>
      </c>
      <c r="R20" s="272">
        <f t="shared" si="1"/>
        <v>0.96096</v>
      </c>
      <c r="S20" s="143">
        <f>Исх!$C$42</f>
        <v>110</v>
      </c>
      <c r="T20" s="143">
        <f t="shared" si="2"/>
        <v>105.7056</v>
      </c>
      <c r="U20" s="294">
        <v>6</v>
      </c>
      <c r="V20" s="142">
        <f>262*$V$29</f>
        <v>2096</v>
      </c>
      <c r="W20" s="272">
        <f t="shared" si="3"/>
        <v>12.72055172413793</v>
      </c>
      <c r="X20" s="272">
        <f t="shared" si="4"/>
        <v>1.7808772413793104</v>
      </c>
      <c r="Y20" s="272">
        <f t="shared" si="5"/>
        <v>3.1801379310344826</v>
      </c>
      <c r="Z20" s="272">
        <f t="shared" si="6"/>
        <v>17.681566896551722</v>
      </c>
      <c r="AA20" s="274"/>
      <c r="AB20" s="272"/>
      <c r="AC20" s="143"/>
      <c r="AD20" s="143">
        <f t="shared" si="7"/>
        <v>0</v>
      </c>
      <c r="AE20" s="274"/>
      <c r="AF20" s="272"/>
      <c r="AG20" s="143"/>
      <c r="AH20" s="143">
        <f t="shared" si="8"/>
        <v>0</v>
      </c>
      <c r="AI20" s="274"/>
      <c r="AJ20" s="272"/>
      <c r="AK20" s="143"/>
      <c r="AL20" s="143">
        <f t="shared" si="10"/>
        <v>0</v>
      </c>
      <c r="AM20" s="274"/>
      <c r="AN20" s="143"/>
      <c r="AO20" s="143">
        <f t="shared" si="9"/>
        <v>123.38716689655172</v>
      </c>
    </row>
    <row r="21" spans="1:41" ht="12.75">
      <c r="A21" s="74" t="s">
        <v>344</v>
      </c>
      <c r="B21" s="226">
        <f>B20</f>
        <v>123.2</v>
      </c>
      <c r="C21" s="273" t="s">
        <v>364</v>
      </c>
      <c r="D21" s="273" t="s">
        <v>379</v>
      </c>
      <c r="E21" s="273">
        <v>1</v>
      </c>
      <c r="F21" s="273" t="s">
        <v>384</v>
      </c>
      <c r="G21" s="273" t="s">
        <v>263</v>
      </c>
      <c r="H21" s="294">
        <v>1</v>
      </c>
      <c r="I21" s="226" t="s">
        <v>263</v>
      </c>
      <c r="J21" s="305">
        <v>16.1</v>
      </c>
      <c r="K21" s="272">
        <f t="shared" si="0"/>
        <v>7.652173913043478</v>
      </c>
      <c r="L21" s="294">
        <v>1</v>
      </c>
      <c r="M21" s="294">
        <v>1</v>
      </c>
      <c r="N21" s="294">
        <v>1</v>
      </c>
      <c r="O21" s="289">
        <f t="shared" si="11"/>
        <v>0.056818181818181816</v>
      </c>
      <c r="P21" s="294">
        <v>7</v>
      </c>
      <c r="Q21" s="308">
        <v>7.8</v>
      </c>
      <c r="R21" s="272">
        <f t="shared" si="1"/>
        <v>0.96096</v>
      </c>
      <c r="S21" s="143">
        <f>Исх!$C$42</f>
        <v>110</v>
      </c>
      <c r="T21" s="143">
        <f t="shared" si="2"/>
        <v>105.7056</v>
      </c>
      <c r="U21" s="294">
        <v>6</v>
      </c>
      <c r="V21" s="142">
        <f>262*$V$29</f>
        <v>2096</v>
      </c>
      <c r="W21" s="272">
        <f t="shared" si="3"/>
        <v>16.038956521739127</v>
      </c>
      <c r="X21" s="272">
        <f t="shared" si="4"/>
        <v>2.245453913043478</v>
      </c>
      <c r="Y21" s="272">
        <f t="shared" si="5"/>
        <v>4.009739130434782</v>
      </c>
      <c r="Z21" s="272">
        <f t="shared" si="6"/>
        <v>22.294149565217385</v>
      </c>
      <c r="AA21" s="274"/>
      <c r="AB21" s="272"/>
      <c r="AC21" s="143"/>
      <c r="AD21" s="143">
        <f t="shared" si="7"/>
        <v>0</v>
      </c>
      <c r="AE21" s="274"/>
      <c r="AF21" s="272"/>
      <c r="AG21" s="143"/>
      <c r="AH21" s="143">
        <f t="shared" si="8"/>
        <v>0</v>
      </c>
      <c r="AI21" s="274"/>
      <c r="AJ21" s="272"/>
      <c r="AK21" s="143"/>
      <c r="AL21" s="143">
        <f t="shared" si="10"/>
        <v>0</v>
      </c>
      <c r="AM21" s="274"/>
      <c r="AN21" s="143"/>
      <c r="AO21" s="143">
        <f t="shared" si="9"/>
        <v>127.99974956521739</v>
      </c>
    </row>
    <row r="22" spans="1:41" ht="12.75">
      <c r="A22" s="74" t="s">
        <v>345</v>
      </c>
      <c r="B22" s="226">
        <f>B12-B21</f>
        <v>184.8</v>
      </c>
      <c r="C22" s="273" t="s">
        <v>365</v>
      </c>
      <c r="D22" s="273" t="s">
        <v>380</v>
      </c>
      <c r="E22" s="273">
        <v>1</v>
      </c>
      <c r="F22" s="273" t="s">
        <v>384</v>
      </c>
      <c r="G22" s="273" t="s">
        <v>264</v>
      </c>
      <c r="H22" s="294">
        <v>1</v>
      </c>
      <c r="I22" s="226" t="s">
        <v>263</v>
      </c>
      <c r="J22" s="305">
        <v>12.2</v>
      </c>
      <c r="K22" s="272">
        <f t="shared" si="0"/>
        <v>15.147540983606559</v>
      </c>
      <c r="L22" s="294">
        <v>1</v>
      </c>
      <c r="M22" s="294">
        <v>1</v>
      </c>
      <c r="N22" s="294">
        <v>1</v>
      </c>
      <c r="O22" s="289">
        <f t="shared" si="11"/>
        <v>0.07034632034632034</v>
      </c>
      <c r="P22" s="294">
        <v>13</v>
      </c>
      <c r="Q22" s="308">
        <v>4.3</v>
      </c>
      <c r="R22" s="272">
        <f t="shared" si="1"/>
        <v>0.79464</v>
      </c>
      <c r="S22" s="143">
        <f>Исх!$C$42</f>
        <v>110</v>
      </c>
      <c r="T22" s="143">
        <f t="shared" si="2"/>
        <v>87.4104</v>
      </c>
      <c r="U22" s="294">
        <v>6</v>
      </c>
      <c r="V22" s="142">
        <f>262*$V$29</f>
        <v>2096</v>
      </c>
      <c r="W22" s="272">
        <f t="shared" si="3"/>
        <v>31.74924590163935</v>
      </c>
      <c r="X22" s="272">
        <f t="shared" si="4"/>
        <v>4.444894426229509</v>
      </c>
      <c r="Y22" s="272">
        <f t="shared" si="5"/>
        <v>7.937311475409837</v>
      </c>
      <c r="Z22" s="272">
        <f t="shared" si="6"/>
        <v>44.13145180327869</v>
      </c>
      <c r="AA22" s="274"/>
      <c r="AB22" s="272"/>
      <c r="AC22" s="143"/>
      <c r="AD22" s="143">
        <f t="shared" si="7"/>
        <v>0</v>
      </c>
      <c r="AE22" s="274"/>
      <c r="AF22" s="272"/>
      <c r="AG22" s="143"/>
      <c r="AH22" s="143">
        <f t="shared" si="8"/>
        <v>0</v>
      </c>
      <c r="AI22" s="274"/>
      <c r="AJ22" s="272"/>
      <c r="AK22" s="143"/>
      <c r="AL22" s="143">
        <f t="shared" si="10"/>
        <v>0</v>
      </c>
      <c r="AM22" s="274"/>
      <c r="AN22" s="143"/>
      <c r="AO22" s="143">
        <f t="shared" si="9"/>
        <v>131.5418518032787</v>
      </c>
    </row>
    <row r="23" spans="1:41" ht="12.75">
      <c r="A23" s="74" t="s">
        <v>346</v>
      </c>
      <c r="B23" s="226">
        <f>Исх!$C$28*Исх!$C$34*B11/100</f>
        <v>329.86800000000005</v>
      </c>
      <c r="C23" s="273" t="s">
        <v>366</v>
      </c>
      <c r="D23" s="273" t="s">
        <v>380</v>
      </c>
      <c r="E23" s="273">
        <v>1</v>
      </c>
      <c r="F23" s="273" t="s">
        <v>383</v>
      </c>
      <c r="G23" s="273" t="s">
        <v>263</v>
      </c>
      <c r="H23" s="294">
        <v>1</v>
      </c>
      <c r="I23" s="226" t="s">
        <v>263</v>
      </c>
      <c r="J23" s="305">
        <v>44.8</v>
      </c>
      <c r="K23" s="272">
        <f t="shared" si="0"/>
        <v>7.363125000000002</v>
      </c>
      <c r="L23" s="294">
        <v>1</v>
      </c>
      <c r="M23" s="294" t="s">
        <v>263</v>
      </c>
      <c r="N23" s="294">
        <v>1</v>
      </c>
      <c r="O23" s="289">
        <f t="shared" si="11"/>
        <v>0.02122060945590357</v>
      </c>
      <c r="P23" s="294">
        <v>7</v>
      </c>
      <c r="Q23" s="308">
        <v>0</v>
      </c>
      <c r="R23" s="272">
        <f t="shared" si="1"/>
        <v>0</v>
      </c>
      <c r="S23" s="143">
        <f>Исх!$C$42</f>
        <v>110</v>
      </c>
      <c r="T23" s="143">
        <f t="shared" si="2"/>
        <v>0</v>
      </c>
      <c r="U23" s="294" t="s">
        <v>263</v>
      </c>
      <c r="V23" s="142">
        <v>0</v>
      </c>
      <c r="W23" s="272">
        <f t="shared" si="3"/>
        <v>0</v>
      </c>
      <c r="X23" s="272">
        <f t="shared" si="4"/>
        <v>0</v>
      </c>
      <c r="Y23" s="272">
        <f t="shared" si="5"/>
        <v>0</v>
      </c>
      <c r="Z23" s="272">
        <f t="shared" si="6"/>
        <v>0</v>
      </c>
      <c r="AA23" s="274"/>
      <c r="AB23" s="272"/>
      <c r="AC23" s="143"/>
      <c r="AD23" s="143">
        <f t="shared" si="7"/>
        <v>0</v>
      </c>
      <c r="AE23" s="274"/>
      <c r="AF23" s="272"/>
      <c r="AG23" s="143"/>
      <c r="AH23" s="143">
        <f t="shared" si="8"/>
        <v>0</v>
      </c>
      <c r="AI23" s="274"/>
      <c r="AJ23" s="272"/>
      <c r="AK23" s="143"/>
      <c r="AL23" s="143">
        <f t="shared" si="10"/>
        <v>0</v>
      </c>
      <c r="AM23" s="274"/>
      <c r="AN23" s="143"/>
      <c r="AO23" s="143">
        <f t="shared" si="9"/>
        <v>0</v>
      </c>
    </row>
    <row r="24" spans="1:41" ht="12.75">
      <c r="A24" s="74" t="s">
        <v>347</v>
      </c>
      <c r="B24" s="226">
        <f>B12*Исх!$C$29/10</f>
        <v>154</v>
      </c>
      <c r="C24" s="273" t="s">
        <v>367</v>
      </c>
      <c r="D24" s="273" t="s">
        <v>381</v>
      </c>
      <c r="E24" s="273">
        <v>1</v>
      </c>
      <c r="F24" s="273" t="s">
        <v>261</v>
      </c>
      <c r="G24" s="273" t="s">
        <v>393</v>
      </c>
      <c r="H24" s="294">
        <v>1</v>
      </c>
      <c r="I24" s="226" t="s">
        <v>263</v>
      </c>
      <c r="J24" s="305">
        <v>11.2</v>
      </c>
      <c r="K24" s="272">
        <f t="shared" si="0"/>
        <v>13.75</v>
      </c>
      <c r="L24" s="294">
        <v>1</v>
      </c>
      <c r="M24" s="294">
        <v>2</v>
      </c>
      <c r="N24" s="294">
        <v>1</v>
      </c>
      <c r="O24" s="289">
        <f t="shared" si="11"/>
        <v>0.474025974025974</v>
      </c>
      <c r="P24" s="294">
        <v>73</v>
      </c>
      <c r="Q24" s="308">
        <v>1.2</v>
      </c>
      <c r="R24" s="272">
        <f t="shared" si="1"/>
        <v>0.1848</v>
      </c>
      <c r="S24" s="143">
        <f>Исх!$C$42</f>
        <v>110</v>
      </c>
      <c r="T24" s="143">
        <f t="shared" si="2"/>
        <v>20.328</v>
      </c>
      <c r="U24" s="294">
        <v>5</v>
      </c>
      <c r="V24" s="142">
        <f>243*$V$29</f>
        <v>1944</v>
      </c>
      <c r="W24" s="272">
        <f t="shared" si="3"/>
        <v>26.73</v>
      </c>
      <c r="X24" s="272">
        <f t="shared" si="4"/>
        <v>3.7422000000000004</v>
      </c>
      <c r="Y24" s="272">
        <f t="shared" si="5"/>
        <v>6.6825</v>
      </c>
      <c r="Z24" s="272">
        <f t="shared" si="6"/>
        <v>37.1547</v>
      </c>
      <c r="AA24" s="274"/>
      <c r="AB24" s="272"/>
      <c r="AC24" s="143"/>
      <c r="AD24" s="143">
        <f t="shared" si="7"/>
        <v>0</v>
      </c>
      <c r="AE24" s="274"/>
      <c r="AF24" s="272"/>
      <c r="AG24" s="143"/>
      <c r="AH24" s="143">
        <f t="shared" si="8"/>
        <v>0</v>
      </c>
      <c r="AI24" s="274"/>
      <c r="AJ24" s="272"/>
      <c r="AK24" s="143"/>
      <c r="AL24" s="143">
        <f t="shared" si="10"/>
        <v>0</v>
      </c>
      <c r="AM24" s="274"/>
      <c r="AN24" s="143"/>
      <c r="AO24" s="143">
        <f t="shared" si="9"/>
        <v>57.482699999999994</v>
      </c>
    </row>
    <row r="25" spans="1:41" ht="12.75">
      <c r="A25" s="74" t="s">
        <v>348</v>
      </c>
      <c r="B25" s="226">
        <f>B24</f>
        <v>154</v>
      </c>
      <c r="C25" s="273" t="s">
        <v>363</v>
      </c>
      <c r="D25" s="273" t="s">
        <v>381</v>
      </c>
      <c r="E25" s="273">
        <v>1</v>
      </c>
      <c r="F25" s="273" t="s">
        <v>382</v>
      </c>
      <c r="G25" s="273" t="s">
        <v>394</v>
      </c>
      <c r="H25" s="294">
        <v>1</v>
      </c>
      <c r="I25" s="226" t="s">
        <v>263</v>
      </c>
      <c r="J25" s="305">
        <v>11.2</v>
      </c>
      <c r="K25" s="272">
        <f t="shared" si="0"/>
        <v>13.75</v>
      </c>
      <c r="L25" s="294">
        <v>1</v>
      </c>
      <c r="M25" s="294">
        <v>2</v>
      </c>
      <c r="N25" s="294">
        <v>1</v>
      </c>
      <c r="O25" s="289">
        <f t="shared" si="11"/>
        <v>0.474025974025974</v>
      </c>
      <c r="P25" s="294">
        <v>73</v>
      </c>
      <c r="Q25" s="308">
        <v>10</v>
      </c>
      <c r="R25" s="272">
        <f t="shared" si="1"/>
        <v>1.54</v>
      </c>
      <c r="S25" s="143">
        <f>Исх!$C$42</f>
        <v>110</v>
      </c>
      <c r="T25" s="143">
        <f t="shared" si="2"/>
        <v>169.4</v>
      </c>
      <c r="U25" s="294" t="s">
        <v>263</v>
      </c>
      <c r="V25" s="142">
        <v>0</v>
      </c>
      <c r="W25" s="272">
        <f t="shared" si="3"/>
        <v>0</v>
      </c>
      <c r="X25" s="272">
        <f t="shared" si="4"/>
        <v>0</v>
      </c>
      <c r="Y25" s="272">
        <f t="shared" si="5"/>
        <v>0</v>
      </c>
      <c r="Z25" s="272">
        <f t="shared" si="6"/>
        <v>0</v>
      </c>
      <c r="AA25" s="274"/>
      <c r="AB25" s="272"/>
      <c r="AC25" s="143"/>
      <c r="AD25" s="143">
        <f t="shared" si="7"/>
        <v>0</v>
      </c>
      <c r="AE25" s="274"/>
      <c r="AF25" s="272"/>
      <c r="AG25" s="143"/>
      <c r="AH25" s="143">
        <f t="shared" si="8"/>
        <v>0</v>
      </c>
      <c r="AI25" s="274"/>
      <c r="AJ25" s="272"/>
      <c r="AK25" s="143"/>
      <c r="AL25" s="143">
        <f t="shared" si="10"/>
        <v>0</v>
      </c>
      <c r="AM25" s="274"/>
      <c r="AN25" s="143"/>
      <c r="AO25" s="143">
        <f t="shared" si="9"/>
        <v>169.4</v>
      </c>
    </row>
    <row r="26" spans="1:41" ht="12.75">
      <c r="A26" s="74" t="s">
        <v>349</v>
      </c>
      <c r="B26" s="226">
        <f>B25</f>
        <v>154</v>
      </c>
      <c r="C26" s="273" t="s">
        <v>368</v>
      </c>
      <c r="D26" s="273" t="s">
        <v>381</v>
      </c>
      <c r="E26" s="273">
        <v>1</v>
      </c>
      <c r="F26" s="273" t="s">
        <v>261</v>
      </c>
      <c r="G26" s="273" t="s">
        <v>395</v>
      </c>
      <c r="H26" s="294">
        <v>1</v>
      </c>
      <c r="I26" s="226" t="s">
        <v>263</v>
      </c>
      <c r="J26" s="305">
        <v>4.97</v>
      </c>
      <c r="K26" s="272">
        <f t="shared" si="0"/>
        <v>30.985915492957748</v>
      </c>
      <c r="L26" s="294">
        <v>1</v>
      </c>
      <c r="M26" s="294">
        <v>1</v>
      </c>
      <c r="N26" s="294">
        <v>1</v>
      </c>
      <c r="O26" s="289">
        <f t="shared" si="11"/>
        <v>2.0194805194805197</v>
      </c>
      <c r="P26" s="294">
        <v>311</v>
      </c>
      <c r="Q26" s="308">
        <v>1.9</v>
      </c>
      <c r="R26" s="272">
        <f t="shared" si="1"/>
        <v>0.29259999999999997</v>
      </c>
      <c r="S26" s="143">
        <f>Исх!$C$42</f>
        <v>110</v>
      </c>
      <c r="T26" s="143">
        <f t="shared" si="2"/>
        <v>32.186</v>
      </c>
      <c r="U26" s="294">
        <v>5</v>
      </c>
      <c r="V26" s="142">
        <f>243*$V$29</f>
        <v>1944</v>
      </c>
      <c r="W26" s="272">
        <f t="shared" si="3"/>
        <v>60.23661971830986</v>
      </c>
      <c r="X26" s="272">
        <f t="shared" si="4"/>
        <v>8.43312676056338</v>
      </c>
      <c r="Y26" s="272">
        <f t="shared" si="5"/>
        <v>15.059154929577465</v>
      </c>
      <c r="Z26" s="272">
        <f t="shared" si="6"/>
        <v>83.7289014084507</v>
      </c>
      <c r="AA26" s="274"/>
      <c r="AB26" s="272"/>
      <c r="AC26" s="143"/>
      <c r="AD26" s="143">
        <f t="shared" si="7"/>
        <v>0</v>
      </c>
      <c r="AE26" s="274"/>
      <c r="AF26" s="272"/>
      <c r="AG26" s="143"/>
      <c r="AH26" s="143">
        <f t="shared" si="8"/>
        <v>0</v>
      </c>
      <c r="AI26" s="274"/>
      <c r="AJ26" s="272"/>
      <c r="AK26" s="143"/>
      <c r="AL26" s="143">
        <f t="shared" si="10"/>
        <v>0</v>
      </c>
      <c r="AM26" s="274"/>
      <c r="AN26" s="143"/>
      <c r="AO26" s="143">
        <f t="shared" si="9"/>
        <v>115.9149014084507</v>
      </c>
    </row>
    <row r="27" spans="1:41" ht="12.75">
      <c r="A27" s="74" t="s">
        <v>436</v>
      </c>
      <c r="B27" s="226">
        <f>B11*Исх!$C$28</f>
        <v>4712.400000000001</v>
      </c>
      <c r="C27" s="273" t="s">
        <v>365</v>
      </c>
      <c r="D27" s="273" t="s">
        <v>380</v>
      </c>
      <c r="E27" s="273">
        <v>2</v>
      </c>
      <c r="F27" s="273"/>
      <c r="G27" s="273" t="s">
        <v>396</v>
      </c>
      <c r="H27" s="294">
        <v>2</v>
      </c>
      <c r="I27" s="226" t="s">
        <v>263</v>
      </c>
      <c r="J27" s="305">
        <v>35</v>
      </c>
      <c r="K27" s="272">
        <f t="shared" si="0"/>
        <v>134.64000000000001</v>
      </c>
      <c r="L27" s="294" t="s">
        <v>263</v>
      </c>
      <c r="M27" s="294">
        <v>1</v>
      </c>
      <c r="N27" s="294">
        <v>1</v>
      </c>
      <c r="O27" s="289">
        <f t="shared" si="11"/>
        <v>0.004031915796621679</v>
      </c>
      <c r="P27" s="294">
        <v>19</v>
      </c>
      <c r="Q27" s="308">
        <v>0.07</v>
      </c>
      <c r="R27" s="272">
        <f t="shared" si="1"/>
        <v>0.32986800000000005</v>
      </c>
      <c r="S27" s="143">
        <f>Исх!$C$42</f>
        <v>110</v>
      </c>
      <c r="T27" s="143">
        <f t="shared" si="2"/>
        <v>36.28548000000001</v>
      </c>
      <c r="U27" s="294">
        <v>3</v>
      </c>
      <c r="V27" s="142">
        <f>210*$V$29</f>
        <v>1680</v>
      </c>
      <c r="W27" s="272">
        <f t="shared" si="3"/>
        <v>226.1952</v>
      </c>
      <c r="X27" s="272">
        <f t="shared" si="4"/>
        <v>31.667328</v>
      </c>
      <c r="Y27" s="272">
        <f t="shared" si="5"/>
        <v>56.5488</v>
      </c>
      <c r="Z27" s="272">
        <f t="shared" si="6"/>
        <v>314.411328</v>
      </c>
      <c r="AA27" s="274"/>
      <c r="AB27" s="272"/>
      <c r="AC27" s="143"/>
      <c r="AD27" s="143">
        <f t="shared" si="7"/>
        <v>0</v>
      </c>
      <c r="AE27" s="274"/>
      <c r="AF27" s="272"/>
      <c r="AG27" s="143"/>
      <c r="AH27" s="143">
        <f t="shared" si="8"/>
        <v>0</v>
      </c>
      <c r="AI27" s="274"/>
      <c r="AJ27" s="272"/>
      <c r="AK27" s="143"/>
      <c r="AL27" s="143">
        <f t="shared" si="10"/>
        <v>0</v>
      </c>
      <c r="AM27" s="274">
        <f>Исх!D68/1000</f>
        <v>3.355</v>
      </c>
      <c r="AN27" s="143">
        <f>AM27*B27/10</f>
        <v>1581.0102000000002</v>
      </c>
      <c r="AO27" s="143">
        <f t="shared" si="9"/>
        <v>1931.7070080000003</v>
      </c>
    </row>
    <row r="28" spans="1:41" s="61" customFormat="1" ht="12.75">
      <c r="A28" s="151" t="s">
        <v>0</v>
      </c>
      <c r="B28" s="293" t="s">
        <v>401</v>
      </c>
      <c r="C28" s="293" t="s">
        <v>401</v>
      </c>
      <c r="D28" s="293" t="s">
        <v>401</v>
      </c>
      <c r="E28" s="293" t="s">
        <v>401</v>
      </c>
      <c r="F28" s="293" t="s">
        <v>401</v>
      </c>
      <c r="G28" s="293" t="s">
        <v>401</v>
      </c>
      <c r="H28" s="293" t="s">
        <v>401</v>
      </c>
      <c r="I28" s="293" t="s">
        <v>401</v>
      </c>
      <c r="J28" s="293" t="s">
        <v>401</v>
      </c>
      <c r="K28" s="293" t="s">
        <v>401</v>
      </c>
      <c r="L28" s="293" t="s">
        <v>401</v>
      </c>
      <c r="M28" s="293" t="s">
        <v>401</v>
      </c>
      <c r="N28" s="293" t="s">
        <v>401</v>
      </c>
      <c r="O28" s="293" t="s">
        <v>401</v>
      </c>
      <c r="P28" s="303">
        <f>SUM(P7:P27)</f>
        <v>721</v>
      </c>
      <c r="Q28" s="297" t="s">
        <v>401</v>
      </c>
      <c r="R28" s="288">
        <f>SUM(R7:R27)</f>
        <v>19.136685999999997</v>
      </c>
      <c r="S28" s="297" t="s">
        <v>401</v>
      </c>
      <c r="T28" s="310">
        <f>SUM(T7:T27)</f>
        <v>2105.03546</v>
      </c>
      <c r="U28" s="297" t="s">
        <v>401</v>
      </c>
      <c r="V28" s="297" t="s">
        <v>401</v>
      </c>
      <c r="W28" s="307">
        <f>SUM(W7:W27)</f>
        <v>714.5024605327898</v>
      </c>
      <c r="X28" s="307">
        <f>SUM(X7:X27)</f>
        <v>100.03034447459058</v>
      </c>
      <c r="Y28" s="307">
        <f>SUM(Y7:Y27)</f>
        <v>178.62561513319744</v>
      </c>
      <c r="Z28" s="307">
        <f>SUM(Z7:Z27)</f>
        <v>993.158420140578</v>
      </c>
      <c r="AA28" s="297" t="s">
        <v>401</v>
      </c>
      <c r="AB28" s="310">
        <f>SUM(AB7:AB27)</f>
        <v>480</v>
      </c>
      <c r="AC28" s="297" t="s">
        <v>401</v>
      </c>
      <c r="AD28" s="310">
        <f>SUM(AD7:AD27)</f>
        <v>691.0224</v>
      </c>
      <c r="AE28" s="297" t="s">
        <v>401</v>
      </c>
      <c r="AF28" s="310">
        <f>SUM(AF7:AF27)</f>
        <v>12</v>
      </c>
      <c r="AG28" s="297" t="s">
        <v>401</v>
      </c>
      <c r="AH28" s="310">
        <f>SUM(AH7:AH27)</f>
        <v>369.15144</v>
      </c>
      <c r="AI28" s="297" t="s">
        <v>401</v>
      </c>
      <c r="AJ28" s="310">
        <f>SUM(AJ7:AJ27)</f>
        <v>462</v>
      </c>
      <c r="AK28" s="297" t="s">
        <v>401</v>
      </c>
      <c r="AL28" s="310">
        <f>SUM(AL7:AL27)</f>
        <v>281.13624000000004</v>
      </c>
      <c r="AM28" s="297" t="s">
        <v>401</v>
      </c>
      <c r="AN28" s="310">
        <f>SUM(AN7:AN27)</f>
        <v>1581.0102000000002</v>
      </c>
      <c r="AO28" s="310">
        <f>SUM(AO7:AO27)</f>
        <v>6020.5141601405785</v>
      </c>
    </row>
    <row r="29" ht="12.75">
      <c r="V29" s="309">
        <v>8</v>
      </c>
    </row>
    <row r="30" ht="12.75">
      <c r="A30" s="61"/>
    </row>
    <row r="31" spans="1:48" ht="12.75">
      <c r="A31" s="218" t="s">
        <v>273</v>
      </c>
      <c r="B31" s="227" t="s">
        <v>196</v>
      </c>
      <c r="C31" s="227" t="s">
        <v>197</v>
      </c>
      <c r="D31" s="227" t="s">
        <v>198</v>
      </c>
      <c r="E31" s="227" t="s">
        <v>199</v>
      </c>
      <c r="F31" s="227" t="s">
        <v>200</v>
      </c>
      <c r="G31" s="227" t="s">
        <v>201</v>
      </c>
      <c r="H31" s="227" t="s">
        <v>202</v>
      </c>
      <c r="I31" s="227" t="s">
        <v>203</v>
      </c>
      <c r="J31" s="227" t="s">
        <v>204</v>
      </c>
      <c r="K31" s="227" t="s">
        <v>205</v>
      </c>
      <c r="L31" s="227" t="s">
        <v>206</v>
      </c>
      <c r="M31" s="227" t="s">
        <v>207</v>
      </c>
      <c r="N31" s="227" t="s">
        <v>0</v>
      </c>
      <c r="AV31" s="144"/>
    </row>
    <row r="32" spans="1:48" ht="12.75">
      <c r="A32" s="74" t="s">
        <v>425</v>
      </c>
      <c r="B32" s="149">
        <f>$Z$9</f>
        <v>25.23025210084033</v>
      </c>
      <c r="C32" s="149"/>
      <c r="D32" s="149"/>
      <c r="E32" s="149">
        <f>$Z$11</f>
        <v>42.12719691119692</v>
      </c>
      <c r="F32" s="149">
        <f>$Z$12+$Z$17+$Z$14</f>
        <v>202.30586114170472</v>
      </c>
      <c r="G32" s="149">
        <f>$Z$13</f>
        <v>9.345816541353383</v>
      </c>
      <c r="H32" s="149">
        <f>$Z$18</f>
        <v>7.967907692307692</v>
      </c>
      <c r="I32" s="149">
        <f>$Z$19</f>
        <v>7.398771428571428</v>
      </c>
      <c r="J32" s="149">
        <f>$Z$7/2+$Z$20+$Z$21+$Z$22+$Z$24+$Z$26+$Z$27</f>
        <v>596.4772299486308</v>
      </c>
      <c r="K32" s="149">
        <f>$Z$7/2</f>
        <v>77.07513227513229</v>
      </c>
      <c r="L32" s="149"/>
      <c r="M32" s="149">
        <f>$Z$8</f>
        <v>25.23025210084033</v>
      </c>
      <c r="N32" s="150">
        <f>SUM(B32:M32)</f>
        <v>993.1584201405778</v>
      </c>
      <c r="AV32" s="144"/>
    </row>
    <row r="33" spans="1:14" ht="12.75">
      <c r="A33" s="74" t="s">
        <v>211</v>
      </c>
      <c r="B33" s="149">
        <f>$T$9</f>
        <v>161.04</v>
      </c>
      <c r="C33" s="149"/>
      <c r="D33" s="149"/>
      <c r="E33" s="149">
        <f>$T$11+$T$10</f>
        <v>77.37175599999998</v>
      </c>
      <c r="F33" s="149">
        <f>$T$12+$T$17+$T$14+$T$15+$T$16</f>
        <v>677.7626240000001</v>
      </c>
      <c r="G33" s="149">
        <f>$T$13</f>
        <v>69.42320000000001</v>
      </c>
      <c r="H33" s="149">
        <f>$T$18</f>
        <v>63.756</v>
      </c>
      <c r="I33" s="149">
        <f>$T$19</f>
        <v>99.5808</v>
      </c>
      <c r="J33" s="149">
        <f>$T$7/2+$T$20+$T$21+$T$22+$T$24+$T$26+$T$27+$T$23+$T$25</f>
        <v>676.04108</v>
      </c>
      <c r="K33" s="149">
        <f>$T$7/2</f>
        <v>119.02000000000001</v>
      </c>
      <c r="L33" s="149"/>
      <c r="M33" s="149">
        <f>$T$8</f>
        <v>161.04</v>
      </c>
      <c r="N33" s="150">
        <f>SUM(B33:M33)</f>
        <v>2105.03546</v>
      </c>
    </row>
    <row r="34" spans="1:14" ht="12.75">
      <c r="A34" s="74" t="s">
        <v>274</v>
      </c>
      <c r="B34" s="149">
        <f>$AD$9</f>
        <v>0</v>
      </c>
      <c r="C34" s="149"/>
      <c r="D34" s="149"/>
      <c r="E34" s="149">
        <f>$AD$11+$AD$10+$AH$11+$AH$10</f>
        <v>1060.17384</v>
      </c>
      <c r="F34" s="149">
        <f>$AD$12+$AD$17+$AD$14+$AD$15+$AD$16</f>
        <v>0</v>
      </c>
      <c r="G34" s="149">
        <f>$AD$13</f>
        <v>0</v>
      </c>
      <c r="H34" s="149">
        <f>$AD$18</f>
        <v>0</v>
      </c>
      <c r="I34" s="149">
        <f>$AD$19</f>
        <v>0</v>
      </c>
      <c r="J34" s="149">
        <f>$AD$7/2+$AD$20+$AD$21+$AD$22+$AD$24+$AD$26+$AD$27+$AD$23+$AD$25</f>
        <v>0</v>
      </c>
      <c r="K34" s="149">
        <f>$AD$7/2</f>
        <v>0</v>
      </c>
      <c r="L34" s="149"/>
      <c r="M34" s="149">
        <f>$AD$8</f>
        <v>0</v>
      </c>
      <c r="N34" s="150">
        <f>SUM(B34:M34)</f>
        <v>1060.17384</v>
      </c>
    </row>
    <row r="35" spans="1:14" ht="12.75">
      <c r="A35" s="74" t="s">
        <v>426</v>
      </c>
      <c r="B35" s="149">
        <f>$AL$9</f>
        <v>0</v>
      </c>
      <c r="C35" s="149"/>
      <c r="D35" s="149"/>
      <c r="E35" s="149">
        <f>$AL$11+$AL$10</f>
        <v>0</v>
      </c>
      <c r="F35" s="149">
        <f>$AL$12+$AL$17+$AL$14+$AL$15+$AL$16</f>
        <v>281.13624000000004</v>
      </c>
      <c r="G35" s="149">
        <f>$AL$13</f>
        <v>0</v>
      </c>
      <c r="H35" s="149">
        <f>$AL$18</f>
        <v>0</v>
      </c>
      <c r="I35" s="149">
        <f>$AL$19</f>
        <v>0</v>
      </c>
      <c r="J35" s="149">
        <f>$AL$7/2+$AL$20+$AL$21+$AL$22+$AL$24+$AL$26+$AL$27+$AL$23+$AL$25</f>
        <v>0</v>
      </c>
      <c r="K35" s="149">
        <f>$AL$7/2</f>
        <v>0</v>
      </c>
      <c r="L35" s="149"/>
      <c r="M35" s="149">
        <f>$AL$8</f>
        <v>0</v>
      </c>
      <c r="N35" s="150">
        <f>SUM(B35:M35)</f>
        <v>281.13624000000004</v>
      </c>
    </row>
    <row r="36" spans="1:14" ht="12.75">
      <c r="A36" s="74" t="s">
        <v>440</v>
      </c>
      <c r="B36" s="149"/>
      <c r="C36" s="149"/>
      <c r="D36" s="149"/>
      <c r="E36" s="149"/>
      <c r="F36" s="149"/>
      <c r="G36" s="149"/>
      <c r="H36" s="149"/>
      <c r="I36" s="149"/>
      <c r="J36" s="149">
        <f>$AN$7/2+$AN$20+$AN$21+$AN$22+$AN$24+$AN$26+$AN$27+$AN$23+$AN$25</f>
        <v>1581.0102000000002</v>
      </c>
      <c r="K36" s="149"/>
      <c r="L36" s="149"/>
      <c r="M36" s="149"/>
      <c r="N36" s="150">
        <f>SUM(B36:M36)</f>
        <v>1581.0102000000002</v>
      </c>
    </row>
    <row r="37" spans="1:48" ht="12.75">
      <c r="A37" s="218" t="s">
        <v>86</v>
      </c>
      <c r="B37" s="219">
        <f aca="true" t="shared" si="12" ref="B37:N37">SUM(B32:B36)</f>
        <v>186.2702521008403</v>
      </c>
      <c r="C37" s="219">
        <f t="shared" si="12"/>
        <v>0</v>
      </c>
      <c r="D37" s="219">
        <f t="shared" si="12"/>
        <v>0</v>
      </c>
      <c r="E37" s="219">
        <f t="shared" si="12"/>
        <v>1179.672792911197</v>
      </c>
      <c r="F37" s="219">
        <f t="shared" si="12"/>
        <v>1161.2047251417048</v>
      </c>
      <c r="G37" s="219">
        <f t="shared" si="12"/>
        <v>78.7690165413534</v>
      </c>
      <c r="H37" s="219">
        <f t="shared" si="12"/>
        <v>71.72390769230769</v>
      </c>
      <c r="I37" s="219">
        <f t="shared" si="12"/>
        <v>106.97957142857142</v>
      </c>
      <c r="J37" s="219">
        <f t="shared" si="12"/>
        <v>2853.528509948631</v>
      </c>
      <c r="K37" s="219">
        <f t="shared" si="12"/>
        <v>196.0951322751323</v>
      </c>
      <c r="L37" s="219">
        <f t="shared" si="12"/>
        <v>0</v>
      </c>
      <c r="M37" s="219">
        <f t="shared" si="12"/>
        <v>186.2702521008403</v>
      </c>
      <c r="N37" s="219">
        <f t="shared" si="12"/>
        <v>6020.514160140578</v>
      </c>
      <c r="AV37" s="164"/>
    </row>
    <row r="38" ht="8.25" customHeight="1"/>
    <row r="40" ht="12.75">
      <c r="A40" s="61" t="s">
        <v>277</v>
      </c>
    </row>
    <row r="41" spans="1:3" ht="12.75">
      <c r="A41" s="218"/>
      <c r="B41" s="275" t="s">
        <v>86</v>
      </c>
      <c r="C41" s="275" t="s">
        <v>443</v>
      </c>
    </row>
    <row r="42" spans="1:3" ht="12.75">
      <c r="A42" s="74" t="str">
        <f>A32</f>
        <v>Заработная плата</v>
      </c>
      <c r="B42" s="149">
        <f>N32</f>
        <v>993.1584201405778</v>
      </c>
      <c r="C42" s="166">
        <f aca="true" t="shared" si="13" ref="C42:C47">B42/$B$50</f>
        <v>2.2869080320083306</v>
      </c>
    </row>
    <row r="43" spans="1:3" ht="12.75">
      <c r="A43" s="74" t="str">
        <f>A33</f>
        <v>ГСМ</v>
      </c>
      <c r="B43" s="149">
        <f>N33</f>
        <v>2105.03546</v>
      </c>
      <c r="C43" s="166">
        <f t="shared" si="13"/>
        <v>4.847184903748733</v>
      </c>
    </row>
    <row r="44" spans="1:3" ht="12.75">
      <c r="A44" s="74" t="str">
        <f>A34</f>
        <v>Химпрепараты</v>
      </c>
      <c r="B44" s="149">
        <f>N34</f>
        <v>1060.17384</v>
      </c>
      <c r="C44" s="166">
        <f t="shared" si="13"/>
        <v>2.44122188449848</v>
      </c>
    </row>
    <row r="45" spans="1:3" ht="12.75">
      <c r="A45" s="74" t="str">
        <f>A35</f>
        <v>Удобрения</v>
      </c>
      <c r="B45" s="149">
        <f>N35</f>
        <v>281.13624000000004</v>
      </c>
      <c r="C45" s="166">
        <f t="shared" si="13"/>
        <v>0.6473617021276596</v>
      </c>
    </row>
    <row r="46" spans="1:3" ht="12.75">
      <c r="A46" s="74" t="str">
        <f>A36</f>
        <v>Услуги элеватора</v>
      </c>
      <c r="B46" s="149">
        <f>N36</f>
        <v>1581.0102000000002</v>
      </c>
      <c r="C46" s="166">
        <f t="shared" si="13"/>
        <v>3.640531914893617</v>
      </c>
    </row>
    <row r="47" spans="1:3" ht="12.75">
      <c r="A47" s="151" t="s">
        <v>0</v>
      </c>
      <c r="B47" s="150">
        <f>SUM(B42:B46)</f>
        <v>6020.514160140578</v>
      </c>
      <c r="C47" s="239">
        <f t="shared" si="13"/>
        <v>13.86320843727682</v>
      </c>
    </row>
    <row r="48" spans="1:2" ht="12.75">
      <c r="A48" s="74" t="s">
        <v>275</v>
      </c>
      <c r="B48" s="166">
        <f>Исх!C28</f>
        <v>15.3</v>
      </c>
    </row>
    <row r="49" spans="1:2" ht="12.75">
      <c r="A49" s="74" t="s">
        <v>276</v>
      </c>
      <c r="B49" s="277">
        <f>B48-Исх!C31</f>
        <v>14.100000000000001</v>
      </c>
    </row>
    <row r="50" spans="1:2" ht="12.75">
      <c r="A50" s="317" t="s">
        <v>278</v>
      </c>
      <c r="B50" s="316">
        <f>B49*Исх!C25/10</f>
        <v>434.28000000000003</v>
      </c>
    </row>
    <row r="51" spans="1:2" ht="12.75">
      <c r="A51" s="276" t="s">
        <v>442</v>
      </c>
      <c r="B51" s="278">
        <f>B47/B50</f>
        <v>13.86320843727682</v>
      </c>
    </row>
  </sheetData>
  <sheetProtection/>
  <mergeCells count="52">
    <mergeCell ref="AJ4:AJ5"/>
    <mergeCell ref="AK4:AK5"/>
    <mergeCell ref="AL4:AL5"/>
    <mergeCell ref="AO3:AO5"/>
    <mergeCell ref="AM3:AN3"/>
    <mergeCell ref="AM4:AM5"/>
    <mergeCell ref="AN4:AN5"/>
    <mergeCell ref="AI3:AL3"/>
    <mergeCell ref="AI4:AI5"/>
    <mergeCell ref="AA3:AD3"/>
    <mergeCell ref="AA4:AA5"/>
    <mergeCell ref="AB4:AB5"/>
    <mergeCell ref="AC4:AC5"/>
    <mergeCell ref="AD4:AD5"/>
    <mergeCell ref="S4:S5"/>
    <mergeCell ref="T4:T5"/>
    <mergeCell ref="P4:P5"/>
    <mergeCell ref="Q4:Q5"/>
    <mergeCell ref="R4:R5"/>
    <mergeCell ref="V4:V5"/>
    <mergeCell ref="W4:W5"/>
    <mergeCell ref="Q3:T3"/>
    <mergeCell ref="H3:I3"/>
    <mergeCell ref="H4:H5"/>
    <mergeCell ref="I4:I5"/>
    <mergeCell ref="U3:Z3"/>
    <mergeCell ref="U4:U5"/>
    <mergeCell ref="Z4:Z5"/>
    <mergeCell ref="X4:X5"/>
    <mergeCell ref="Y4:Y5"/>
    <mergeCell ref="O3:P3"/>
    <mergeCell ref="O4:O5"/>
    <mergeCell ref="D3:E3"/>
    <mergeCell ref="D4:D5"/>
    <mergeCell ref="E4:E5"/>
    <mergeCell ref="AE3:AH3"/>
    <mergeCell ref="AE4:AE5"/>
    <mergeCell ref="AF4:AF5"/>
    <mergeCell ref="AG4:AG5"/>
    <mergeCell ref="AH4:AH5"/>
    <mergeCell ref="F4:F5"/>
    <mergeCell ref="G4:G5"/>
    <mergeCell ref="K3:K5"/>
    <mergeCell ref="A3:A5"/>
    <mergeCell ref="F3:G3"/>
    <mergeCell ref="L3:N3"/>
    <mergeCell ref="L4:L5"/>
    <mergeCell ref="M4:M5"/>
    <mergeCell ref="N4:N5"/>
    <mergeCell ref="J3:J5"/>
    <mergeCell ref="B3:B5"/>
    <mergeCell ref="C3:C5"/>
  </mergeCells>
  <printOptions/>
  <pageMargins left="0.23" right="0.2" top="0.45" bottom="0.38" header="0.2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AJ19"/>
  <sheetViews>
    <sheetView showGridLines="0" showZeros="0" zoomScalePageLayoutView="0" workbookViewId="0" topLeftCell="A1">
      <pane xSplit="3" ySplit="4" topLeftCell="O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E26" sqref="AE26"/>
    </sheetView>
  </sheetViews>
  <sheetFormatPr defaultColWidth="10.125" defaultRowHeight="12.75" outlineLevelCol="1"/>
  <cols>
    <col min="1" max="1" width="31.375" style="232" customWidth="1"/>
    <col min="2" max="2" width="11.375" style="232" customWidth="1"/>
    <col min="3" max="3" width="4.375" style="232" customWidth="1"/>
    <col min="4" max="10" width="6.25390625" style="232" hidden="1" customWidth="1" outlineLevel="1"/>
    <col min="11" max="12" width="9.00390625" style="232" hidden="1" customWidth="1" outlineLevel="1"/>
    <col min="13" max="14" width="8.625" style="232" hidden="1" customWidth="1" outlineLevel="1"/>
    <col min="15" max="15" width="8.875" style="232" hidden="1" customWidth="1" outlineLevel="1"/>
    <col min="16" max="16" width="9.125" style="232" customWidth="1" collapsed="1"/>
    <col min="17" max="28" width="8.375" style="232" hidden="1" customWidth="1" outlineLevel="1"/>
    <col min="29" max="29" width="9.125" style="232" customWidth="1" collapsed="1"/>
    <col min="30" max="35" width="9.125" style="232" customWidth="1"/>
    <col min="36" max="36" width="10.125" style="230" customWidth="1"/>
    <col min="37" max="16384" width="10.125" style="232" customWidth="1"/>
  </cols>
  <sheetData>
    <row r="1" spans="1:36" ht="12.75">
      <c r="A1" s="234" t="s">
        <v>267</v>
      </c>
      <c r="B1" s="231"/>
      <c r="C1" s="231"/>
      <c r="AJ1" s="232"/>
    </row>
    <row r="2" spans="1:36" ht="12.75">
      <c r="A2" s="234"/>
      <c r="B2" s="235" t="s">
        <v>213</v>
      </c>
      <c r="C2" s="233"/>
      <c r="AJ2" s="232"/>
    </row>
    <row r="3" spans="1:36" ht="12.75" customHeight="1">
      <c r="A3" s="351" t="s">
        <v>208</v>
      </c>
      <c r="B3" s="337" t="s">
        <v>86</v>
      </c>
      <c r="C3" s="119"/>
      <c r="D3" s="338">
        <v>2013</v>
      </c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>
        <v>2014</v>
      </c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120">
        <v>2015</v>
      </c>
      <c r="AE3" s="120">
        <f>AD3+1</f>
        <v>2016</v>
      </c>
      <c r="AF3" s="120">
        <f>AE3+1</f>
        <v>2017</v>
      </c>
      <c r="AG3" s="120">
        <f>AF3+1</f>
        <v>2018</v>
      </c>
      <c r="AH3" s="120">
        <f>AG3+1</f>
        <v>2019</v>
      </c>
      <c r="AI3" s="120">
        <f>AH3+1</f>
        <v>2020</v>
      </c>
      <c r="AJ3" s="232"/>
    </row>
    <row r="4" spans="1:36" ht="12.75">
      <c r="A4" s="352"/>
      <c r="B4" s="337"/>
      <c r="C4" s="121"/>
      <c r="D4" s="122">
        <f aca="true" t="shared" si="0" ref="D4:L4">C4+1</f>
        <v>1</v>
      </c>
      <c r="E4" s="122">
        <f t="shared" si="0"/>
        <v>2</v>
      </c>
      <c r="F4" s="122">
        <f t="shared" si="0"/>
        <v>3</v>
      </c>
      <c r="G4" s="122">
        <f t="shared" si="0"/>
        <v>4</v>
      </c>
      <c r="H4" s="122">
        <f t="shared" si="0"/>
        <v>5</v>
      </c>
      <c r="I4" s="122">
        <f t="shared" si="0"/>
        <v>6</v>
      </c>
      <c r="J4" s="122">
        <f t="shared" si="0"/>
        <v>7</v>
      </c>
      <c r="K4" s="122">
        <f t="shared" si="0"/>
        <v>8</v>
      </c>
      <c r="L4" s="122">
        <f t="shared" si="0"/>
        <v>9</v>
      </c>
      <c r="M4" s="122">
        <f>L4+1</f>
        <v>10</v>
      </c>
      <c r="N4" s="122">
        <f>M4+1</f>
        <v>11</v>
      </c>
      <c r="O4" s="122">
        <f>N4+1</f>
        <v>12</v>
      </c>
      <c r="P4" s="118" t="s">
        <v>0</v>
      </c>
      <c r="Q4" s="122">
        <v>1</v>
      </c>
      <c r="R4" s="122">
        <f aca="true" t="shared" si="1" ref="R4:AB4">Q4+1</f>
        <v>2</v>
      </c>
      <c r="S4" s="122">
        <f t="shared" si="1"/>
        <v>3</v>
      </c>
      <c r="T4" s="122">
        <f t="shared" si="1"/>
        <v>4</v>
      </c>
      <c r="U4" s="122">
        <f t="shared" si="1"/>
        <v>5</v>
      </c>
      <c r="V4" s="122">
        <f t="shared" si="1"/>
        <v>6</v>
      </c>
      <c r="W4" s="122">
        <f t="shared" si="1"/>
        <v>7</v>
      </c>
      <c r="X4" s="122">
        <f t="shared" si="1"/>
        <v>8</v>
      </c>
      <c r="Y4" s="122">
        <f t="shared" si="1"/>
        <v>9</v>
      </c>
      <c r="Z4" s="122">
        <f t="shared" si="1"/>
        <v>10</v>
      </c>
      <c r="AA4" s="122">
        <f t="shared" si="1"/>
        <v>11</v>
      </c>
      <c r="AB4" s="122">
        <f t="shared" si="1"/>
        <v>12</v>
      </c>
      <c r="AC4" s="118" t="s">
        <v>0</v>
      </c>
      <c r="AD4" s="118"/>
      <c r="AE4" s="118"/>
      <c r="AF4" s="118"/>
      <c r="AG4" s="118"/>
      <c r="AH4" s="118"/>
      <c r="AI4" s="118"/>
      <c r="AJ4" s="232"/>
    </row>
    <row r="5" ht="12.75">
      <c r="A5" s="234" t="s">
        <v>209</v>
      </c>
    </row>
    <row r="6" spans="1:36" ht="15" customHeight="1">
      <c r="A6" s="241" t="str">
        <f>Исх!A28</f>
        <v>Пшеница</v>
      </c>
      <c r="B6" s="124">
        <f>P6+AC6+AD6+AE6+AF6+AG6+AH6+AI6</f>
        <v>3298.6800000000007</v>
      </c>
      <c r="C6" s="124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24">
        <f>SUM(D6:O6)</f>
        <v>0</v>
      </c>
      <c r="Q6" s="130"/>
      <c r="R6" s="130"/>
      <c r="S6" s="130"/>
      <c r="T6" s="130"/>
      <c r="U6" s="130"/>
      <c r="V6" s="130"/>
      <c r="W6" s="130"/>
      <c r="X6" s="130">
        <f>Исх!$D$24*Исх!$C$28/10/2</f>
        <v>0</v>
      </c>
      <c r="Y6" s="130">
        <f>Исх!$C$25*Исх!$C28/10</f>
        <v>471.24000000000007</v>
      </c>
      <c r="Z6" s="130"/>
      <c r="AA6" s="130"/>
      <c r="AB6" s="130"/>
      <c r="AC6" s="124">
        <f>SUM(Q6:AB6)</f>
        <v>471.24000000000007</v>
      </c>
      <c r="AD6" s="130">
        <f aca="true" t="shared" si="2" ref="AD6:AI7">AC6</f>
        <v>471.24000000000007</v>
      </c>
      <c r="AE6" s="130">
        <f t="shared" si="2"/>
        <v>471.24000000000007</v>
      </c>
      <c r="AF6" s="130">
        <f t="shared" si="2"/>
        <v>471.24000000000007</v>
      </c>
      <c r="AG6" s="130">
        <f t="shared" si="2"/>
        <v>471.24000000000007</v>
      </c>
      <c r="AH6" s="130">
        <f t="shared" si="2"/>
        <v>471.24000000000007</v>
      </c>
      <c r="AI6" s="130">
        <f t="shared" si="2"/>
        <v>471.24000000000007</v>
      </c>
      <c r="AJ6" s="232"/>
    </row>
    <row r="7" spans="1:36" ht="15" customHeight="1">
      <c r="A7" s="241" t="str">
        <f>Исх!A29</f>
        <v>Солома</v>
      </c>
      <c r="B7" s="124">
        <f>P7+AC7+AD7+AE7+AF7+AG7+AH7+AI7</f>
        <v>1078</v>
      </c>
      <c r="C7" s="124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24">
        <f>SUM(D7:O7)</f>
        <v>0</v>
      </c>
      <c r="Q7" s="130"/>
      <c r="R7" s="130"/>
      <c r="S7" s="130"/>
      <c r="T7" s="130"/>
      <c r="U7" s="130"/>
      <c r="V7" s="130"/>
      <c r="W7" s="130"/>
      <c r="X7" s="130"/>
      <c r="Y7" s="130">
        <f>Исх!$C$25*Исх!$C29/10</f>
        <v>154</v>
      </c>
      <c r="Z7" s="130"/>
      <c r="AA7" s="130"/>
      <c r="AB7" s="130"/>
      <c r="AC7" s="124">
        <f>SUM(Q7:AB7)</f>
        <v>154</v>
      </c>
      <c r="AD7" s="130">
        <f t="shared" si="2"/>
        <v>154</v>
      </c>
      <c r="AE7" s="130">
        <f t="shared" si="2"/>
        <v>154</v>
      </c>
      <c r="AF7" s="130">
        <f t="shared" si="2"/>
        <v>154</v>
      </c>
      <c r="AG7" s="130">
        <f t="shared" si="2"/>
        <v>154</v>
      </c>
      <c r="AH7" s="130">
        <f t="shared" si="2"/>
        <v>154</v>
      </c>
      <c r="AI7" s="130">
        <f t="shared" si="2"/>
        <v>154</v>
      </c>
      <c r="AJ7" s="232"/>
    </row>
    <row r="8" ht="7.5" customHeight="1"/>
    <row r="9" ht="12.75">
      <c r="A9" s="234" t="s">
        <v>214</v>
      </c>
    </row>
    <row r="10" spans="1:36" ht="15" customHeight="1">
      <c r="A10" s="241" t="str">
        <f>A6</f>
        <v>Пшеница</v>
      </c>
      <c r="B10" s="124">
        <f>P10+AC10+AD10+AE10+AF10+AG10+AH10+AI10</f>
        <v>2822.820000000001</v>
      </c>
      <c r="C10" s="124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24">
        <f>SUM(D10:O10)</f>
        <v>0</v>
      </c>
      <c r="Q10" s="130"/>
      <c r="R10" s="130"/>
      <c r="S10" s="130"/>
      <c r="T10" s="130"/>
      <c r="U10" s="130"/>
      <c r="V10" s="130"/>
      <c r="W10" s="130"/>
      <c r="X10" s="130"/>
      <c r="Y10" s="130"/>
      <c r="Z10" s="130">
        <f>$Y18/2/3</f>
        <v>72.38000000000001</v>
      </c>
      <c r="AA10" s="130">
        <f>$Y18/2/3</f>
        <v>72.38000000000001</v>
      </c>
      <c r="AB10" s="130">
        <f>$Y18/2/3</f>
        <v>72.38000000000001</v>
      </c>
      <c r="AC10" s="124">
        <f>SUM(Q10:AB10)</f>
        <v>217.14000000000004</v>
      </c>
      <c r="AD10" s="130">
        <f aca="true" t="shared" si="3" ref="AD10:AI10">AC6-AC14</f>
        <v>434.2800000000001</v>
      </c>
      <c r="AE10" s="130">
        <f t="shared" si="3"/>
        <v>434.2800000000001</v>
      </c>
      <c r="AF10" s="130">
        <f t="shared" si="3"/>
        <v>434.2800000000001</v>
      </c>
      <c r="AG10" s="130">
        <f t="shared" si="3"/>
        <v>434.2800000000001</v>
      </c>
      <c r="AH10" s="130">
        <f t="shared" si="3"/>
        <v>434.2800000000001</v>
      </c>
      <c r="AI10" s="130">
        <f t="shared" si="3"/>
        <v>434.2800000000001</v>
      </c>
      <c r="AJ10" s="232"/>
    </row>
    <row r="11" spans="1:36" ht="15" customHeight="1">
      <c r="A11" s="241" t="str">
        <f>A7</f>
        <v>Солома</v>
      </c>
      <c r="B11" s="124">
        <f>P11+AC11+AD11+AE11+AF11+AG11+AH11+AI11</f>
        <v>1078</v>
      </c>
      <c r="C11" s="124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24">
        <f>SUM(D11:O11)</f>
        <v>0</v>
      </c>
      <c r="Q11" s="130"/>
      <c r="R11" s="130"/>
      <c r="S11" s="130"/>
      <c r="T11" s="130"/>
      <c r="U11" s="130"/>
      <c r="V11" s="130"/>
      <c r="W11" s="130"/>
      <c r="X11" s="130"/>
      <c r="Y11" s="130"/>
      <c r="Z11" s="130">
        <f>$Y$7/3</f>
        <v>51.333333333333336</v>
      </c>
      <c r="AA11" s="130">
        <f>$Y$7/3</f>
        <v>51.333333333333336</v>
      </c>
      <c r="AB11" s="130">
        <f>$Y$7/3</f>
        <v>51.333333333333336</v>
      </c>
      <c r="AC11" s="124">
        <f>SUM(Q11:AB11)</f>
        <v>154</v>
      </c>
      <c r="AD11" s="130">
        <f aca="true" t="shared" si="4" ref="AD11:AI11">AC7</f>
        <v>154</v>
      </c>
      <c r="AE11" s="130">
        <f t="shared" si="4"/>
        <v>154</v>
      </c>
      <c r="AF11" s="130">
        <f t="shared" si="4"/>
        <v>154</v>
      </c>
      <c r="AG11" s="130">
        <f t="shared" si="4"/>
        <v>154</v>
      </c>
      <c r="AH11" s="130">
        <f t="shared" si="4"/>
        <v>154</v>
      </c>
      <c r="AI11" s="130">
        <f t="shared" si="4"/>
        <v>154</v>
      </c>
      <c r="AJ11" s="232"/>
    </row>
    <row r="12" ht="9.75" customHeight="1"/>
    <row r="13" ht="12.75">
      <c r="A13" s="234" t="s">
        <v>266</v>
      </c>
    </row>
    <row r="14" spans="1:36" ht="15" customHeight="1">
      <c r="A14" s="241" t="str">
        <f>A10</f>
        <v>Пшеница</v>
      </c>
      <c r="B14" s="124">
        <f>P14+AC14+AD14+AE14+AF14+AG14+AH14+AI14</f>
        <v>258.7199999999999</v>
      </c>
      <c r="C14" s="124"/>
      <c r="D14" s="130"/>
      <c r="E14" s="130"/>
      <c r="F14" s="130"/>
      <c r="G14" s="130"/>
      <c r="H14" s="130"/>
      <c r="I14" s="130"/>
      <c r="J14" s="130"/>
      <c r="K14" s="130"/>
      <c r="L14" s="130">
        <f>Исх!$D$24*Исх!$C$31/1000</f>
        <v>0</v>
      </c>
      <c r="M14" s="130"/>
      <c r="N14" s="130"/>
      <c r="O14" s="130"/>
      <c r="P14" s="124">
        <f>SUM(D14:O14)</f>
        <v>0</v>
      </c>
      <c r="Q14" s="130"/>
      <c r="R14" s="130"/>
      <c r="S14" s="130"/>
      <c r="T14" s="130"/>
      <c r="U14" s="130"/>
      <c r="V14" s="130"/>
      <c r="W14" s="130"/>
      <c r="X14" s="130"/>
      <c r="Y14" s="130">
        <f>Исх!$C$25*Исх!$C$31/10</f>
        <v>36.959999999999994</v>
      </c>
      <c r="Z14" s="130"/>
      <c r="AA14" s="130"/>
      <c r="AB14" s="130"/>
      <c r="AC14" s="124">
        <f>SUM(Q14:AB14)</f>
        <v>36.959999999999994</v>
      </c>
      <c r="AD14" s="130">
        <f aca="true" t="shared" si="5" ref="AD14:AI14">AC14</f>
        <v>36.959999999999994</v>
      </c>
      <c r="AE14" s="130">
        <f t="shared" si="5"/>
        <v>36.959999999999994</v>
      </c>
      <c r="AF14" s="130">
        <f t="shared" si="5"/>
        <v>36.959999999999994</v>
      </c>
      <c r="AG14" s="130">
        <f t="shared" si="5"/>
        <v>36.959999999999994</v>
      </c>
      <c r="AH14" s="130">
        <f t="shared" si="5"/>
        <v>36.959999999999994</v>
      </c>
      <c r="AI14" s="130">
        <f t="shared" si="5"/>
        <v>36.959999999999994</v>
      </c>
      <c r="AJ14" s="232"/>
    </row>
    <row r="15" spans="1:36" ht="15" customHeight="1">
      <c r="A15" s="241" t="str">
        <f>A11</f>
        <v>Солома</v>
      </c>
      <c r="B15" s="124">
        <f>P15+AC15+AD15+AE15+AF15+AG15+AH15+AI15</f>
        <v>0</v>
      </c>
      <c r="C15" s="124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24">
        <f>SUM(D15:O15)</f>
        <v>0</v>
      </c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24">
        <f>SUM(Q15:AB15)</f>
        <v>0</v>
      </c>
      <c r="AD15" s="130"/>
      <c r="AE15" s="130"/>
      <c r="AF15" s="130"/>
      <c r="AG15" s="130"/>
      <c r="AH15" s="130"/>
      <c r="AI15" s="130"/>
      <c r="AJ15" s="232"/>
    </row>
    <row r="16" ht="7.5" customHeight="1"/>
    <row r="17" ht="12.75">
      <c r="A17" s="234" t="s">
        <v>215</v>
      </c>
    </row>
    <row r="18" spans="1:36" ht="15" customHeight="1">
      <c r="A18" s="241" t="str">
        <f>A14</f>
        <v>Пшеница</v>
      </c>
      <c r="B18" s="124">
        <f>AI18</f>
        <v>217.14000000000004</v>
      </c>
      <c r="C18" s="124"/>
      <c r="D18" s="130">
        <f>C18+D6-D10-D14</f>
        <v>0</v>
      </c>
      <c r="E18" s="130">
        <f aca="true" t="shared" si="6" ref="E18:O18">D18+E6-E10-E14</f>
        <v>0</v>
      </c>
      <c r="F18" s="130">
        <f t="shared" si="6"/>
        <v>0</v>
      </c>
      <c r="G18" s="130">
        <f t="shared" si="6"/>
        <v>0</v>
      </c>
      <c r="H18" s="130">
        <f t="shared" si="6"/>
        <v>0</v>
      </c>
      <c r="I18" s="130">
        <f t="shared" si="6"/>
        <v>0</v>
      </c>
      <c r="J18" s="130">
        <f t="shared" si="6"/>
        <v>0</v>
      </c>
      <c r="K18" s="130">
        <f t="shared" si="6"/>
        <v>0</v>
      </c>
      <c r="L18" s="130">
        <f t="shared" si="6"/>
        <v>0</v>
      </c>
      <c r="M18" s="130">
        <f t="shared" si="6"/>
        <v>0</v>
      </c>
      <c r="N18" s="130">
        <f t="shared" si="6"/>
        <v>0</v>
      </c>
      <c r="O18" s="130">
        <f t="shared" si="6"/>
        <v>0</v>
      </c>
      <c r="P18" s="124">
        <f>O18</f>
        <v>0</v>
      </c>
      <c r="Q18" s="130">
        <f aca="true" t="shared" si="7" ref="Q18:AB18">P18+Q6-Q10-Q14</f>
        <v>0</v>
      </c>
      <c r="R18" s="130">
        <f t="shared" si="7"/>
        <v>0</v>
      </c>
      <c r="S18" s="130">
        <f t="shared" si="7"/>
        <v>0</v>
      </c>
      <c r="T18" s="130">
        <f t="shared" si="7"/>
        <v>0</v>
      </c>
      <c r="U18" s="130">
        <f t="shared" si="7"/>
        <v>0</v>
      </c>
      <c r="V18" s="130">
        <f t="shared" si="7"/>
        <v>0</v>
      </c>
      <c r="W18" s="130">
        <f t="shared" si="7"/>
        <v>0</v>
      </c>
      <c r="X18" s="130">
        <f t="shared" si="7"/>
        <v>0</v>
      </c>
      <c r="Y18" s="130">
        <f t="shared" si="7"/>
        <v>434.2800000000001</v>
      </c>
      <c r="Z18" s="130">
        <f>Y18+Z6-Z10-Z14</f>
        <v>361.9000000000001</v>
      </c>
      <c r="AA18" s="130">
        <f t="shared" si="7"/>
        <v>289.5200000000001</v>
      </c>
      <c r="AB18" s="130">
        <f t="shared" si="7"/>
        <v>217.1400000000001</v>
      </c>
      <c r="AC18" s="124">
        <f>AB18</f>
        <v>217.1400000000001</v>
      </c>
      <c r="AD18" s="130">
        <f aca="true" t="shared" si="8" ref="AD18:AI18">AC18+AD6-AD10-AD14</f>
        <v>217.14000000000004</v>
      </c>
      <c r="AE18" s="130">
        <f t="shared" si="8"/>
        <v>217.14000000000004</v>
      </c>
      <c r="AF18" s="130">
        <f t="shared" si="8"/>
        <v>217.14000000000004</v>
      </c>
      <c r="AG18" s="130">
        <f t="shared" si="8"/>
        <v>217.14000000000004</v>
      </c>
      <c r="AH18" s="130">
        <f t="shared" si="8"/>
        <v>217.14000000000004</v>
      </c>
      <c r="AI18" s="130">
        <f t="shared" si="8"/>
        <v>217.14000000000004</v>
      </c>
      <c r="AJ18" s="232"/>
    </row>
    <row r="19" spans="1:36" ht="15" customHeight="1">
      <c r="A19" s="241" t="str">
        <f>A15</f>
        <v>Солома</v>
      </c>
      <c r="B19" s="124">
        <f>AI19</f>
        <v>0</v>
      </c>
      <c r="C19" s="124"/>
      <c r="D19" s="130">
        <f>C19+D7-D11-D15</f>
        <v>0</v>
      </c>
      <c r="E19" s="130">
        <f aca="true" t="shared" si="9" ref="E19:O19">D19+E7-E11-E15</f>
        <v>0</v>
      </c>
      <c r="F19" s="130">
        <f t="shared" si="9"/>
        <v>0</v>
      </c>
      <c r="G19" s="130">
        <f t="shared" si="9"/>
        <v>0</v>
      </c>
      <c r="H19" s="130">
        <f t="shared" si="9"/>
        <v>0</v>
      </c>
      <c r="I19" s="130">
        <f t="shared" si="9"/>
        <v>0</v>
      </c>
      <c r="J19" s="130">
        <f t="shared" si="9"/>
        <v>0</v>
      </c>
      <c r="K19" s="130">
        <f t="shared" si="9"/>
        <v>0</v>
      </c>
      <c r="L19" s="130">
        <f t="shared" si="9"/>
        <v>0</v>
      </c>
      <c r="M19" s="130">
        <f t="shared" si="9"/>
        <v>0</v>
      </c>
      <c r="N19" s="130">
        <f t="shared" si="9"/>
        <v>0</v>
      </c>
      <c r="O19" s="130">
        <f t="shared" si="9"/>
        <v>0</v>
      </c>
      <c r="P19" s="124">
        <f>O19</f>
        <v>0</v>
      </c>
      <c r="Q19" s="130">
        <f aca="true" t="shared" si="10" ref="Q19:AB19">P19+Q7-Q11-Q15</f>
        <v>0</v>
      </c>
      <c r="R19" s="130">
        <f t="shared" si="10"/>
        <v>0</v>
      </c>
      <c r="S19" s="130">
        <f t="shared" si="10"/>
        <v>0</v>
      </c>
      <c r="T19" s="130">
        <f t="shared" si="10"/>
        <v>0</v>
      </c>
      <c r="U19" s="130">
        <f t="shared" si="10"/>
        <v>0</v>
      </c>
      <c r="V19" s="130">
        <f t="shared" si="10"/>
        <v>0</v>
      </c>
      <c r="W19" s="130">
        <f t="shared" si="10"/>
        <v>0</v>
      </c>
      <c r="X19" s="130">
        <f t="shared" si="10"/>
        <v>0</v>
      </c>
      <c r="Y19" s="130">
        <f t="shared" si="10"/>
        <v>154</v>
      </c>
      <c r="Z19" s="130">
        <f t="shared" si="10"/>
        <v>102.66666666666666</v>
      </c>
      <c r="AA19" s="130">
        <f t="shared" si="10"/>
        <v>51.33333333333332</v>
      </c>
      <c r="AB19" s="130">
        <f t="shared" si="10"/>
        <v>-1.4210854715202004E-14</v>
      </c>
      <c r="AC19" s="124">
        <f>AB19</f>
        <v>-1.4210854715202004E-14</v>
      </c>
      <c r="AD19" s="130">
        <f aca="true" t="shared" si="11" ref="AD19:AI19">AC19+AD7-AD11-AD15</f>
        <v>0</v>
      </c>
      <c r="AE19" s="130">
        <f t="shared" si="11"/>
        <v>0</v>
      </c>
      <c r="AF19" s="130">
        <f t="shared" si="11"/>
        <v>0</v>
      </c>
      <c r="AG19" s="130">
        <f t="shared" si="11"/>
        <v>0</v>
      </c>
      <c r="AH19" s="130">
        <f t="shared" si="11"/>
        <v>0</v>
      </c>
      <c r="AI19" s="130">
        <f t="shared" si="11"/>
        <v>0</v>
      </c>
      <c r="AJ19" s="232"/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M30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19" sqref="D19"/>
    </sheetView>
  </sheetViews>
  <sheetFormatPr defaultColWidth="9.00390625" defaultRowHeight="12.75"/>
  <cols>
    <col min="1" max="1" width="5.625" style="71" customWidth="1"/>
    <col min="2" max="2" width="33.375" style="71" customWidth="1"/>
    <col min="3" max="3" width="10.00390625" style="71" customWidth="1"/>
    <col min="4" max="4" width="11.625" style="71" customWidth="1"/>
    <col min="5" max="5" width="12.75390625" style="71" customWidth="1"/>
    <col min="6" max="8" width="11.625" style="71" customWidth="1"/>
    <col min="9" max="9" width="11.625" style="71" hidden="1" customWidth="1"/>
    <col min="10" max="10" width="10.125" style="71" customWidth="1"/>
    <col min="11" max="11" width="12.00390625" style="71" customWidth="1"/>
    <col min="12" max="16384" width="9.125" style="71" customWidth="1"/>
  </cols>
  <sheetData>
    <row r="1" ht="5.25" customHeight="1"/>
    <row r="2" spans="1:11" ht="16.5" customHeight="1">
      <c r="A2" s="61" t="s">
        <v>146</v>
      </c>
      <c r="D2" s="161"/>
      <c r="E2" s="161"/>
      <c r="F2" s="161"/>
      <c r="G2" s="161"/>
      <c r="H2" s="161"/>
      <c r="I2" s="161"/>
      <c r="J2" s="161"/>
      <c r="K2" s="216" t="str">
        <f>Исх!C9</f>
        <v>тыс.тг.</v>
      </c>
    </row>
    <row r="3" spans="1:11" ht="8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3" ht="42" customHeight="1">
      <c r="A4" s="271" t="s">
        <v>33</v>
      </c>
      <c r="B4" s="224" t="s">
        <v>34</v>
      </c>
      <c r="C4" s="224" t="s">
        <v>35</v>
      </c>
      <c r="D4" s="147" t="s">
        <v>93</v>
      </c>
      <c r="E4" s="147" t="s">
        <v>94</v>
      </c>
      <c r="F4" s="147" t="s">
        <v>45</v>
      </c>
      <c r="G4" s="147" t="s">
        <v>46</v>
      </c>
      <c r="H4" s="147" t="s">
        <v>47</v>
      </c>
      <c r="I4" s="147" t="s">
        <v>48</v>
      </c>
      <c r="J4" s="147" t="s">
        <v>49</v>
      </c>
      <c r="K4" s="147" t="s">
        <v>42</v>
      </c>
      <c r="M4" s="242">
        <f>'1-Ф3'!B2</f>
        <v>0</v>
      </c>
    </row>
    <row r="5" spans="1:11" s="61" customFormat="1" ht="12.75">
      <c r="A5" s="140"/>
      <c r="B5" s="148" t="s">
        <v>92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74">
        <v>1</v>
      </c>
      <c r="B6" s="74" t="s">
        <v>305</v>
      </c>
      <c r="C6" s="74">
        <v>1</v>
      </c>
      <c r="D6" s="142">
        <v>30</v>
      </c>
      <c r="E6" s="149">
        <f>C6*D6</f>
        <v>30</v>
      </c>
      <c r="F6" s="149">
        <f>E6*$C$25</f>
        <v>3</v>
      </c>
      <c r="G6" s="149">
        <f>(E6-$C$29*C6-F6)*$C$27</f>
        <v>0.8340000000000001</v>
      </c>
      <c r="H6" s="149">
        <f>(E6-F6)*$C$26</f>
        <v>1.35</v>
      </c>
      <c r="I6" s="149">
        <f>(E6-F6)*$C$28-H6*0</f>
        <v>0</v>
      </c>
      <c r="J6" s="149">
        <f>E6-F6-G6</f>
        <v>26.166</v>
      </c>
      <c r="K6" s="150">
        <f>SUM(F6:J6)</f>
        <v>31.35</v>
      </c>
    </row>
    <row r="7" spans="1:11" ht="12.75">
      <c r="A7" s="74">
        <v>2</v>
      </c>
      <c r="B7" s="74" t="s">
        <v>306</v>
      </c>
      <c r="C7" s="74">
        <v>1</v>
      </c>
      <c r="D7" s="142">
        <v>30</v>
      </c>
      <c r="E7" s="149">
        <f>C7*D7</f>
        <v>30</v>
      </c>
      <c r="F7" s="149">
        <f>E7*$C$25</f>
        <v>3</v>
      </c>
      <c r="G7" s="149">
        <f>(E7-$C$29*C7-F7)*$C$27</f>
        <v>0.8340000000000001</v>
      </c>
      <c r="H7" s="149">
        <f>(E7-F7)*$C$26</f>
        <v>1.35</v>
      </c>
      <c r="I7" s="149">
        <f>(E7-F7)*$C$28-H7*0</f>
        <v>0</v>
      </c>
      <c r="J7" s="149">
        <f>E7-F7-G7</f>
        <v>26.166</v>
      </c>
      <c r="K7" s="150">
        <f>SUM(F7:J7)</f>
        <v>31.35</v>
      </c>
    </row>
    <row r="8" spans="1:11" s="61" customFormat="1" ht="12.75">
      <c r="A8" s="151"/>
      <c r="B8" s="151" t="s">
        <v>0</v>
      </c>
      <c r="C8" s="31">
        <f aca="true" t="shared" si="0" ref="C8:K8">SUM(C6:C7)</f>
        <v>2</v>
      </c>
      <c r="D8" s="31">
        <f t="shared" si="0"/>
        <v>60</v>
      </c>
      <c r="E8" s="31">
        <f t="shared" si="0"/>
        <v>60</v>
      </c>
      <c r="F8" s="31">
        <f t="shared" si="0"/>
        <v>6</v>
      </c>
      <c r="G8" s="31">
        <f t="shared" si="0"/>
        <v>1.6680000000000001</v>
      </c>
      <c r="H8" s="31">
        <f t="shared" si="0"/>
        <v>2.7</v>
      </c>
      <c r="I8" s="31">
        <f t="shared" si="0"/>
        <v>0</v>
      </c>
      <c r="J8" s="31">
        <f t="shared" si="0"/>
        <v>52.332</v>
      </c>
      <c r="K8" s="31">
        <f t="shared" si="0"/>
        <v>62.7</v>
      </c>
    </row>
    <row r="9" spans="1:11" s="61" customFormat="1" ht="12.75">
      <c r="A9" s="140"/>
      <c r="B9" s="140" t="s">
        <v>99</v>
      </c>
      <c r="C9" s="140"/>
      <c r="D9" s="141"/>
      <c r="E9" s="141"/>
      <c r="F9" s="141"/>
      <c r="G9" s="141"/>
      <c r="H9" s="141"/>
      <c r="I9" s="141"/>
      <c r="J9" s="141"/>
      <c r="K9" s="141"/>
    </row>
    <row r="10" spans="1:12" ht="12.75">
      <c r="A10" s="74">
        <v>1</v>
      </c>
      <c r="B10" s="74" t="s">
        <v>268</v>
      </c>
      <c r="C10" s="74">
        <v>3</v>
      </c>
      <c r="D10" s="142"/>
      <c r="E10" s="149">
        <f>C10*D10</f>
        <v>0</v>
      </c>
      <c r="F10" s="149">
        <f>E10*$C$25</f>
        <v>0</v>
      </c>
      <c r="G10" s="149">
        <f>(E10-$C$29*C10-F10)*$C$27*0</f>
        <v>0</v>
      </c>
      <c r="H10" s="149">
        <f>(E10-F10)*$C$26</f>
        <v>0</v>
      </c>
      <c r="I10" s="149">
        <f>(E10-F10)*$C$28-H10*0</f>
        <v>0</v>
      </c>
      <c r="J10" s="149">
        <f>E10-F10-G10</f>
        <v>0</v>
      </c>
      <c r="K10" s="150">
        <f>SUM(F10:J10)</f>
        <v>0</v>
      </c>
      <c r="L10" s="71" t="s">
        <v>444</v>
      </c>
    </row>
    <row r="11" spans="1:11" ht="12.75">
      <c r="A11" s="74">
        <v>2</v>
      </c>
      <c r="B11" s="74" t="s">
        <v>270</v>
      </c>
      <c r="C11" s="149">
        <v>2</v>
      </c>
      <c r="D11" s="142"/>
      <c r="E11" s="149">
        <f>C11*D11</f>
        <v>0</v>
      </c>
      <c r="F11" s="149">
        <f>E11*$C$25</f>
        <v>0</v>
      </c>
      <c r="G11" s="149">
        <f>(E11-$C$29*C11-F11)*$C$27*0</f>
        <v>0</v>
      </c>
      <c r="H11" s="149">
        <f>(E11-F11)*$C$26</f>
        <v>0</v>
      </c>
      <c r="I11" s="149">
        <f>(E11-F11)*$C$28-H11*0</f>
        <v>0</v>
      </c>
      <c r="J11" s="149">
        <f>E11-F11-G11</f>
        <v>0</v>
      </c>
      <c r="K11" s="150">
        <f>SUM(F11:J11)</f>
        <v>0</v>
      </c>
    </row>
    <row r="12" spans="1:11" ht="12.75">
      <c r="A12" s="74"/>
      <c r="B12" s="74"/>
      <c r="C12" s="149"/>
      <c r="D12" s="142"/>
      <c r="E12" s="149">
        <f>C12*D12</f>
        <v>0</v>
      </c>
      <c r="F12" s="149">
        <f>E12*$C$25</f>
        <v>0</v>
      </c>
      <c r="G12" s="149">
        <f>(E12-$C$29*C12-F12)*$C$27*0</f>
        <v>0</v>
      </c>
      <c r="H12" s="149">
        <f>(E12-F12)*$C$26</f>
        <v>0</v>
      </c>
      <c r="I12" s="149">
        <f>(E12-F12)*$C$28-H12*0</f>
        <v>0</v>
      </c>
      <c r="J12" s="149">
        <f>E12-F12-G12</f>
        <v>0</v>
      </c>
      <c r="K12" s="150">
        <f>SUM(F12:J12)</f>
        <v>0</v>
      </c>
    </row>
    <row r="13" spans="1:11" s="61" customFormat="1" ht="12.75">
      <c r="A13" s="151"/>
      <c r="B13" s="152" t="s">
        <v>0</v>
      </c>
      <c r="C13" s="151">
        <f aca="true" t="shared" si="1" ref="C13:K13">SUM(C9:C12)</f>
        <v>5</v>
      </c>
      <c r="D13" s="150">
        <f t="shared" si="1"/>
        <v>0</v>
      </c>
      <c r="E13" s="150">
        <f t="shared" si="1"/>
        <v>0</v>
      </c>
      <c r="F13" s="150">
        <f t="shared" si="1"/>
        <v>0</v>
      </c>
      <c r="G13" s="150">
        <f t="shared" si="1"/>
        <v>0</v>
      </c>
      <c r="H13" s="150">
        <f t="shared" si="1"/>
        <v>0</v>
      </c>
      <c r="I13" s="150">
        <f t="shared" si="1"/>
        <v>0</v>
      </c>
      <c r="J13" s="150">
        <f t="shared" si="1"/>
        <v>0</v>
      </c>
      <c r="K13" s="150">
        <f t="shared" si="1"/>
        <v>0</v>
      </c>
    </row>
    <row r="14" spans="1:11" s="61" customFormat="1" ht="12.75">
      <c r="A14" s="140"/>
      <c r="B14" s="140" t="s">
        <v>100</v>
      </c>
      <c r="C14" s="140"/>
      <c r="D14" s="141"/>
      <c r="E14" s="141"/>
      <c r="F14" s="141"/>
      <c r="G14" s="141"/>
      <c r="H14" s="141"/>
      <c r="I14" s="141"/>
      <c r="J14" s="141"/>
      <c r="K14" s="141"/>
    </row>
    <row r="15" spans="1:11" ht="12.75">
      <c r="A15" s="74">
        <v>1</v>
      </c>
      <c r="B15" s="74" t="s">
        <v>269</v>
      </c>
      <c r="C15" s="74">
        <v>1</v>
      </c>
      <c r="D15" s="142">
        <v>25</v>
      </c>
      <c r="E15" s="149">
        <f>C15*D15</f>
        <v>25</v>
      </c>
      <c r="F15" s="149">
        <f>E15*$C$25</f>
        <v>2.5</v>
      </c>
      <c r="G15" s="149">
        <f>(E15-$C$29*C15-F15)*$C$27</f>
        <v>0.384</v>
      </c>
      <c r="H15" s="149">
        <f>(E15-F15)*$C$26</f>
        <v>1.125</v>
      </c>
      <c r="I15" s="149">
        <f>(E15-F15)*$C$28-H15*0</f>
        <v>0</v>
      </c>
      <c r="J15" s="149">
        <f>E15-F15-G15</f>
        <v>22.116</v>
      </c>
      <c r="K15" s="150">
        <f>SUM(F15:J15)</f>
        <v>26.125</v>
      </c>
    </row>
    <row r="16" spans="1:11" ht="12.75">
      <c r="A16" s="74"/>
      <c r="B16" s="74"/>
      <c r="C16" s="149"/>
      <c r="D16" s="142"/>
      <c r="E16" s="149">
        <f>C16*D16</f>
        <v>0</v>
      </c>
      <c r="F16" s="149">
        <f>E16*$C$25</f>
        <v>0</v>
      </c>
      <c r="G16" s="149">
        <f>(E16-$C$29*C16-F16)*$C$27</f>
        <v>0</v>
      </c>
      <c r="H16" s="149">
        <f>(E16-F16)*$C$26</f>
        <v>0</v>
      </c>
      <c r="I16" s="149">
        <f>(E16-F16)*$C$28-H16*0</f>
        <v>0</v>
      </c>
      <c r="J16" s="149">
        <f>E16-F16-G16</f>
        <v>0</v>
      </c>
      <c r="K16" s="150">
        <f>SUM(F16:J16)</f>
        <v>0</v>
      </c>
    </row>
    <row r="17" spans="1:11" s="61" customFormat="1" ht="12.75">
      <c r="A17" s="151"/>
      <c r="B17" s="152" t="s">
        <v>0</v>
      </c>
      <c r="C17" s="151">
        <f aca="true" t="shared" si="2" ref="C17:K17">SUM(C15:C16)</f>
        <v>1</v>
      </c>
      <c r="D17" s="150">
        <f t="shared" si="2"/>
        <v>25</v>
      </c>
      <c r="E17" s="150">
        <f t="shared" si="2"/>
        <v>25</v>
      </c>
      <c r="F17" s="150">
        <f t="shared" si="2"/>
        <v>2.5</v>
      </c>
      <c r="G17" s="150">
        <f t="shared" si="2"/>
        <v>0.384</v>
      </c>
      <c r="H17" s="150">
        <f t="shared" si="2"/>
        <v>1.125</v>
      </c>
      <c r="I17" s="150">
        <f t="shared" si="2"/>
        <v>0</v>
      </c>
      <c r="J17" s="150">
        <f t="shared" si="2"/>
        <v>22.116</v>
      </c>
      <c r="K17" s="150">
        <f t="shared" si="2"/>
        <v>26.125</v>
      </c>
    </row>
    <row r="18" spans="1:11" s="61" customFormat="1" ht="12.75">
      <c r="A18" s="140"/>
      <c r="B18" s="140" t="s">
        <v>108</v>
      </c>
      <c r="C18" s="140"/>
      <c r="D18" s="141"/>
      <c r="E18" s="141"/>
      <c r="F18" s="141"/>
      <c r="G18" s="141"/>
      <c r="H18" s="141"/>
      <c r="I18" s="141"/>
      <c r="J18" s="141"/>
      <c r="K18" s="141"/>
    </row>
    <row r="19" spans="1:13" ht="12.75">
      <c r="A19" s="74">
        <v>1</v>
      </c>
      <c r="B19" s="74" t="s">
        <v>303</v>
      </c>
      <c r="C19" s="74">
        <v>4</v>
      </c>
      <c r="D19" s="142">
        <v>20</v>
      </c>
      <c r="E19" s="149">
        <f>C19*D19</f>
        <v>80</v>
      </c>
      <c r="F19" s="149">
        <f>E19*$C$25</f>
        <v>8</v>
      </c>
      <c r="G19" s="149">
        <f>(E19-$C$29*C19-F19)*$C$27</f>
        <v>-0.26400000000000007</v>
      </c>
      <c r="H19" s="149">
        <f>(E19-F19)*$C$26</f>
        <v>3.6</v>
      </c>
      <c r="I19" s="149">
        <f>(E19-F19)*$C$28-H19*0</f>
        <v>0</v>
      </c>
      <c r="J19" s="149">
        <f>E19-F19-G19</f>
        <v>72.264</v>
      </c>
      <c r="K19" s="150">
        <f>SUM(F19:J19)</f>
        <v>83.6</v>
      </c>
      <c r="M19" s="153"/>
    </row>
    <row r="20" spans="1:11" ht="12.75">
      <c r="A20" s="74"/>
      <c r="B20" s="74"/>
      <c r="C20" s="149"/>
      <c r="D20" s="142"/>
      <c r="E20" s="149">
        <f>C20*D20</f>
        <v>0</v>
      </c>
      <c r="F20" s="149">
        <f>E20*$C$25</f>
        <v>0</v>
      </c>
      <c r="G20" s="149">
        <f>(E20-$C$29*C20-F20)*$C$27</f>
        <v>0</v>
      </c>
      <c r="H20" s="149">
        <f>(E20-F20)*$C$26</f>
        <v>0</v>
      </c>
      <c r="I20" s="149">
        <f>(E20-F20)*$C$28-H20*0</f>
        <v>0</v>
      </c>
      <c r="J20" s="149">
        <f>E20-F20-G20</f>
        <v>0</v>
      </c>
      <c r="K20" s="150">
        <f>SUM(F20:J20)</f>
        <v>0</v>
      </c>
    </row>
    <row r="21" spans="1:11" s="61" customFormat="1" ht="12.75">
      <c r="A21" s="151"/>
      <c r="B21" s="152" t="s">
        <v>0</v>
      </c>
      <c r="C21" s="151">
        <f aca="true" t="shared" si="3" ref="C21:K21">SUM(C19:C20)</f>
        <v>4</v>
      </c>
      <c r="D21" s="150">
        <f t="shared" si="3"/>
        <v>20</v>
      </c>
      <c r="E21" s="150">
        <f t="shared" si="3"/>
        <v>80</v>
      </c>
      <c r="F21" s="150">
        <f t="shared" si="3"/>
        <v>8</v>
      </c>
      <c r="G21" s="150">
        <f t="shared" si="3"/>
        <v>-0.26400000000000007</v>
      </c>
      <c r="H21" s="150">
        <f t="shared" si="3"/>
        <v>3.6</v>
      </c>
      <c r="I21" s="150">
        <f t="shared" si="3"/>
        <v>0</v>
      </c>
      <c r="J21" s="150">
        <f t="shared" si="3"/>
        <v>72.264</v>
      </c>
      <c r="K21" s="150">
        <f t="shared" si="3"/>
        <v>83.6</v>
      </c>
    </row>
    <row r="22" spans="1:11" ht="12.75" hidden="1">
      <c r="A22" s="74"/>
      <c r="B22" s="74"/>
      <c r="C22" s="74"/>
      <c r="D22" s="149"/>
      <c r="E22" s="149"/>
      <c r="F22" s="149"/>
      <c r="G22" s="149"/>
      <c r="H22" s="149"/>
      <c r="I22" s="149"/>
      <c r="J22" s="149"/>
      <c r="K22" s="149"/>
    </row>
    <row r="23" spans="1:11" s="61" customFormat="1" ht="12.75">
      <c r="A23" s="151"/>
      <c r="B23" s="151" t="s">
        <v>109</v>
      </c>
      <c r="C23" s="150">
        <f aca="true" t="shared" si="4" ref="C23:K23">C8+C13+C17+C21</f>
        <v>12</v>
      </c>
      <c r="D23" s="150">
        <f t="shared" si="4"/>
        <v>105</v>
      </c>
      <c r="E23" s="150">
        <f t="shared" si="4"/>
        <v>165</v>
      </c>
      <c r="F23" s="150">
        <f t="shared" si="4"/>
        <v>16.5</v>
      </c>
      <c r="G23" s="150">
        <f t="shared" si="4"/>
        <v>1.788</v>
      </c>
      <c r="H23" s="150">
        <f t="shared" si="4"/>
        <v>7.425000000000001</v>
      </c>
      <c r="I23" s="150">
        <f t="shared" si="4"/>
        <v>0</v>
      </c>
      <c r="J23" s="150">
        <f t="shared" si="4"/>
        <v>146.712</v>
      </c>
      <c r="K23" s="154">
        <f t="shared" si="4"/>
        <v>172.425</v>
      </c>
    </row>
    <row r="25" spans="2:10" ht="12.75">
      <c r="B25" s="74" t="s">
        <v>45</v>
      </c>
      <c r="C25" s="155">
        <f>Исх!C11</f>
        <v>0.1</v>
      </c>
      <c r="D25" s="156"/>
      <c r="E25" s="156"/>
      <c r="F25" s="156"/>
      <c r="G25" s="353"/>
      <c r="H25" s="353"/>
      <c r="I25" s="353"/>
      <c r="J25" s="353"/>
    </row>
    <row r="26" spans="2:10" ht="12.75">
      <c r="B26" s="74" t="s">
        <v>50</v>
      </c>
      <c r="C26" s="155">
        <f>Исх!C12</f>
        <v>0.05</v>
      </c>
      <c r="D26" s="156"/>
      <c r="E26" s="156"/>
      <c r="F26" s="156"/>
      <c r="G26" s="156"/>
      <c r="H26" s="156"/>
      <c r="I26" s="157"/>
      <c r="J26" s="158"/>
    </row>
    <row r="27" spans="2:10" ht="12.75">
      <c r="B27" s="74" t="s">
        <v>46</v>
      </c>
      <c r="C27" s="155">
        <f>Исх!C13</f>
        <v>0.1</v>
      </c>
      <c r="D27" s="156"/>
      <c r="E27" s="156"/>
      <c r="F27" s="156"/>
      <c r="G27" s="156"/>
      <c r="H27" s="156"/>
      <c r="I27" s="157"/>
      <c r="J27" s="158"/>
    </row>
    <row r="28" spans="2:10" ht="12.75">
      <c r="B28" s="74" t="s">
        <v>48</v>
      </c>
      <c r="C28" s="155">
        <f>Исх!C14</f>
        <v>0</v>
      </c>
      <c r="D28" s="159"/>
      <c r="E28" s="159"/>
      <c r="F28" s="156"/>
      <c r="G28" s="156"/>
      <c r="H28" s="156"/>
      <c r="I28" s="157"/>
      <c r="J28" s="158"/>
    </row>
    <row r="29" spans="2:3" ht="12.75">
      <c r="B29" s="74" t="s">
        <v>114</v>
      </c>
      <c r="C29" s="160">
        <f>Исх!C15</f>
        <v>18.66</v>
      </c>
    </row>
    <row r="30" spans="7:10" ht="12.75">
      <c r="G30" s="156"/>
      <c r="H30" s="156"/>
      <c r="I30" s="157"/>
      <c r="J30" s="158"/>
    </row>
  </sheetData>
  <sheetProtection/>
  <mergeCells count="1">
    <mergeCell ref="G25:J25"/>
  </mergeCells>
  <printOptions/>
  <pageMargins left="0.2755905511811024" right="0.2755905511811024" top="0.35433070866141736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V49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M56" sqref="M56"/>
    </sheetView>
  </sheetViews>
  <sheetFormatPr defaultColWidth="8.875" defaultRowHeight="12.75" outlineLevelRow="1"/>
  <cols>
    <col min="1" max="1" width="34.25390625" style="71" customWidth="1"/>
    <col min="2" max="2" width="13.125" style="71" customWidth="1"/>
    <col min="3" max="3" width="12.25390625" style="71" customWidth="1"/>
    <col min="4" max="7" width="10.75390625" style="71" customWidth="1"/>
    <col min="8" max="10" width="8.875" style="71" customWidth="1"/>
    <col min="11" max="11" width="5.625" style="71" customWidth="1"/>
    <col min="12" max="12" width="34.25390625" style="71" customWidth="1"/>
    <col min="13" max="13" width="13.125" style="71" customWidth="1"/>
    <col min="14" max="14" width="12.25390625" style="71" customWidth="1"/>
    <col min="15" max="18" width="10.75390625" style="71" customWidth="1"/>
    <col min="19" max="16384" width="8.875" style="71" customWidth="1"/>
  </cols>
  <sheetData>
    <row r="1" spans="1:12" ht="12.75">
      <c r="A1" s="61" t="s">
        <v>150</v>
      </c>
      <c r="L1" s="61" t="s">
        <v>473</v>
      </c>
    </row>
    <row r="2" spans="1:12" ht="12.75">
      <c r="A2" s="61"/>
      <c r="L2" s="61"/>
    </row>
    <row r="3" spans="1:22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3:21" ht="12.75">
      <c r="C4" s="137"/>
      <c r="D4" s="137"/>
      <c r="E4" s="137"/>
      <c r="F4" s="137"/>
      <c r="G4" s="137"/>
      <c r="H4" s="137"/>
      <c r="J4" s="144" t="str">
        <f>Исх!C9</f>
        <v>тыс.тг.</v>
      </c>
      <c r="N4" s="137"/>
      <c r="O4" s="137"/>
      <c r="P4" s="137"/>
      <c r="Q4" s="137"/>
      <c r="R4" s="137"/>
      <c r="S4" s="137"/>
      <c r="U4" s="144" t="str">
        <f>J4</f>
        <v>тыс.тг.</v>
      </c>
    </row>
    <row r="5" spans="1:21" ht="12.75">
      <c r="A5" s="218" t="s">
        <v>41</v>
      </c>
      <c r="B5" s="227"/>
      <c r="C5" s="227">
        <v>2013</v>
      </c>
      <c r="D5" s="227">
        <f aca="true" t="shared" si="0" ref="D5:J5">C5+1</f>
        <v>2014</v>
      </c>
      <c r="E5" s="227">
        <f t="shared" si="0"/>
        <v>2015</v>
      </c>
      <c r="F5" s="227">
        <f t="shared" si="0"/>
        <v>2016</v>
      </c>
      <c r="G5" s="227">
        <f t="shared" si="0"/>
        <v>2017</v>
      </c>
      <c r="H5" s="227">
        <f t="shared" si="0"/>
        <v>2018</v>
      </c>
      <c r="I5" s="227">
        <f t="shared" si="0"/>
        <v>2019</v>
      </c>
      <c r="J5" s="227">
        <f t="shared" si="0"/>
        <v>2020</v>
      </c>
      <c r="L5" s="218" t="s">
        <v>41</v>
      </c>
      <c r="M5" s="227"/>
      <c r="N5" s="227">
        <f>C5</f>
        <v>2013</v>
      </c>
      <c r="O5" s="227">
        <f aca="true" t="shared" si="1" ref="O5:U5">D5</f>
        <v>2014</v>
      </c>
      <c r="P5" s="227">
        <f t="shared" si="1"/>
        <v>2015</v>
      </c>
      <c r="Q5" s="227">
        <f t="shared" si="1"/>
        <v>2016</v>
      </c>
      <c r="R5" s="227">
        <f t="shared" si="1"/>
        <v>2017</v>
      </c>
      <c r="S5" s="227">
        <f t="shared" si="1"/>
        <v>2018</v>
      </c>
      <c r="T5" s="227">
        <f t="shared" si="1"/>
        <v>2019</v>
      </c>
      <c r="U5" s="227">
        <f t="shared" si="1"/>
        <v>2020</v>
      </c>
    </row>
    <row r="6" spans="1:21" ht="12.75">
      <c r="A6" s="74" t="s">
        <v>42</v>
      </c>
      <c r="B6" s="143"/>
      <c r="C6" s="149">
        <f>ФОТ!K23</f>
        <v>172.425</v>
      </c>
      <c r="D6" s="149">
        <f aca="true" t="shared" si="2" ref="D6:J6">C6</f>
        <v>172.425</v>
      </c>
      <c r="E6" s="149">
        <f t="shared" si="2"/>
        <v>172.425</v>
      </c>
      <c r="F6" s="149">
        <f t="shared" si="2"/>
        <v>172.425</v>
      </c>
      <c r="G6" s="149">
        <f t="shared" si="2"/>
        <v>172.425</v>
      </c>
      <c r="H6" s="149">
        <f t="shared" si="2"/>
        <v>172.425</v>
      </c>
      <c r="I6" s="149">
        <f t="shared" si="2"/>
        <v>172.425</v>
      </c>
      <c r="J6" s="149">
        <f t="shared" si="2"/>
        <v>172.425</v>
      </c>
      <c r="L6" s="74" t="s">
        <v>42</v>
      </c>
      <c r="M6" s="143"/>
      <c r="N6" s="149">
        <f>C6*3</f>
        <v>517.2750000000001</v>
      </c>
      <c r="O6" s="149">
        <f>D6*12</f>
        <v>2069.1000000000004</v>
      </c>
      <c r="P6" s="149">
        <f aca="true" t="shared" si="3" ref="P6:U14">E6*12</f>
        <v>2069.1000000000004</v>
      </c>
      <c r="Q6" s="149">
        <f t="shared" si="3"/>
        <v>2069.1000000000004</v>
      </c>
      <c r="R6" s="149">
        <f t="shared" si="3"/>
        <v>2069.1000000000004</v>
      </c>
      <c r="S6" s="149">
        <f t="shared" si="3"/>
        <v>2069.1000000000004</v>
      </c>
      <c r="T6" s="149">
        <f t="shared" si="3"/>
        <v>2069.1000000000004</v>
      </c>
      <c r="U6" s="149">
        <f t="shared" si="3"/>
        <v>2069.1000000000004</v>
      </c>
    </row>
    <row r="7" spans="1:21" ht="12.75">
      <c r="A7" s="74" t="s">
        <v>101</v>
      </c>
      <c r="B7" s="143"/>
      <c r="C7" s="142">
        <v>8</v>
      </c>
      <c r="D7" s="149">
        <f aca="true" t="shared" si="4" ref="D7:J8">C7+C7*$D$3</f>
        <v>8</v>
      </c>
      <c r="E7" s="149">
        <f t="shared" si="4"/>
        <v>8</v>
      </c>
      <c r="F7" s="149">
        <f t="shared" si="4"/>
        <v>8</v>
      </c>
      <c r="G7" s="149">
        <f t="shared" si="4"/>
        <v>8</v>
      </c>
      <c r="H7" s="149">
        <f t="shared" si="4"/>
        <v>8</v>
      </c>
      <c r="I7" s="149">
        <f t="shared" si="4"/>
        <v>8</v>
      </c>
      <c r="J7" s="149">
        <f t="shared" si="4"/>
        <v>8</v>
      </c>
      <c r="L7" s="74" t="s">
        <v>101</v>
      </c>
      <c r="M7" s="143"/>
      <c r="N7" s="149">
        <f aca="true" t="shared" si="5" ref="N7:N14">C7*3</f>
        <v>24</v>
      </c>
      <c r="O7" s="149">
        <f aca="true" t="shared" si="6" ref="O7:O14">D7*12</f>
        <v>96</v>
      </c>
      <c r="P7" s="149">
        <f t="shared" si="3"/>
        <v>96</v>
      </c>
      <c r="Q7" s="149">
        <f t="shared" si="3"/>
        <v>96</v>
      </c>
      <c r="R7" s="149">
        <f t="shared" si="3"/>
        <v>96</v>
      </c>
      <c r="S7" s="149">
        <f t="shared" si="3"/>
        <v>96</v>
      </c>
      <c r="T7" s="149">
        <f t="shared" si="3"/>
        <v>96</v>
      </c>
      <c r="U7" s="149">
        <f t="shared" si="3"/>
        <v>96</v>
      </c>
    </row>
    <row r="8" spans="1:21" ht="12.75">
      <c r="A8" s="162" t="s">
        <v>271</v>
      </c>
      <c r="B8" s="226"/>
      <c r="C8" s="142">
        <v>15</v>
      </c>
      <c r="D8" s="149">
        <f t="shared" si="4"/>
        <v>15</v>
      </c>
      <c r="E8" s="149">
        <f t="shared" si="4"/>
        <v>15</v>
      </c>
      <c r="F8" s="149">
        <f t="shared" si="4"/>
        <v>15</v>
      </c>
      <c r="G8" s="149">
        <f t="shared" si="4"/>
        <v>15</v>
      </c>
      <c r="H8" s="149">
        <f t="shared" si="4"/>
        <v>15</v>
      </c>
      <c r="I8" s="149">
        <f t="shared" si="4"/>
        <v>15</v>
      </c>
      <c r="J8" s="149">
        <f t="shared" si="4"/>
        <v>15</v>
      </c>
      <c r="L8" s="162" t="s">
        <v>271</v>
      </c>
      <c r="M8" s="226"/>
      <c r="N8" s="149">
        <f t="shared" si="5"/>
        <v>45</v>
      </c>
      <c r="O8" s="149">
        <f t="shared" si="6"/>
        <v>180</v>
      </c>
      <c r="P8" s="149">
        <f t="shared" si="3"/>
        <v>180</v>
      </c>
      <c r="Q8" s="149">
        <f t="shared" si="3"/>
        <v>180</v>
      </c>
      <c r="R8" s="149">
        <f t="shared" si="3"/>
        <v>180</v>
      </c>
      <c r="S8" s="149">
        <f t="shared" si="3"/>
        <v>180</v>
      </c>
      <c r="T8" s="149">
        <f t="shared" si="3"/>
        <v>180</v>
      </c>
      <c r="U8" s="149">
        <f t="shared" si="3"/>
        <v>180</v>
      </c>
    </row>
    <row r="9" spans="1:21" ht="12.75">
      <c r="A9" s="162" t="s">
        <v>115</v>
      </c>
      <c r="B9" s="226" t="s">
        <v>190</v>
      </c>
      <c r="C9" s="142">
        <v>4.5</v>
      </c>
      <c r="D9" s="149">
        <f aca="true" t="shared" si="7" ref="D9:J9">C9+C9*$D$3</f>
        <v>4.5</v>
      </c>
      <c r="E9" s="149">
        <f t="shared" si="7"/>
        <v>4.5</v>
      </c>
      <c r="F9" s="149">
        <f t="shared" si="7"/>
        <v>4.5</v>
      </c>
      <c r="G9" s="149">
        <f t="shared" si="7"/>
        <v>4.5</v>
      </c>
      <c r="H9" s="149">
        <f t="shared" si="7"/>
        <v>4.5</v>
      </c>
      <c r="I9" s="149">
        <f t="shared" si="7"/>
        <v>4.5</v>
      </c>
      <c r="J9" s="149">
        <f t="shared" si="7"/>
        <v>4.5</v>
      </c>
      <c r="L9" s="162" t="s">
        <v>115</v>
      </c>
      <c r="M9" s="226" t="s">
        <v>190</v>
      </c>
      <c r="N9" s="149">
        <f t="shared" si="5"/>
        <v>13.5</v>
      </c>
      <c r="O9" s="149">
        <f t="shared" si="6"/>
        <v>54</v>
      </c>
      <c r="P9" s="149">
        <f t="shared" si="3"/>
        <v>54</v>
      </c>
      <c r="Q9" s="149">
        <f t="shared" si="3"/>
        <v>54</v>
      </c>
      <c r="R9" s="149">
        <f t="shared" si="3"/>
        <v>54</v>
      </c>
      <c r="S9" s="149">
        <f t="shared" si="3"/>
        <v>54</v>
      </c>
      <c r="T9" s="149">
        <f t="shared" si="3"/>
        <v>54</v>
      </c>
      <c r="U9" s="149">
        <f t="shared" si="3"/>
        <v>54</v>
      </c>
    </row>
    <row r="10" spans="1:21" ht="12.75">
      <c r="A10" s="162" t="s">
        <v>110</v>
      </c>
      <c r="B10" s="143"/>
      <c r="C10" s="142">
        <v>10</v>
      </c>
      <c r="D10" s="149">
        <f aca="true" t="shared" si="8" ref="D10:J14">C10+C10*$D$3</f>
        <v>10</v>
      </c>
      <c r="E10" s="149">
        <f t="shared" si="8"/>
        <v>10</v>
      </c>
      <c r="F10" s="149">
        <f t="shared" si="8"/>
        <v>10</v>
      </c>
      <c r="G10" s="149">
        <f t="shared" si="8"/>
        <v>10</v>
      </c>
      <c r="H10" s="149">
        <f t="shared" si="8"/>
        <v>10</v>
      </c>
      <c r="I10" s="149">
        <f t="shared" si="8"/>
        <v>10</v>
      </c>
      <c r="J10" s="149">
        <f t="shared" si="8"/>
        <v>10</v>
      </c>
      <c r="L10" s="162" t="s">
        <v>110</v>
      </c>
      <c r="M10" s="143"/>
      <c r="N10" s="149">
        <f t="shared" si="5"/>
        <v>30</v>
      </c>
      <c r="O10" s="149">
        <f t="shared" si="6"/>
        <v>120</v>
      </c>
      <c r="P10" s="149">
        <f t="shared" si="3"/>
        <v>120</v>
      </c>
      <c r="Q10" s="149">
        <f t="shared" si="3"/>
        <v>120</v>
      </c>
      <c r="R10" s="149">
        <f t="shared" si="3"/>
        <v>120</v>
      </c>
      <c r="S10" s="149">
        <f t="shared" si="3"/>
        <v>120</v>
      </c>
      <c r="T10" s="149">
        <f t="shared" si="3"/>
        <v>120</v>
      </c>
      <c r="U10" s="149">
        <f t="shared" si="3"/>
        <v>120</v>
      </c>
    </row>
    <row r="11" spans="1:21" ht="12.75">
      <c r="A11" s="74" t="s">
        <v>43</v>
      </c>
      <c r="B11" s="143"/>
      <c r="C11" s="142">
        <v>5</v>
      </c>
      <c r="D11" s="149">
        <f t="shared" si="8"/>
        <v>5</v>
      </c>
      <c r="E11" s="149">
        <f t="shared" si="8"/>
        <v>5</v>
      </c>
      <c r="F11" s="149">
        <f t="shared" si="8"/>
        <v>5</v>
      </c>
      <c r="G11" s="149">
        <f t="shared" si="8"/>
        <v>5</v>
      </c>
      <c r="H11" s="149">
        <f t="shared" si="8"/>
        <v>5</v>
      </c>
      <c r="I11" s="149">
        <f t="shared" si="8"/>
        <v>5</v>
      </c>
      <c r="J11" s="149">
        <f t="shared" si="8"/>
        <v>5</v>
      </c>
      <c r="L11" s="74" t="s">
        <v>43</v>
      </c>
      <c r="M11" s="143"/>
      <c r="N11" s="149">
        <f t="shared" si="5"/>
        <v>15</v>
      </c>
      <c r="O11" s="149">
        <f t="shared" si="6"/>
        <v>60</v>
      </c>
      <c r="P11" s="149">
        <f t="shared" si="3"/>
        <v>60</v>
      </c>
      <c r="Q11" s="149">
        <f t="shared" si="3"/>
        <v>60</v>
      </c>
      <c r="R11" s="149">
        <f t="shared" si="3"/>
        <v>60</v>
      </c>
      <c r="S11" s="149">
        <f t="shared" si="3"/>
        <v>60</v>
      </c>
      <c r="T11" s="149">
        <f t="shared" si="3"/>
        <v>60</v>
      </c>
      <c r="U11" s="149">
        <f t="shared" si="3"/>
        <v>60</v>
      </c>
    </row>
    <row r="12" spans="1:21" ht="12.75">
      <c r="A12" s="74" t="s">
        <v>272</v>
      </c>
      <c r="B12" s="226"/>
      <c r="C12" s="142">
        <v>10</v>
      </c>
      <c r="D12" s="149">
        <f aca="true" t="shared" si="9" ref="D12:J12">C12+C12*$D$3</f>
        <v>10</v>
      </c>
      <c r="E12" s="149">
        <f t="shared" si="9"/>
        <v>10</v>
      </c>
      <c r="F12" s="149">
        <f t="shared" si="9"/>
        <v>10</v>
      </c>
      <c r="G12" s="149">
        <f t="shared" si="9"/>
        <v>10</v>
      </c>
      <c r="H12" s="149">
        <f t="shared" si="9"/>
        <v>10</v>
      </c>
      <c r="I12" s="149">
        <f t="shared" si="9"/>
        <v>10</v>
      </c>
      <c r="J12" s="149">
        <f t="shared" si="9"/>
        <v>10</v>
      </c>
      <c r="L12" s="74" t="s">
        <v>272</v>
      </c>
      <c r="M12" s="226"/>
      <c r="N12" s="149">
        <f t="shared" si="5"/>
        <v>30</v>
      </c>
      <c r="O12" s="149">
        <f t="shared" si="6"/>
        <v>120</v>
      </c>
      <c r="P12" s="149">
        <f t="shared" si="3"/>
        <v>120</v>
      </c>
      <c r="Q12" s="149">
        <f t="shared" si="3"/>
        <v>120</v>
      </c>
      <c r="R12" s="149">
        <f t="shared" si="3"/>
        <v>120</v>
      </c>
      <c r="S12" s="149">
        <f t="shared" si="3"/>
        <v>120</v>
      </c>
      <c r="T12" s="149">
        <f t="shared" si="3"/>
        <v>120</v>
      </c>
      <c r="U12" s="149">
        <f t="shared" si="3"/>
        <v>120</v>
      </c>
    </row>
    <row r="13" spans="1:21" ht="12.75">
      <c r="A13" s="74" t="s">
        <v>304</v>
      </c>
      <c r="B13" s="143"/>
      <c r="C13" s="142">
        <v>20</v>
      </c>
      <c r="D13" s="149">
        <f t="shared" si="8"/>
        <v>20</v>
      </c>
      <c r="E13" s="149">
        <f t="shared" si="8"/>
        <v>20</v>
      </c>
      <c r="F13" s="149">
        <f t="shared" si="8"/>
        <v>20</v>
      </c>
      <c r="G13" s="149">
        <f t="shared" si="8"/>
        <v>20</v>
      </c>
      <c r="H13" s="149">
        <f t="shared" si="8"/>
        <v>20</v>
      </c>
      <c r="I13" s="149">
        <f t="shared" si="8"/>
        <v>20</v>
      </c>
      <c r="J13" s="149">
        <f t="shared" si="8"/>
        <v>20</v>
      </c>
      <c r="L13" s="74" t="s">
        <v>304</v>
      </c>
      <c r="M13" s="143"/>
      <c r="N13" s="149">
        <f t="shared" si="5"/>
        <v>60</v>
      </c>
      <c r="O13" s="149">
        <f t="shared" si="6"/>
        <v>240</v>
      </c>
      <c r="P13" s="149">
        <f t="shared" si="3"/>
        <v>240</v>
      </c>
      <c r="Q13" s="149">
        <f t="shared" si="3"/>
        <v>240</v>
      </c>
      <c r="R13" s="149">
        <f t="shared" si="3"/>
        <v>240</v>
      </c>
      <c r="S13" s="149">
        <f t="shared" si="3"/>
        <v>240</v>
      </c>
      <c r="T13" s="149">
        <f t="shared" si="3"/>
        <v>240</v>
      </c>
      <c r="U13" s="149">
        <f t="shared" si="3"/>
        <v>240</v>
      </c>
    </row>
    <row r="14" spans="1:21" ht="12.75">
      <c r="A14" s="74" t="s">
        <v>44</v>
      </c>
      <c r="B14" s="149"/>
      <c r="C14" s="142">
        <v>20</v>
      </c>
      <c r="D14" s="149">
        <f t="shared" si="8"/>
        <v>20</v>
      </c>
      <c r="E14" s="149">
        <f t="shared" si="8"/>
        <v>20</v>
      </c>
      <c r="F14" s="149">
        <f t="shared" si="8"/>
        <v>20</v>
      </c>
      <c r="G14" s="149">
        <f t="shared" si="8"/>
        <v>20</v>
      </c>
      <c r="H14" s="149">
        <f t="shared" si="8"/>
        <v>20</v>
      </c>
      <c r="I14" s="149">
        <f t="shared" si="8"/>
        <v>20</v>
      </c>
      <c r="J14" s="149">
        <f t="shared" si="8"/>
        <v>20</v>
      </c>
      <c r="L14" s="74" t="s">
        <v>44</v>
      </c>
      <c r="M14" s="149"/>
      <c r="N14" s="149">
        <f t="shared" si="5"/>
        <v>60</v>
      </c>
      <c r="O14" s="149">
        <f t="shared" si="6"/>
        <v>240</v>
      </c>
      <c r="P14" s="149">
        <f t="shared" si="3"/>
        <v>240</v>
      </c>
      <c r="Q14" s="149">
        <f t="shared" si="3"/>
        <v>240</v>
      </c>
      <c r="R14" s="149">
        <f t="shared" si="3"/>
        <v>240</v>
      </c>
      <c r="S14" s="149">
        <f t="shared" si="3"/>
        <v>240</v>
      </c>
      <c r="T14" s="149">
        <f t="shared" si="3"/>
        <v>240</v>
      </c>
      <c r="U14" s="149">
        <f t="shared" si="3"/>
        <v>240</v>
      </c>
    </row>
    <row r="15" spans="1:21" ht="12.75">
      <c r="A15" s="218" t="s">
        <v>0</v>
      </c>
      <c r="B15" s="219"/>
      <c r="C15" s="219">
        <f aca="true" t="shared" si="10" ref="C15:J15">SUM(C6:C14)</f>
        <v>264.925</v>
      </c>
      <c r="D15" s="219">
        <f t="shared" si="10"/>
        <v>264.925</v>
      </c>
      <c r="E15" s="219">
        <f t="shared" si="10"/>
        <v>264.925</v>
      </c>
      <c r="F15" s="219">
        <f t="shared" si="10"/>
        <v>264.925</v>
      </c>
      <c r="G15" s="219">
        <f t="shared" si="10"/>
        <v>264.925</v>
      </c>
      <c r="H15" s="219">
        <f t="shared" si="10"/>
        <v>264.925</v>
      </c>
      <c r="I15" s="219">
        <f t="shared" si="10"/>
        <v>264.925</v>
      </c>
      <c r="J15" s="219">
        <f t="shared" si="10"/>
        <v>264.925</v>
      </c>
      <c r="L15" s="218" t="s">
        <v>0</v>
      </c>
      <c r="M15" s="219"/>
      <c r="N15" s="219">
        <f aca="true" t="shared" si="11" ref="N15:U15">SUM(N6:N14)</f>
        <v>794.7750000000001</v>
      </c>
      <c r="O15" s="219">
        <f t="shared" si="11"/>
        <v>3179.1000000000004</v>
      </c>
      <c r="P15" s="219">
        <f t="shared" si="11"/>
        <v>3179.1000000000004</v>
      </c>
      <c r="Q15" s="219">
        <f t="shared" si="11"/>
        <v>3179.1000000000004</v>
      </c>
      <c r="R15" s="219">
        <f t="shared" si="11"/>
        <v>3179.1000000000004</v>
      </c>
      <c r="S15" s="219">
        <f t="shared" si="11"/>
        <v>3179.1000000000004</v>
      </c>
      <c r="T15" s="219">
        <f t="shared" si="11"/>
        <v>3179.1000000000004</v>
      </c>
      <c r="U15" s="219">
        <f t="shared" si="11"/>
        <v>3179.1000000000004</v>
      </c>
    </row>
    <row r="17" spans="1:21" ht="12.75">
      <c r="A17" s="61" t="s">
        <v>77</v>
      </c>
      <c r="C17" s="164">
        <f aca="true" t="shared" si="12" ref="C17:J17">SUM(C18:C18)</f>
        <v>0.517275</v>
      </c>
      <c r="D17" s="164">
        <f t="shared" si="12"/>
        <v>0.517275</v>
      </c>
      <c r="E17" s="164">
        <f t="shared" si="12"/>
        <v>0.517275</v>
      </c>
      <c r="F17" s="164">
        <f t="shared" si="12"/>
        <v>0.517275</v>
      </c>
      <c r="G17" s="164">
        <f t="shared" si="12"/>
        <v>0.517275</v>
      </c>
      <c r="H17" s="164">
        <f t="shared" si="12"/>
        <v>0.517275</v>
      </c>
      <c r="I17" s="164">
        <f t="shared" si="12"/>
        <v>0.517275</v>
      </c>
      <c r="J17" s="164">
        <f t="shared" si="12"/>
        <v>0.517275</v>
      </c>
      <c r="L17" s="61" t="s">
        <v>77</v>
      </c>
      <c r="N17" s="164">
        <f aca="true" t="shared" si="13" ref="N17:U17">SUM(N18:N18)</f>
        <v>1.551825</v>
      </c>
      <c r="O17" s="164">
        <f t="shared" si="13"/>
        <v>6.2073</v>
      </c>
      <c r="P17" s="164">
        <f t="shared" si="13"/>
        <v>6.2073</v>
      </c>
      <c r="Q17" s="164">
        <f t="shared" si="13"/>
        <v>6.2073</v>
      </c>
      <c r="R17" s="164">
        <f t="shared" si="13"/>
        <v>6.2073</v>
      </c>
      <c r="S17" s="164">
        <f t="shared" si="13"/>
        <v>6.2073</v>
      </c>
      <c r="T17" s="164">
        <f t="shared" si="13"/>
        <v>6.2073</v>
      </c>
      <c r="U17" s="164">
        <f t="shared" si="13"/>
        <v>6.2073</v>
      </c>
    </row>
    <row r="18" spans="1:21" ht="25.5">
      <c r="A18" s="162" t="s">
        <v>78</v>
      </c>
      <c r="B18" s="165">
        <v>0.003</v>
      </c>
      <c r="C18" s="166">
        <f aca="true" t="shared" si="14" ref="C18:J18">C6*$B$18</f>
        <v>0.517275</v>
      </c>
      <c r="D18" s="166">
        <f t="shared" si="14"/>
        <v>0.517275</v>
      </c>
      <c r="E18" s="166">
        <f t="shared" si="14"/>
        <v>0.517275</v>
      </c>
      <c r="F18" s="166">
        <f t="shared" si="14"/>
        <v>0.517275</v>
      </c>
      <c r="G18" s="166">
        <f t="shared" si="14"/>
        <v>0.517275</v>
      </c>
      <c r="H18" s="166">
        <f t="shared" si="14"/>
        <v>0.517275</v>
      </c>
      <c r="I18" s="166">
        <f t="shared" si="14"/>
        <v>0.517275</v>
      </c>
      <c r="J18" s="166">
        <f t="shared" si="14"/>
        <v>0.517275</v>
      </c>
      <c r="L18" s="162" t="s">
        <v>78</v>
      </c>
      <c r="M18" s="168">
        <f>B18</f>
        <v>0.003</v>
      </c>
      <c r="N18" s="166">
        <f>C18*3</f>
        <v>1.551825</v>
      </c>
      <c r="O18" s="166">
        <f>D18*12</f>
        <v>6.2073</v>
      </c>
      <c r="P18" s="166">
        <f aca="true" t="shared" si="15" ref="P18:U18">E18*12</f>
        <v>6.2073</v>
      </c>
      <c r="Q18" s="166">
        <f t="shared" si="15"/>
        <v>6.2073</v>
      </c>
      <c r="R18" s="166">
        <f t="shared" si="15"/>
        <v>6.2073</v>
      </c>
      <c r="S18" s="166">
        <f t="shared" si="15"/>
        <v>6.2073</v>
      </c>
      <c r="T18" s="166">
        <f t="shared" si="15"/>
        <v>6.2073</v>
      </c>
      <c r="U18" s="166">
        <f t="shared" si="15"/>
        <v>6.2073</v>
      </c>
    </row>
    <row r="20" spans="1:21" ht="12.75">
      <c r="A20" s="61" t="s">
        <v>79</v>
      </c>
      <c r="C20" s="167">
        <f>SUM(C21:C22)</f>
        <v>1</v>
      </c>
      <c r="D20" s="167">
        <f aca="true" t="shared" si="16" ref="D20:I20">SUM(D21:D22)</f>
        <v>1</v>
      </c>
      <c r="E20" s="167">
        <f t="shared" si="16"/>
        <v>1</v>
      </c>
      <c r="F20" s="167">
        <f t="shared" si="16"/>
        <v>1</v>
      </c>
      <c r="G20" s="167">
        <f t="shared" si="16"/>
        <v>1</v>
      </c>
      <c r="H20" s="167">
        <f t="shared" si="16"/>
        <v>1</v>
      </c>
      <c r="I20" s="167">
        <f t="shared" si="16"/>
        <v>1</v>
      </c>
      <c r="J20" s="167">
        <f>SUM(J21:J22)</f>
        <v>1</v>
      </c>
      <c r="L20" s="61" t="s">
        <v>79</v>
      </c>
      <c r="N20" s="167">
        <f>SUM(N21:N22)</f>
        <v>3</v>
      </c>
      <c r="O20" s="167">
        <f aca="true" t="shared" si="17" ref="O20:T20">SUM(O21:O22)</f>
        <v>12</v>
      </c>
      <c r="P20" s="167">
        <f t="shared" si="17"/>
        <v>12</v>
      </c>
      <c r="Q20" s="167">
        <f t="shared" si="17"/>
        <v>12</v>
      </c>
      <c r="R20" s="167">
        <f t="shared" si="17"/>
        <v>12</v>
      </c>
      <c r="S20" s="167">
        <f t="shared" si="17"/>
        <v>12</v>
      </c>
      <c r="T20" s="167">
        <f t="shared" si="17"/>
        <v>12</v>
      </c>
      <c r="U20" s="167">
        <f>SUM(U21:U22)</f>
        <v>12</v>
      </c>
    </row>
    <row r="21" spans="1:21" ht="12.75">
      <c r="A21" s="74" t="s">
        <v>1</v>
      </c>
      <c r="B21" s="168">
        <f>Исх!C18</f>
        <v>0</v>
      </c>
      <c r="C21" s="149">
        <f>(C34+C37)/2*$B$21/12</f>
        <v>0</v>
      </c>
      <c r="D21" s="149">
        <f aca="true" t="shared" si="18" ref="D21:I21">(D34+D37)/2*$B$21/12</f>
        <v>0</v>
      </c>
      <c r="E21" s="149">
        <f t="shared" si="18"/>
        <v>0</v>
      </c>
      <c r="F21" s="149">
        <f t="shared" si="18"/>
        <v>0</v>
      </c>
      <c r="G21" s="149">
        <f t="shared" si="18"/>
        <v>0</v>
      </c>
      <c r="H21" s="149">
        <f t="shared" si="18"/>
        <v>0</v>
      </c>
      <c r="I21" s="149">
        <f t="shared" si="18"/>
        <v>0</v>
      </c>
      <c r="J21" s="149">
        <f>(J34+J37)/2*$B$21/12</f>
        <v>0</v>
      </c>
      <c r="L21" s="74" t="s">
        <v>1</v>
      </c>
      <c r="M21" s="168">
        <f>B21</f>
        <v>0</v>
      </c>
      <c r="N21" s="166">
        <f>C21*3</f>
        <v>0</v>
      </c>
      <c r="O21" s="166">
        <f aca="true" t="shared" si="19" ref="O21:U22">D21*12</f>
        <v>0</v>
      </c>
      <c r="P21" s="166">
        <f t="shared" si="19"/>
        <v>0</v>
      </c>
      <c r="Q21" s="166">
        <f t="shared" si="19"/>
        <v>0</v>
      </c>
      <c r="R21" s="166">
        <f t="shared" si="19"/>
        <v>0</v>
      </c>
      <c r="S21" s="166">
        <f t="shared" si="19"/>
        <v>0</v>
      </c>
      <c r="T21" s="166">
        <f t="shared" si="19"/>
        <v>0</v>
      </c>
      <c r="U21" s="166">
        <f t="shared" si="19"/>
        <v>0</v>
      </c>
    </row>
    <row r="22" spans="1:21" ht="12.75">
      <c r="A22" s="74" t="s">
        <v>265</v>
      </c>
      <c r="B22" s="74"/>
      <c r="C22" s="142">
        <v>1</v>
      </c>
      <c r="D22" s="149">
        <f aca="true" t="shared" si="20" ref="D22:J22">C22+C22*$D$3</f>
        <v>1</v>
      </c>
      <c r="E22" s="149">
        <f t="shared" si="20"/>
        <v>1</v>
      </c>
      <c r="F22" s="149">
        <f t="shared" si="20"/>
        <v>1</v>
      </c>
      <c r="G22" s="149">
        <f t="shared" si="20"/>
        <v>1</v>
      </c>
      <c r="H22" s="149">
        <f t="shared" si="20"/>
        <v>1</v>
      </c>
      <c r="I22" s="149">
        <f t="shared" si="20"/>
        <v>1</v>
      </c>
      <c r="J22" s="149">
        <f t="shared" si="20"/>
        <v>1</v>
      </c>
      <c r="L22" s="74" t="s">
        <v>265</v>
      </c>
      <c r="M22" s="168">
        <f>B22</f>
        <v>0</v>
      </c>
      <c r="N22" s="166">
        <f>C22*3</f>
        <v>3</v>
      </c>
      <c r="O22" s="166">
        <f t="shared" si="19"/>
        <v>12</v>
      </c>
      <c r="P22" s="166">
        <f t="shared" si="19"/>
        <v>12</v>
      </c>
      <c r="Q22" s="166">
        <f t="shared" si="19"/>
        <v>12</v>
      </c>
      <c r="R22" s="166">
        <f t="shared" si="19"/>
        <v>12</v>
      </c>
      <c r="S22" s="166">
        <f t="shared" si="19"/>
        <v>12</v>
      </c>
      <c r="T22" s="166">
        <f t="shared" si="19"/>
        <v>12</v>
      </c>
      <c r="U22" s="166">
        <f t="shared" si="19"/>
        <v>12</v>
      </c>
    </row>
    <row r="24" ht="12.75">
      <c r="C24" s="169"/>
    </row>
    <row r="25" spans="1:10" ht="12.75">
      <c r="A25" s="61" t="s">
        <v>80</v>
      </c>
      <c r="C25" s="167"/>
      <c r="D25" s="167"/>
      <c r="E25" s="167"/>
      <c r="F25" s="167"/>
      <c r="G25" s="167"/>
      <c r="H25" s="167"/>
      <c r="I25" s="167"/>
      <c r="J25" s="167"/>
    </row>
    <row r="26" spans="1:10" ht="12.75">
      <c r="A26" s="138" t="s">
        <v>86</v>
      </c>
      <c r="B26" s="74"/>
      <c r="C26" s="139">
        <f aca="true" t="shared" si="21" ref="C26:J26">C5</f>
        <v>2013</v>
      </c>
      <c r="D26" s="139">
        <f t="shared" si="21"/>
        <v>2014</v>
      </c>
      <c r="E26" s="139">
        <f t="shared" si="21"/>
        <v>2015</v>
      </c>
      <c r="F26" s="139">
        <f t="shared" si="21"/>
        <v>2016</v>
      </c>
      <c r="G26" s="139">
        <f t="shared" si="21"/>
        <v>2017</v>
      </c>
      <c r="H26" s="139">
        <f t="shared" si="21"/>
        <v>2018</v>
      </c>
      <c r="I26" s="139">
        <f t="shared" si="21"/>
        <v>2019</v>
      </c>
      <c r="J26" s="139">
        <f t="shared" si="21"/>
        <v>2020</v>
      </c>
    </row>
    <row r="27" spans="1:10" ht="12.75">
      <c r="A27" s="74" t="s">
        <v>81</v>
      </c>
      <c r="B27" s="170"/>
      <c r="C27" s="74"/>
      <c r="D27" s="74"/>
      <c r="E27" s="74"/>
      <c r="F27" s="74"/>
      <c r="G27" s="74"/>
      <c r="H27" s="74"/>
      <c r="I27" s="74"/>
      <c r="J27" s="74"/>
    </row>
    <row r="28" spans="1:10" ht="12.75">
      <c r="A28" s="74" t="s">
        <v>82</v>
      </c>
      <c r="B28" s="171"/>
      <c r="C28" s="149">
        <f>C34+C40+C46</f>
        <v>0</v>
      </c>
      <c r="D28" s="149">
        <f aca="true" t="shared" si="22" ref="D28:I28">D34+D40+D46</f>
        <v>15356.177437499999</v>
      </c>
      <c r="E28" s="149">
        <f t="shared" si="22"/>
        <v>13374.735187499999</v>
      </c>
      <c r="F28" s="149">
        <f t="shared" si="22"/>
        <v>11393.292937499999</v>
      </c>
      <c r="G28" s="149">
        <f t="shared" si="22"/>
        <v>9411.850687499998</v>
      </c>
      <c r="H28" s="149">
        <f t="shared" si="22"/>
        <v>7430.408437499998</v>
      </c>
      <c r="I28" s="149">
        <f t="shared" si="22"/>
        <v>5448.966187499998</v>
      </c>
      <c r="J28" s="149">
        <f>J34+J40+J46</f>
        <v>3467.5239374999983</v>
      </c>
    </row>
    <row r="29" spans="1:10" ht="12.75">
      <c r="A29" s="74" t="s">
        <v>83</v>
      </c>
      <c r="B29" s="171"/>
      <c r="C29" s="149">
        <f>C35+C41+C47</f>
        <v>15851.537999999999</v>
      </c>
      <c r="D29" s="149">
        <f aca="true" t="shared" si="23" ref="D29:I29">D35+D41+D47</f>
        <v>0</v>
      </c>
      <c r="E29" s="149">
        <f t="shared" si="23"/>
        <v>0</v>
      </c>
      <c r="F29" s="149">
        <f t="shared" si="23"/>
        <v>0</v>
      </c>
      <c r="G29" s="149">
        <f t="shared" si="23"/>
        <v>0</v>
      </c>
      <c r="H29" s="149">
        <f t="shared" si="23"/>
        <v>0</v>
      </c>
      <c r="I29" s="149">
        <f t="shared" si="23"/>
        <v>0</v>
      </c>
      <c r="J29" s="149">
        <f>J35+J41+J47</f>
        <v>0</v>
      </c>
    </row>
    <row r="30" spans="1:10" ht="12.75">
      <c r="A30" s="151" t="s">
        <v>84</v>
      </c>
      <c r="B30" s="151"/>
      <c r="C30" s="150">
        <f>C36+C42+C48</f>
        <v>495.36056249999996</v>
      </c>
      <c r="D30" s="150">
        <f aca="true" t="shared" si="24" ref="D30:I30">D36+D42+D48</f>
        <v>1981.4422499999998</v>
      </c>
      <c r="E30" s="150">
        <f t="shared" si="24"/>
        <v>1981.4422499999998</v>
      </c>
      <c r="F30" s="150">
        <f t="shared" si="24"/>
        <v>1981.4422499999998</v>
      </c>
      <c r="G30" s="150">
        <f t="shared" si="24"/>
        <v>1981.4422499999998</v>
      </c>
      <c r="H30" s="150">
        <f t="shared" si="24"/>
        <v>1981.4422499999998</v>
      </c>
      <c r="I30" s="150">
        <f t="shared" si="24"/>
        <v>1981.4422499999998</v>
      </c>
      <c r="J30" s="150">
        <f>J36+J42+J48</f>
        <v>1981.4422499999998</v>
      </c>
    </row>
    <row r="31" spans="1:10" ht="12.75">
      <c r="A31" s="74" t="s">
        <v>85</v>
      </c>
      <c r="B31" s="171"/>
      <c r="C31" s="149">
        <f aca="true" t="shared" si="25" ref="C31:I31">C28+C29-C30</f>
        <v>15356.177437499999</v>
      </c>
      <c r="D31" s="149">
        <f t="shared" si="25"/>
        <v>13374.735187499999</v>
      </c>
      <c r="E31" s="149">
        <f t="shared" si="25"/>
        <v>11393.292937499999</v>
      </c>
      <c r="F31" s="149">
        <f t="shared" si="25"/>
        <v>9411.850687499998</v>
      </c>
      <c r="G31" s="149">
        <f t="shared" si="25"/>
        <v>7430.408437499998</v>
      </c>
      <c r="H31" s="149">
        <f t="shared" si="25"/>
        <v>5448.966187499998</v>
      </c>
      <c r="I31" s="149">
        <f t="shared" si="25"/>
        <v>3467.5239374999983</v>
      </c>
      <c r="J31" s="149">
        <f>J28+J29-J30</f>
        <v>1486.0816874999985</v>
      </c>
    </row>
    <row r="32" spans="1:10" ht="12.75" hidden="1" outlineLevel="1">
      <c r="A32" s="72" t="s">
        <v>111</v>
      </c>
      <c r="C32" s="139"/>
      <c r="D32" s="139"/>
      <c r="E32" s="139"/>
      <c r="F32" s="139"/>
      <c r="G32" s="139"/>
      <c r="H32" s="139"/>
      <c r="I32" s="139"/>
      <c r="J32" s="139"/>
    </row>
    <row r="33" spans="1:10" ht="12.75" hidden="1" outlineLevel="1">
      <c r="A33" s="74" t="s">
        <v>81</v>
      </c>
      <c r="B33" s="172">
        <v>0.05</v>
      </c>
      <c r="C33" s="74"/>
      <c r="D33" s="74"/>
      <c r="E33" s="74"/>
      <c r="F33" s="74"/>
      <c r="G33" s="74"/>
      <c r="H33" s="74"/>
      <c r="I33" s="74"/>
      <c r="J33" s="74"/>
    </row>
    <row r="34" spans="1:10" ht="12.75" hidden="1" outlineLevel="1">
      <c r="A34" s="74" t="s">
        <v>82</v>
      </c>
      <c r="B34" s="171"/>
      <c r="C34" s="143">
        <f>Инв!C34</f>
        <v>0</v>
      </c>
      <c r="D34" s="149">
        <f aca="true" t="shared" si="26" ref="D34:J34">C37</f>
        <v>0</v>
      </c>
      <c r="E34" s="149">
        <f t="shared" si="26"/>
        <v>0</v>
      </c>
      <c r="F34" s="149">
        <f t="shared" si="26"/>
        <v>0</v>
      </c>
      <c r="G34" s="149">
        <f t="shared" si="26"/>
        <v>0</v>
      </c>
      <c r="H34" s="149">
        <f t="shared" si="26"/>
        <v>0</v>
      </c>
      <c r="I34" s="149">
        <f t="shared" si="26"/>
        <v>0</v>
      </c>
      <c r="J34" s="149">
        <f t="shared" si="26"/>
        <v>0</v>
      </c>
    </row>
    <row r="35" spans="1:10" ht="12.75" hidden="1" outlineLevel="1">
      <c r="A35" s="74" t="s">
        <v>83</v>
      </c>
      <c r="B35" s="171"/>
      <c r="C35" s="149"/>
      <c r="D35" s="149"/>
      <c r="E35" s="149"/>
      <c r="F35" s="149"/>
      <c r="G35" s="149"/>
      <c r="H35" s="149"/>
      <c r="I35" s="149"/>
      <c r="J35" s="149"/>
    </row>
    <row r="36" spans="1:10" ht="12.75" hidden="1" outlineLevel="1">
      <c r="A36" s="151" t="s">
        <v>84</v>
      </c>
      <c r="B36" s="151"/>
      <c r="C36" s="150">
        <f aca="true" t="shared" si="27" ref="C36:I36">$C34*$B33</f>
        <v>0</v>
      </c>
      <c r="D36" s="150">
        <f t="shared" si="27"/>
        <v>0</v>
      </c>
      <c r="E36" s="150">
        <f t="shared" si="27"/>
        <v>0</v>
      </c>
      <c r="F36" s="150">
        <f t="shared" si="27"/>
        <v>0</v>
      </c>
      <c r="G36" s="150">
        <f t="shared" si="27"/>
        <v>0</v>
      </c>
      <c r="H36" s="150">
        <f t="shared" si="27"/>
        <v>0</v>
      </c>
      <c r="I36" s="150">
        <f t="shared" si="27"/>
        <v>0</v>
      </c>
      <c r="J36" s="150">
        <f>$C34*$B33</f>
        <v>0</v>
      </c>
    </row>
    <row r="37" spans="1:10" ht="12.75" hidden="1" outlineLevel="1">
      <c r="A37" s="74" t="s">
        <v>85</v>
      </c>
      <c r="B37" s="171"/>
      <c r="C37" s="149">
        <f aca="true" t="shared" si="28" ref="C37:I37">C34+C35-C36</f>
        <v>0</v>
      </c>
      <c r="D37" s="149">
        <f t="shared" si="28"/>
        <v>0</v>
      </c>
      <c r="E37" s="149">
        <f t="shared" si="28"/>
        <v>0</v>
      </c>
      <c r="F37" s="149">
        <f t="shared" si="28"/>
        <v>0</v>
      </c>
      <c r="G37" s="149">
        <f t="shared" si="28"/>
        <v>0</v>
      </c>
      <c r="H37" s="149">
        <f t="shared" si="28"/>
        <v>0</v>
      </c>
      <c r="I37" s="149">
        <f t="shared" si="28"/>
        <v>0</v>
      </c>
      <c r="J37" s="149">
        <f>J34+J35-J36</f>
        <v>0</v>
      </c>
    </row>
    <row r="38" spans="1:10" ht="12.75" hidden="1" outlineLevel="1">
      <c r="A38" s="72" t="s">
        <v>105</v>
      </c>
      <c r="C38" s="139"/>
      <c r="D38" s="139"/>
      <c r="E38" s="139"/>
      <c r="F38" s="139"/>
      <c r="G38" s="139"/>
      <c r="H38" s="139"/>
      <c r="I38" s="139"/>
      <c r="J38" s="139"/>
    </row>
    <row r="39" spans="1:10" ht="12.75" hidden="1" outlineLevel="1">
      <c r="A39" s="74" t="s">
        <v>81</v>
      </c>
      <c r="B39" s="172">
        <v>0.1</v>
      </c>
      <c r="C39" s="74"/>
      <c r="D39" s="74"/>
      <c r="E39" s="74"/>
      <c r="F39" s="74"/>
      <c r="G39" s="74"/>
      <c r="H39" s="74"/>
      <c r="I39" s="74"/>
      <c r="J39" s="74"/>
    </row>
    <row r="40" spans="1:10" ht="12.75" hidden="1" outlineLevel="1">
      <c r="A40" s="74" t="s">
        <v>82</v>
      </c>
      <c r="B40" s="171"/>
      <c r="C40" s="149">
        <f>Инв!C35</f>
        <v>0</v>
      </c>
      <c r="D40" s="149">
        <f aca="true" t="shared" si="29" ref="D40:J40">C43</f>
        <v>0</v>
      </c>
      <c r="E40" s="149">
        <f t="shared" si="29"/>
        <v>0</v>
      </c>
      <c r="F40" s="149">
        <f t="shared" si="29"/>
        <v>0</v>
      </c>
      <c r="G40" s="149">
        <f t="shared" si="29"/>
        <v>0</v>
      </c>
      <c r="H40" s="149">
        <f t="shared" si="29"/>
        <v>0</v>
      </c>
      <c r="I40" s="149">
        <f t="shared" si="29"/>
        <v>0</v>
      </c>
      <c r="J40" s="149">
        <f t="shared" si="29"/>
        <v>0</v>
      </c>
    </row>
    <row r="41" spans="1:10" ht="12.75" hidden="1" outlineLevel="1">
      <c r="A41" s="74" t="s">
        <v>83</v>
      </c>
      <c r="B41" s="171"/>
      <c r="C41" s="149"/>
      <c r="D41" s="149"/>
      <c r="E41" s="149"/>
      <c r="F41" s="149"/>
      <c r="G41" s="149"/>
      <c r="H41" s="149"/>
      <c r="I41" s="149"/>
      <c r="J41" s="149"/>
    </row>
    <row r="42" spans="1:10" ht="12.75" hidden="1" outlineLevel="1">
      <c r="A42" s="151" t="s">
        <v>84</v>
      </c>
      <c r="B42" s="151"/>
      <c r="C42" s="150">
        <f aca="true" t="shared" si="30" ref="C42:I42">$C40*$B39</f>
        <v>0</v>
      </c>
      <c r="D42" s="150">
        <f t="shared" si="30"/>
        <v>0</v>
      </c>
      <c r="E42" s="150">
        <f t="shared" si="30"/>
        <v>0</v>
      </c>
      <c r="F42" s="150">
        <f t="shared" si="30"/>
        <v>0</v>
      </c>
      <c r="G42" s="150">
        <f t="shared" si="30"/>
        <v>0</v>
      </c>
      <c r="H42" s="150">
        <f t="shared" si="30"/>
        <v>0</v>
      </c>
      <c r="I42" s="150">
        <f t="shared" si="30"/>
        <v>0</v>
      </c>
      <c r="J42" s="150">
        <f>$C40*$B39</f>
        <v>0</v>
      </c>
    </row>
    <row r="43" spans="1:10" ht="12.75" hidden="1" outlineLevel="1">
      <c r="A43" s="74" t="s">
        <v>85</v>
      </c>
      <c r="B43" s="171"/>
      <c r="C43" s="149">
        <f aca="true" t="shared" si="31" ref="C43:I43">C40+C41-C42</f>
        <v>0</v>
      </c>
      <c r="D43" s="149">
        <f t="shared" si="31"/>
        <v>0</v>
      </c>
      <c r="E43" s="149">
        <f t="shared" si="31"/>
        <v>0</v>
      </c>
      <c r="F43" s="149">
        <f t="shared" si="31"/>
        <v>0</v>
      </c>
      <c r="G43" s="149">
        <f t="shared" si="31"/>
        <v>0</v>
      </c>
      <c r="H43" s="149">
        <f t="shared" si="31"/>
        <v>0</v>
      </c>
      <c r="I43" s="149">
        <f t="shared" si="31"/>
        <v>0</v>
      </c>
      <c r="J43" s="149">
        <f>J40+J41-J42</f>
        <v>0</v>
      </c>
    </row>
    <row r="44" spans="1:10" ht="12.75" hidden="1" outlineLevel="1">
      <c r="A44" s="72" t="s">
        <v>195</v>
      </c>
      <c r="C44" s="139"/>
      <c r="D44" s="139"/>
      <c r="E44" s="139"/>
      <c r="F44" s="139"/>
      <c r="G44" s="139"/>
      <c r="H44" s="139"/>
      <c r="I44" s="139"/>
      <c r="J44" s="139"/>
    </row>
    <row r="45" spans="1:10" ht="12.75" hidden="1" outlineLevel="1">
      <c r="A45" s="74" t="s">
        <v>81</v>
      </c>
      <c r="B45" s="172">
        <f>1/8</f>
        <v>0.125</v>
      </c>
      <c r="C45" s="74"/>
      <c r="D45" s="74"/>
      <c r="E45" s="74"/>
      <c r="F45" s="74"/>
      <c r="G45" s="74"/>
      <c r="H45" s="74"/>
      <c r="I45" s="74"/>
      <c r="J45" s="74"/>
    </row>
    <row r="46" spans="1:10" ht="12.75" hidden="1" outlineLevel="1">
      <c r="A46" s="74" t="s">
        <v>82</v>
      </c>
      <c r="B46" s="171"/>
      <c r="C46" s="149"/>
      <c r="D46" s="149">
        <f aca="true" t="shared" si="32" ref="D46:J46">C49</f>
        <v>15356.177437499999</v>
      </c>
      <c r="E46" s="149">
        <f t="shared" si="32"/>
        <v>13374.735187499999</v>
      </c>
      <c r="F46" s="149">
        <f t="shared" si="32"/>
        <v>11393.292937499999</v>
      </c>
      <c r="G46" s="149">
        <f t="shared" si="32"/>
        <v>9411.850687499998</v>
      </c>
      <c r="H46" s="149">
        <f t="shared" si="32"/>
        <v>7430.408437499998</v>
      </c>
      <c r="I46" s="149">
        <f t="shared" si="32"/>
        <v>5448.966187499998</v>
      </c>
      <c r="J46" s="149">
        <f t="shared" si="32"/>
        <v>3467.5239374999983</v>
      </c>
    </row>
    <row r="47" spans="1:10" ht="12.75" hidden="1" outlineLevel="1">
      <c r="A47" s="74" t="s">
        <v>83</v>
      </c>
      <c r="B47" s="171"/>
      <c r="C47" s="149">
        <f>Инв!C36</f>
        <v>15851.537999999999</v>
      </c>
      <c r="D47" s="149"/>
      <c r="E47" s="149"/>
      <c r="F47" s="149"/>
      <c r="G47" s="149"/>
      <c r="H47" s="149"/>
      <c r="I47" s="149"/>
      <c r="J47" s="149"/>
    </row>
    <row r="48" spans="1:10" ht="12.75" hidden="1" outlineLevel="1">
      <c r="A48" s="151" t="s">
        <v>84</v>
      </c>
      <c r="B48" s="151"/>
      <c r="C48" s="150">
        <f>$C47*$B45/12*3</f>
        <v>495.36056249999996</v>
      </c>
      <c r="D48" s="150">
        <f>$C47*$B45</f>
        <v>1981.4422499999998</v>
      </c>
      <c r="E48" s="150">
        <f aca="true" t="shared" si="33" ref="E48:J48">$C47*$B45</f>
        <v>1981.4422499999998</v>
      </c>
      <c r="F48" s="150">
        <f t="shared" si="33"/>
        <v>1981.4422499999998</v>
      </c>
      <c r="G48" s="150">
        <f t="shared" si="33"/>
        <v>1981.4422499999998</v>
      </c>
      <c r="H48" s="150">
        <f t="shared" si="33"/>
        <v>1981.4422499999998</v>
      </c>
      <c r="I48" s="150">
        <f t="shared" si="33"/>
        <v>1981.4422499999998</v>
      </c>
      <c r="J48" s="150">
        <f t="shared" si="33"/>
        <v>1981.4422499999998</v>
      </c>
    </row>
    <row r="49" spans="1:10" ht="12.75" hidden="1" outlineLevel="1">
      <c r="A49" s="74" t="s">
        <v>85</v>
      </c>
      <c r="B49" s="171"/>
      <c r="C49" s="149">
        <f aca="true" t="shared" si="34" ref="C49:I49">C46+C47-C48</f>
        <v>15356.177437499999</v>
      </c>
      <c r="D49" s="149">
        <f t="shared" si="34"/>
        <v>13374.735187499999</v>
      </c>
      <c r="E49" s="149">
        <f t="shared" si="34"/>
        <v>11393.292937499999</v>
      </c>
      <c r="F49" s="149">
        <f t="shared" si="34"/>
        <v>9411.850687499998</v>
      </c>
      <c r="G49" s="149">
        <f t="shared" si="34"/>
        <v>7430.408437499998</v>
      </c>
      <c r="H49" s="149">
        <f t="shared" si="34"/>
        <v>5448.966187499998</v>
      </c>
      <c r="I49" s="149">
        <f t="shared" si="34"/>
        <v>3467.5239374999983</v>
      </c>
      <c r="J49" s="149">
        <f>J46+J47-J48</f>
        <v>1486.0816874999985</v>
      </c>
    </row>
    <row r="50" ht="12.75" collapsed="1"/>
  </sheetData>
  <sheetProtection/>
  <printOptions/>
  <pageMargins left="0.39" right="0.75" top="0.3" bottom="1.87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2013-08-12T09:39:09Z</cp:lastPrinted>
  <dcterms:created xsi:type="dcterms:W3CDTF">2006-03-01T15:11:19Z</dcterms:created>
  <dcterms:modified xsi:type="dcterms:W3CDTF">2013-09-24T07:55:00Z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