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390" windowHeight="8445" tabRatio="633" activeTab="1"/>
  </bookViews>
  <sheets>
    <sheet name="1-Ф3" sheetId="1" r:id="rId1"/>
    <sheet name="2-ф2" sheetId="2" r:id="rId2"/>
    <sheet name="3-Баланс" sheetId="3" r:id="rId3"/>
    <sheet name="Исх" sheetId="4" r:id="rId4"/>
    <sheet name="Дох" sheetId="5" state="hidden" r:id="rId5"/>
    <sheet name="Расх перем" sheetId="6" r:id="rId6"/>
    <sheet name="Производство" sheetId="7" r:id="rId7"/>
    <sheet name="ФОТ" sheetId="8" r:id="rId8"/>
    <sheet name="Пост" sheetId="9" r:id="rId9"/>
    <sheet name="кр" sheetId="10" r:id="rId10"/>
    <sheet name="Инв" sheetId="11" r:id="rId11"/>
    <sheet name="безубыт" sheetId="12" r:id="rId12"/>
    <sheet name="Осн.пок-ли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</externalReferences>
  <definedNames>
    <definedName name="_kpn1" localSheetId="2">'[46]Главн'!$D$46</definedName>
    <definedName name="_kpn1">'[47]Главн'!$D$46</definedName>
    <definedName name="_kpn2" localSheetId="2">'[46]Главн'!$E$46</definedName>
    <definedName name="_kpn2">'[47]Главн'!$E$46</definedName>
    <definedName name="_kpn3" localSheetId="2">'[46]Главн'!$F$46</definedName>
    <definedName name="_kpn3">'[47]Главн'!$F$46</definedName>
    <definedName name="_kpn4" localSheetId="2">'[46]Главн'!$G$46</definedName>
    <definedName name="_kpn4">'[47]Главн'!$G$46</definedName>
    <definedName name="_kpn5" localSheetId="2">'[46]Главн'!$H$46</definedName>
    <definedName name="_kpn5">'[47]Главн'!$H$46</definedName>
    <definedName name="_kpn6" localSheetId="2">'[46]Главн'!$I$46</definedName>
    <definedName name="_kpn6">'[47]Главн'!$I$46</definedName>
    <definedName name="_kpn7" localSheetId="2">'[46]Главн'!$J$46</definedName>
    <definedName name="_kpn7">'[47]Главн'!$J$46</definedName>
    <definedName name="_kpn8" localSheetId="2">'[46]Главн'!$K$46</definedName>
    <definedName name="_kpn8">'[47]Главн'!$K$46</definedName>
    <definedName name="_nds1" localSheetId="2">'[46]Главн'!$D$42</definedName>
    <definedName name="_nds1">'[47]Главн'!$D$42</definedName>
    <definedName name="_nds2" localSheetId="2">'[46]Главн'!$E$42</definedName>
    <definedName name="_nds2">'[47]Главн'!$E$42</definedName>
    <definedName name="_nds3" localSheetId="2">'[46]Главн'!$F$42</definedName>
    <definedName name="_nds3">'[47]Главн'!$F$42</definedName>
    <definedName name="_nds4" localSheetId="2">'[46]Главн'!$G$42</definedName>
    <definedName name="_nds4">'[47]Главн'!$G$42</definedName>
    <definedName name="_nds5" localSheetId="2">'[46]Главн'!$H$42</definedName>
    <definedName name="_nds5">'[47]Главн'!$H$42</definedName>
    <definedName name="_nds6" localSheetId="2">'[46]Главн'!$I$42</definedName>
    <definedName name="_nds6">'[47]Главн'!$I$42</definedName>
    <definedName name="_xlfn.BAHTTEXT" hidden="1">#NAME?</definedName>
    <definedName name="areket" localSheetId="2">#REF!</definedName>
    <definedName name="areket">#REF!</definedName>
    <definedName name="areket2" localSheetId="2">#REF!</definedName>
    <definedName name="areket2">#REF!</definedName>
    <definedName name="cfb">'[3]NPV'!$F$18</definedName>
    <definedName name="curr" localSheetId="2">#REF!</definedName>
    <definedName name="curr">#REF!</definedName>
    <definedName name="DcB">'[11]Дин. оборотн. ср-в!!!'!$B$17+'[11]Дин. оборотн. ср-в!!!'!$B$18+'[11]Дин. оборотн. ср-в!!!'!$B$19+'[11]Дин. оборотн. ср-в!!!'!$B$20</definedName>
    <definedName name="DcF">'[11]Дин. оборотн. ср-в!!!'!$F$17+'[11]Дин. оборотн. ср-в!!!'!$F$18+'[11]Дин. оборотн. ср-в!!!'!$F$19+'[11]Дин. оборотн. ср-в!!!'!$F$20</definedName>
    <definedName name="DF">'[11]Дин. оборотн. ср-в!!!'!$F$25+'[11]Дин. оборотн. ср-в!!!'!$F$26+'[11]Дин. оборотн. ср-в!!!'!$F$27+'[11]Дин. оборотн. ср-в!!!'!$F$28+'[11]Дин. оборотн. ср-в!!!'!$F$29+'[11]Дин. оборотн. ср-в!!!'!$F$30+'[11]Дин. оборотн. ср-в!!!'!$F$31</definedName>
    <definedName name="DG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</definedName>
    <definedName name="Ed." localSheetId="2">#REF!</definedName>
    <definedName name="Ed." localSheetId="4">#REF!</definedName>
    <definedName name="Ed." localSheetId="8">#REF!</definedName>
    <definedName name="Ed." localSheetId="6">#REF!</definedName>
    <definedName name="Ed." localSheetId="5">#REF!</definedName>
    <definedName name="Ed." localSheetId="7">#REF!</definedName>
    <definedName name="Ed.">#REF!</definedName>
    <definedName name="EUR">'[7]Свод'!$C$9</definedName>
    <definedName name="EURO">'[12]Осн. пара'!$C$8</definedName>
    <definedName name="imush1" localSheetId="2">'[46]Главн'!$D$44</definedName>
    <definedName name="imush1" localSheetId="9">'[32]Главн'!$D$44</definedName>
    <definedName name="imush1" localSheetId="6">'[59]Главн'!$D$44</definedName>
    <definedName name="imush1">'[21]Главн'!$D$44</definedName>
    <definedName name="imush2" localSheetId="2">'[46]Главн'!$E$44</definedName>
    <definedName name="imush2" localSheetId="9">'[32]Главн'!$E$44</definedName>
    <definedName name="imush2" localSheetId="6">'[59]Главн'!$E$44</definedName>
    <definedName name="imush2">'[21]Главн'!$E$44</definedName>
    <definedName name="imush3" localSheetId="2">'[46]Главн'!$F$44</definedName>
    <definedName name="imush3" localSheetId="9">'[32]Главн'!$F$44</definedName>
    <definedName name="imush3" localSheetId="6">'[59]Главн'!$F$44</definedName>
    <definedName name="imush3">'[21]Главн'!$F$44</definedName>
    <definedName name="imush4" localSheetId="2">'[46]Главн'!$G$44</definedName>
    <definedName name="imush4" localSheetId="9">'[32]Главн'!$G$44</definedName>
    <definedName name="imush4" localSheetId="6">'[59]Главн'!$G$44</definedName>
    <definedName name="imush4">'[21]Главн'!$G$44</definedName>
    <definedName name="imush5" localSheetId="2">'[46]Главн'!$H$44</definedName>
    <definedName name="imush5" localSheetId="9">'[32]Главн'!$H$44</definedName>
    <definedName name="imush5" localSheetId="6">'[59]Главн'!$H$44</definedName>
    <definedName name="imush5">'[21]Главн'!$H$44</definedName>
    <definedName name="imush6" localSheetId="2">'[46]Главн'!$I$44</definedName>
    <definedName name="imush6" localSheetId="9">'[32]Главн'!$I$44</definedName>
    <definedName name="imush6" localSheetId="6">'[59]Главн'!$I$44</definedName>
    <definedName name="imush6">'[21]Главн'!$I$44</definedName>
    <definedName name="imush7" localSheetId="2">'[46]Главн'!$J$44</definedName>
    <definedName name="imush7" localSheetId="9">'[32]Главн'!$J$44</definedName>
    <definedName name="imush7" localSheetId="6">'[59]Главн'!$J$44</definedName>
    <definedName name="imush7">'[21]Главн'!$J$44</definedName>
    <definedName name="imush8" localSheetId="2">'[46]Главн'!$K$44</definedName>
    <definedName name="imush8" localSheetId="9">'[32]Главн'!$K$44</definedName>
    <definedName name="imush8" localSheetId="6">'[59]Главн'!$K$44</definedName>
    <definedName name="imush8">'[21]Главн'!$K$44</definedName>
    <definedName name="inf" localSheetId="2">'[46]Главн'!$C$35</definedName>
    <definedName name="inf" localSheetId="9">'[32]Главн'!$C$35</definedName>
    <definedName name="inf" localSheetId="6">'[59]Главн'!$C$35</definedName>
    <definedName name="inf">'[21]Главн'!$C$35</definedName>
    <definedName name="kpn1" localSheetId="9">'[32]Главн'!$D$46</definedName>
    <definedName name="kpn1" localSheetId="6">'[59]Главн'!$D$46</definedName>
    <definedName name="kpn1">'[21]Главн'!$D$46</definedName>
    <definedName name="kpn2" localSheetId="9">'[32]Главн'!$E$46</definedName>
    <definedName name="kpn2" localSheetId="6">'[59]Главн'!$E$46</definedName>
    <definedName name="kpn2">'[21]Главн'!$E$46</definedName>
    <definedName name="kpn3" localSheetId="9">'[32]Главн'!$F$46</definedName>
    <definedName name="kpn3" localSheetId="6">'[59]Главн'!$F$46</definedName>
    <definedName name="kpn3">'[21]Главн'!$F$46</definedName>
    <definedName name="kpn4" localSheetId="9">'[32]Главн'!$G$46</definedName>
    <definedName name="kpn4" localSheetId="6">'[59]Главн'!$G$46</definedName>
    <definedName name="kpn4">'[21]Главн'!$G$46</definedName>
    <definedName name="kpn5" localSheetId="9">'[32]Главн'!$H$46</definedName>
    <definedName name="kpn5" localSheetId="6">'[59]Главн'!$H$46</definedName>
    <definedName name="kpn5">'[21]Главн'!$H$46</definedName>
    <definedName name="kpn6" localSheetId="9">'[32]Главн'!$I$46</definedName>
    <definedName name="kpn6" localSheetId="6">'[59]Главн'!$I$46</definedName>
    <definedName name="kpn6">'[21]Главн'!$I$46</definedName>
    <definedName name="kpn7" localSheetId="9">'[32]Главн'!$J$46</definedName>
    <definedName name="kpn7" localSheetId="6">'[59]Главн'!$J$46</definedName>
    <definedName name="kpn7">'[21]Главн'!$J$46</definedName>
    <definedName name="kpn8" localSheetId="9">'[32]Главн'!$K$46</definedName>
    <definedName name="kpn8" localSheetId="6">'[59]Главн'!$K$46</definedName>
    <definedName name="kpn8">'[21]Главн'!$K$46</definedName>
    <definedName name="kurs" localSheetId="2">#REF!</definedName>
    <definedName name="kurs">#REF!</definedName>
    <definedName name="kurs2" localSheetId="2">'[46]Главн'!$C$31</definedName>
    <definedName name="kurs2" localSheetId="9">'[32]Главн'!$C$31</definedName>
    <definedName name="kurs2" localSheetId="6">'[59]Главн'!$C$31</definedName>
    <definedName name="kurs2">'[21]Главн'!$C$31</definedName>
    <definedName name="lgot1" localSheetId="2">'[46]Главн'!$D$41</definedName>
    <definedName name="lgot1" localSheetId="9">'[32]Главн'!$D$41</definedName>
    <definedName name="lgot1" localSheetId="6">'[59]Главн'!$D$41</definedName>
    <definedName name="lgot1">'[21]Главн'!$D$41</definedName>
    <definedName name="lgot2" localSheetId="2">'[46]Главн'!$E$41</definedName>
    <definedName name="lgot2" localSheetId="9">'[32]Главн'!$E$41</definedName>
    <definedName name="lgot2" localSheetId="6">'[59]Главн'!$E$41</definedName>
    <definedName name="lgot2">'[21]Главн'!$E$41</definedName>
    <definedName name="lgot3" localSheetId="2">'[46]Главн'!$F$41</definedName>
    <definedName name="lgot3" localSheetId="9">'[32]Главн'!$F$41</definedName>
    <definedName name="lgot3" localSheetId="6">'[59]Главн'!$F$41</definedName>
    <definedName name="lgot3">'[21]Главн'!$F$41</definedName>
    <definedName name="lgot4" localSheetId="2">'[46]Главн'!$G$41</definedName>
    <definedName name="lgot4" localSheetId="9">'[32]Главн'!$G$41</definedName>
    <definedName name="lgot4" localSheetId="6">'[59]Главн'!$G$41</definedName>
    <definedName name="lgot4">'[21]Главн'!$G$41</definedName>
    <definedName name="lgot5" localSheetId="2">'[46]Главн'!$H$41</definedName>
    <definedName name="lgot5" localSheetId="9">'[32]Главн'!$H$41</definedName>
    <definedName name="lgot5" localSheetId="6">'[59]Главн'!$H$41</definedName>
    <definedName name="lgot5">'[21]Главн'!$H$41</definedName>
    <definedName name="name" localSheetId="2">'[46]Главн'!$C$2</definedName>
    <definedName name="name" localSheetId="9">'[32]Главн'!$C$2</definedName>
    <definedName name="name" localSheetId="6">'[59]Главн'!$C$2</definedName>
    <definedName name="name">'[21]Главн'!$C$2</definedName>
    <definedName name="nds1" localSheetId="9">'[32]Главн'!$D$42</definedName>
    <definedName name="nds1" localSheetId="6">'[59]Главн'!$D$42</definedName>
    <definedName name="nds1">'[21]Главн'!$D$42</definedName>
    <definedName name="nds2" localSheetId="9">'[32]Главн'!$E$42</definedName>
    <definedName name="nds2" localSheetId="6">'[59]Главн'!$E$42</definedName>
    <definedName name="nds2">'[21]Главн'!$E$42</definedName>
    <definedName name="nds3" localSheetId="9">'[32]Главн'!$F$42</definedName>
    <definedName name="nds3" localSheetId="6">'[59]Главн'!$F$42</definedName>
    <definedName name="nds3">'[21]Главн'!$F$42</definedName>
    <definedName name="nds4" localSheetId="9">'[32]Главн'!$G$42</definedName>
    <definedName name="nds4" localSheetId="6">'[59]Главн'!$G$42</definedName>
    <definedName name="nds4">'[21]Главн'!$G$42</definedName>
    <definedName name="nds5" localSheetId="9">'[32]Главн'!$H$42</definedName>
    <definedName name="nds5" localSheetId="6">'[59]Главн'!$H$42</definedName>
    <definedName name="nds5">'[21]Главн'!$H$42</definedName>
    <definedName name="nds6" localSheetId="9">'[32]Главн'!$I$42</definedName>
    <definedName name="nds6" localSheetId="6">'[59]Главн'!$I$42</definedName>
    <definedName name="nds6">'[21]Главн'!$I$42</definedName>
    <definedName name="price">'[7]Свод'!$C$11</definedName>
    <definedName name="remont" localSheetId="2">'[46]Амортиз'!$F$125</definedName>
    <definedName name="remont" localSheetId="9">'[32]Амортиз'!$F$125</definedName>
    <definedName name="remont" localSheetId="6">'[59]Амортиз'!$F$125</definedName>
    <definedName name="remont">'[21]Амортиз'!$F$125</definedName>
    <definedName name="RUR" localSheetId="2">'[7]Свод'!#REF!</definedName>
    <definedName name="RUR" localSheetId="4">'[7]Свод'!#REF!</definedName>
    <definedName name="RUR" localSheetId="8">'[7]Свод'!#REF!</definedName>
    <definedName name="RUR" localSheetId="6">'[7]Свод'!#REF!</definedName>
    <definedName name="RUR" localSheetId="5">'[7]Свод'!#REF!</definedName>
    <definedName name="RUR" localSheetId="7">'[7]Свод'!#REF!</definedName>
    <definedName name="RUR">'[7]Свод'!#REF!</definedName>
    <definedName name="USD" localSheetId="9">'[7]Свод'!#REF!</definedName>
    <definedName name="USD">'[12]Осн. пара'!$C$4</definedName>
    <definedName name="valuta" localSheetId="2">'[46]Главн'!$C$21</definedName>
    <definedName name="valuta" localSheetId="9">'[32]Главн'!$C$21</definedName>
    <definedName name="valuta" localSheetId="6">'[59]Главн'!$C$21</definedName>
    <definedName name="valuta">'[21]Главн'!$C$21</definedName>
    <definedName name="valuta2" localSheetId="2">'[46]Главн'!$C$19</definedName>
    <definedName name="valuta2" localSheetId="9">'[32]Главн'!$C$19</definedName>
    <definedName name="valuta2" localSheetId="6">'[59]Главн'!$C$19</definedName>
    <definedName name="valuta2">'[21]Главн'!$C$19</definedName>
    <definedName name="Z_9D8A7FE8_EB32_11D6_AAD8_00E04C390749_.wvu.Cols" localSheetId="2" hidden="1">#REF!</definedName>
    <definedName name="Z_9D8A7FE8_EB32_11D6_AAD8_00E04C390749_.wvu.Cols" hidden="1">#REF!</definedName>
    <definedName name="АвПокуп" localSheetId="2">#REF!</definedName>
    <definedName name="АвПокуп">#REF!</definedName>
    <definedName name="АвПокуп1" localSheetId="2">#REF!</definedName>
    <definedName name="АвПокуп1">#REF!</definedName>
    <definedName name="АвПост" localSheetId="2">#REF!</definedName>
    <definedName name="АвПост">#REF!</definedName>
    <definedName name="АвПост1" localSheetId="2">#REF!</definedName>
    <definedName name="АвПост1">#REF!</definedName>
    <definedName name="адм" localSheetId="2">#REF!</definedName>
    <definedName name="адм" localSheetId="9">#REF!</definedName>
    <definedName name="адм" localSheetId="6">#REF!</definedName>
    <definedName name="адм">#REF!</definedName>
    <definedName name="арекет" localSheetId="0">#REF!</definedName>
    <definedName name="арекет" localSheetId="2">#REF!</definedName>
    <definedName name="арекет">#REF!</definedName>
    <definedName name="арекет2" localSheetId="0">#REF!</definedName>
    <definedName name="арекет2" localSheetId="2">#REF!</definedName>
    <definedName name="арекет2">#REF!</definedName>
    <definedName name="арекет3" localSheetId="0">#REF!</definedName>
    <definedName name="арекет3" localSheetId="2">#REF!</definedName>
    <definedName name="арекет3">#REF!</definedName>
    <definedName name="арэк" localSheetId="0">#REF!</definedName>
    <definedName name="арэк" localSheetId="2">#REF!</definedName>
    <definedName name="арэк">#REF!</definedName>
    <definedName name="арэк2" localSheetId="0">#REF!</definedName>
    <definedName name="арэк2" localSheetId="2">#REF!</definedName>
    <definedName name="арэк2">#REF!</definedName>
    <definedName name="арэк3" localSheetId="0">#REF!</definedName>
    <definedName name="арэк3" localSheetId="2">#REF!</definedName>
    <definedName name="арэк3">#REF!</definedName>
    <definedName name="аств" localSheetId="0">#REF!</definedName>
    <definedName name="аств" localSheetId="2">#REF!</definedName>
    <definedName name="аств">#REF!</definedName>
    <definedName name="аств2" localSheetId="0">#REF!</definedName>
    <definedName name="аств2" localSheetId="2">#REF!</definedName>
    <definedName name="аств2">#REF!</definedName>
    <definedName name="аств3" localSheetId="0">#REF!</definedName>
    <definedName name="аств3" localSheetId="2">#REF!</definedName>
    <definedName name="аств3">#REF!</definedName>
    <definedName name="атырау" localSheetId="0">#REF!</definedName>
    <definedName name="атырау" localSheetId="2">#REF!</definedName>
    <definedName name="атырау">#REF!</definedName>
    <definedName name="атырау2" localSheetId="0">#REF!</definedName>
    <definedName name="атырау2" localSheetId="2">#REF!</definedName>
    <definedName name="атырау2">#REF!</definedName>
    <definedName name="атырау3" localSheetId="0">#REF!</definedName>
    <definedName name="атырау3" localSheetId="2">#REF!</definedName>
    <definedName name="атырау3">#REF!</definedName>
    <definedName name="баланс_стоимость" localSheetId="2">'[48]объекты обществаКокшетау'!#REF!</definedName>
    <definedName name="баланс_стоимость" localSheetId="4">'[23]объекты обществаКокшетау'!#REF!</definedName>
    <definedName name="баланс_стоимость" localSheetId="9">'[34]объекты обществаКокшетау'!#REF!</definedName>
    <definedName name="баланс_стоимость" localSheetId="8">'[23]объекты обществаКокшетау'!#REF!</definedName>
    <definedName name="баланс_стоимость" localSheetId="6">'[61]объекты обществаКокшетау'!#REF!</definedName>
    <definedName name="баланс_стоимость" localSheetId="5">'[23]объекты обществаКокшетау'!#REF!</definedName>
    <definedName name="баланс_стоимость" localSheetId="7">'[23]объекты обществаКокшетау'!#REF!</definedName>
    <definedName name="баланс_стоимость">'[23]объекты обществаКокшетау'!#REF!</definedName>
    <definedName name="бву">'[2]Фин. пок-ли'!$C$17</definedName>
    <definedName name="ВА1" localSheetId="2">#REF!</definedName>
    <definedName name="ВА1">#REF!</definedName>
    <definedName name="Вал" localSheetId="2">#REF!</definedName>
    <definedName name="Вал" localSheetId="9">#REF!</definedName>
    <definedName name="Вал" localSheetId="6">#REF!</definedName>
    <definedName name="Вал">#REF!</definedName>
    <definedName name="ВалП1" localSheetId="2">#REF!</definedName>
    <definedName name="ВалП1" localSheetId="4">#REF!</definedName>
    <definedName name="ВалП1" localSheetId="8">#REF!</definedName>
    <definedName name="ВалП1" localSheetId="6">#REF!</definedName>
    <definedName name="ВалП1" localSheetId="5">#REF!</definedName>
    <definedName name="ВалП1" localSheetId="7">#REF!</definedName>
    <definedName name="ВалП1">#REF!</definedName>
    <definedName name="Валюта" localSheetId="2">#REF!</definedName>
    <definedName name="Валюта">#REF!</definedName>
    <definedName name="вид_инвестиций" localSheetId="2">'[46]Invest'!$C$7:$C$240</definedName>
    <definedName name="вид_инвестиций" localSheetId="9">'[32]Invest'!$C$7:$C$240</definedName>
    <definedName name="вид_инвестиций" localSheetId="6">'[59]Invest'!$C$7:$C$240</definedName>
    <definedName name="вид_инвестиций">'[21]Invest'!$C$7:$C$240</definedName>
    <definedName name="Вита_осн">'[10]ИсхД+'!$A$2</definedName>
    <definedName name="ВК" localSheetId="2">#REF!</definedName>
    <definedName name="ВК">#REF!</definedName>
    <definedName name="ВК1" localSheetId="2">#REF!</definedName>
    <definedName name="ВК1">#REF!</definedName>
    <definedName name="ВК2" localSheetId="2">#REF!</definedName>
    <definedName name="ВК2">#REF!</definedName>
    <definedName name="ВК3" localSheetId="2">#REF!</definedName>
    <definedName name="ВК3">#REF!</definedName>
    <definedName name="вложения" localSheetId="2">'[46]Граф кап инвестиц'!$B$8:$B$12</definedName>
    <definedName name="вложения" localSheetId="9">'[32]Граф кап инвестиц'!$B$8:$B$12</definedName>
    <definedName name="вложения" localSheetId="6">'[59]Граф кап инвестиц'!$B$8:$B$12</definedName>
    <definedName name="вложения">'[21]Граф кап инвестиц'!$B$8:$B$12</definedName>
    <definedName name="ВР1" localSheetId="2">#REF!</definedName>
    <definedName name="ВР1">#REF!</definedName>
    <definedName name="ВРО1" localSheetId="2">#REF!</definedName>
    <definedName name="ВРО1">#REF!</definedName>
    <definedName name="всего_долл" localSheetId="2">'[48]объекты обществаКокшетау'!#REF!</definedName>
    <definedName name="всего_долл" localSheetId="4">'[23]объекты обществаКокшетау'!#REF!</definedName>
    <definedName name="всего_долл" localSheetId="9">'[34]объекты обществаКокшетау'!#REF!</definedName>
    <definedName name="всего_долл" localSheetId="8">'[23]объекты обществаКокшетау'!#REF!</definedName>
    <definedName name="всего_долл" localSheetId="6">'[61]объекты обществаКокшетау'!#REF!</definedName>
    <definedName name="всего_долл" localSheetId="5">'[23]объекты обществаКокшетау'!#REF!</definedName>
    <definedName name="всего_долл" localSheetId="7">'[23]объекты обществаКокшетау'!#REF!</definedName>
    <definedName name="всего_долл">'[23]объекты обществаКокшетау'!#REF!</definedName>
    <definedName name="газсервис" localSheetId="0">#REF!</definedName>
    <definedName name="газсервис" localSheetId="2">#REF!</definedName>
    <definedName name="газсервис">#REF!</definedName>
    <definedName name="газсервис2" localSheetId="0">#REF!</definedName>
    <definedName name="газсервис2" localSheetId="2">#REF!</definedName>
    <definedName name="газсервис2">#REF!</definedName>
    <definedName name="газсервис3" localSheetId="0">#REF!</definedName>
    <definedName name="газсервис3" localSheetId="2">#REF!</definedName>
    <definedName name="газсервис3">#REF!</definedName>
    <definedName name="год">'[5]Осн.показ'!$D$8</definedName>
    <definedName name="год1">'[5]Осн.показ'!$D$9</definedName>
    <definedName name="ГотПр" localSheetId="2">#REF!</definedName>
    <definedName name="ГотПр">#REF!</definedName>
    <definedName name="ГотПр1" localSheetId="2">#REF!</definedName>
    <definedName name="ГотПр1">#REF!</definedName>
    <definedName name="д" localSheetId="2">#REF!</definedName>
    <definedName name="д">#REF!</definedName>
    <definedName name="Дебиторская__задолженность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ср-в!!!'!$B$31+'[11]Дин. оборотн. ср-в!!!'!$B$33</definedName>
    <definedName name="Дебиторская_задолженность_Ст_сть_всех_активов">'[11]Уровень показателей!!!'!$E$18/'[11]Б3!!!'!$C$58</definedName>
    <definedName name="ДЗ" localSheetId="2">#REF!</definedName>
    <definedName name="ДЗ">#REF!</definedName>
    <definedName name="ДЗ1" localSheetId="2">#REF!</definedName>
    <definedName name="ДЗ1">#REF!</definedName>
    <definedName name="дз1к">'[11]Б1'!$D$34+'[11]Б1'!$D$35+'[11]Б1'!$D$36+'[11]Б1'!$D$37+'[11]Б1'!$D$38+'[11]Б1'!$D$39</definedName>
    <definedName name="дз1н">'[11]Б1'!$C$34++'[11]Б1'!$C$35+'[11]Б1'!$C$36+'[11]Б1'!$C$37+'[11]Б1'!$C$38+'[11]Б1'!$C$39</definedName>
    <definedName name="дз94к" localSheetId="2">'[11]Б1'!#REF!+'[11]Б1'!#REF!+'[11]Б1'!#REF!+'[11]Б1'!#REF!+'[11]Б1'!#REF!+'[11]Б1'!#REF!+'[11]Б1'!#REF!</definedName>
    <definedName name="дз94к" localSheetId="4">'[11]Б1'!#REF!+'[11]Б1'!#REF!+'[11]Б1'!#REF!+'[11]Б1'!#REF!+'[11]Б1'!#REF!+'[11]Б1'!#REF!+'[11]Б1'!#REF!</definedName>
    <definedName name="дз94к" localSheetId="8">'[11]Б1'!#REF!+'[11]Б1'!#REF!+'[11]Б1'!#REF!+'[11]Б1'!#REF!+'[11]Б1'!#REF!+'[11]Б1'!#REF!+'[11]Б1'!#REF!</definedName>
    <definedName name="дз94к" localSheetId="6">'[11]Б1'!#REF!+'[11]Б1'!#REF!+'[11]Б1'!#REF!+'[11]Б1'!#REF!+'[11]Б1'!#REF!+'[11]Б1'!#REF!+'[11]Б1'!#REF!</definedName>
    <definedName name="дз94к" localSheetId="5">'[11]Б1'!#REF!+'[11]Б1'!#REF!+'[11]Б1'!#REF!+'[11]Б1'!#REF!+'[11]Б1'!#REF!+'[11]Б1'!#REF!+'[11]Б1'!#REF!</definedName>
    <definedName name="дз94к" localSheetId="7">'[11]Б1'!#REF!+'[11]Б1'!#REF!+'[11]Б1'!#REF!+'[11]Б1'!#REF!+'[11]Б1'!#REF!+'[11]Б1'!#REF!+'[11]Б1'!#REF!</definedName>
    <definedName name="дз94к">'[11]Б1'!#REF!+'[11]Б1'!#REF!+'[11]Б1'!#REF!+'[11]Б1'!#REF!+'[11]Б1'!#REF!+'[11]Б1'!#REF!+'[11]Б1'!#REF!</definedName>
    <definedName name="дз94н" localSheetId="2">'[11]Б1'!#REF!+'[11]Б1'!#REF!+'[11]Б1'!#REF!+'[11]Б1'!#REF!+'[11]Б1'!#REF!+'[11]Б1'!#REF!+'[11]Б1'!#REF!</definedName>
    <definedName name="дз94н" localSheetId="4">'[11]Б1'!#REF!+'[11]Б1'!#REF!+'[11]Б1'!#REF!+'[11]Б1'!#REF!+'[11]Б1'!#REF!+'[11]Б1'!#REF!+'[11]Б1'!#REF!</definedName>
    <definedName name="дз94н" localSheetId="8">'[11]Б1'!#REF!+'[11]Б1'!#REF!+'[11]Б1'!#REF!+'[11]Б1'!#REF!+'[11]Б1'!#REF!+'[11]Б1'!#REF!+'[11]Б1'!#REF!</definedName>
    <definedName name="дз94н" localSheetId="6">'[11]Б1'!#REF!+'[11]Б1'!#REF!+'[11]Б1'!#REF!+'[11]Б1'!#REF!+'[11]Б1'!#REF!+'[11]Б1'!#REF!+'[11]Б1'!#REF!</definedName>
    <definedName name="дз94н" localSheetId="5">'[11]Б1'!#REF!+'[11]Б1'!#REF!+'[11]Б1'!#REF!+'[11]Б1'!#REF!+'[11]Б1'!#REF!+'[11]Б1'!#REF!+'[11]Б1'!#REF!</definedName>
    <definedName name="дз94н" localSheetId="7">'[11]Б1'!#REF!+'[11]Б1'!#REF!+'[11]Б1'!#REF!+'[11]Б1'!#REF!+'[11]Б1'!#REF!+'[11]Б1'!#REF!+'[11]Б1'!#REF!</definedName>
    <definedName name="дз94н">'[11]Б1'!#REF!+'[11]Б1'!#REF!+'[11]Б1'!#REF!+'[11]Б1'!#REF!+'[11]Б1'!#REF!+'[11]Б1'!#REF!+'[11]Б1'!#REF!</definedName>
    <definedName name="ДК1" localSheetId="2">#REF!</definedName>
    <definedName name="ДК1">#REF!</definedName>
    <definedName name="дол" localSheetId="2">#REF!</definedName>
    <definedName name="дол">#REF!</definedName>
    <definedName name="долл" localSheetId="2">#REF!</definedName>
    <definedName name="долл" localSheetId="4">#REF!</definedName>
    <definedName name="долл" localSheetId="9">'[35]Исх'!$C$16</definedName>
    <definedName name="долл" localSheetId="8">#REF!</definedName>
    <definedName name="долл" localSheetId="6">#REF!</definedName>
    <definedName name="долл" localSheetId="5">#REF!</definedName>
    <definedName name="долл" localSheetId="7">'ФОТ'!#REF!</definedName>
    <definedName name="долл">#REF!</definedName>
    <definedName name="доллар" localSheetId="2">'[49]Параметры'!$C$18</definedName>
    <definedName name="доллар" localSheetId="9">'[36]Параметры'!$C$18</definedName>
    <definedName name="доллар" localSheetId="6">'[62]Параметры'!$C$18</definedName>
    <definedName name="доллар">'[25]Параметры'!$C$18</definedName>
    <definedName name="дох" localSheetId="2">#REF!</definedName>
    <definedName name="дох" localSheetId="9">#REF!</definedName>
    <definedName name="дох" localSheetId="6">#REF!</definedName>
    <definedName name="дох">#REF!</definedName>
    <definedName name="дсша" localSheetId="2">#REF!</definedName>
    <definedName name="дсша" localSheetId="4">#REF!</definedName>
    <definedName name="дсша" localSheetId="9">#REF!</definedName>
    <definedName name="дсша" localSheetId="8">#REF!</definedName>
    <definedName name="дсша" localSheetId="6">#REF!</definedName>
    <definedName name="дсша" localSheetId="5">#REF!</definedName>
    <definedName name="дсша" localSheetId="7">#REF!</definedName>
    <definedName name="дсша">#REF!</definedName>
    <definedName name="дт" localSheetId="2">'[50]пост. пар.'!$C$13</definedName>
    <definedName name="дт" localSheetId="9">'[37]пост. пар.'!$C$13</definedName>
    <definedName name="дт" localSheetId="6">'[63]пост. пар.'!$C$13</definedName>
    <definedName name="дт">'[26]пост. пар.'!$C$13</definedName>
    <definedName name="евр">'[5]Осн.показ'!$D$13</definedName>
    <definedName name="евро" localSheetId="2">#REF!</definedName>
    <definedName name="евро" localSheetId="12">'[8]Общ_Д'!$B$16</definedName>
    <definedName name="евро">#REF!</definedName>
    <definedName name="ждд" localSheetId="2">#REF!</definedName>
    <definedName name="ждд" localSheetId="9">#REF!</definedName>
    <definedName name="ждд" localSheetId="6">#REF!</definedName>
    <definedName name="ждд">#REF!</definedName>
    <definedName name="_xlnm.Print_Titles" localSheetId="1">'2-ф2'!$A:$A</definedName>
    <definedName name="_xlnm.Print_Titles" localSheetId="2">'3-Баланс'!$A:$A</definedName>
    <definedName name="_xlnm.Print_Titles" localSheetId="10">'Инв'!$4:$4</definedName>
    <definedName name="_xlnm.Print_Titles" localSheetId="9">'кр'!$A:$B</definedName>
    <definedName name="_xlnm.Print_Titles" localSheetId="6">'Производство'!$A:$A</definedName>
    <definedName name="_xlnm.Print_Titles" localSheetId="7">'ФОТ'!$4:$4</definedName>
    <definedName name="Зап" localSheetId="2">#REF!</definedName>
    <definedName name="Зап">#REF!</definedName>
    <definedName name="Зап1" localSheetId="2">#REF!</definedName>
    <definedName name="Зап1">#REF!</definedName>
    <definedName name="имя" localSheetId="2">#REF!</definedName>
    <definedName name="имя">#REF!</definedName>
    <definedName name="Инвестор1" localSheetId="2">'[46]Главн'!$C$8</definedName>
    <definedName name="Инвестор1" localSheetId="9">'[32]Главн'!$C$8</definedName>
    <definedName name="Инвестор1" localSheetId="6">'[59]Главн'!$C$8</definedName>
    <definedName name="Инвестор1">'[21]Главн'!$C$8</definedName>
    <definedName name="Инвестор2" localSheetId="2">'[46]Главн'!$C$9</definedName>
    <definedName name="Инвестор2" localSheetId="9">'[32]Главн'!$C$9</definedName>
    <definedName name="Инвестор2" localSheetId="6">'[59]Главн'!$C$9</definedName>
    <definedName name="Инвестор2">'[21]Главн'!$C$9</definedName>
    <definedName name="Инвестор3" localSheetId="2">'[46]Главн'!$C$10</definedName>
    <definedName name="Инвестор3" localSheetId="9">'[32]Главн'!$C$10</definedName>
    <definedName name="Инвестор3" localSheetId="6">'[59]Главн'!$C$10</definedName>
    <definedName name="Инвестор3">'[21]Главн'!$C$10</definedName>
    <definedName name="инициатор" localSheetId="2">'[46]Главн'!$C$7</definedName>
    <definedName name="инициатор" localSheetId="9">'[32]Главн'!$C$7</definedName>
    <definedName name="инициатор" localSheetId="6">'[59]Главн'!$C$7</definedName>
    <definedName name="инициатор">'[21]Главн'!$C$7</definedName>
    <definedName name="Инт" localSheetId="2">#REF!</definedName>
    <definedName name="Инт" localSheetId="4">#REF!</definedName>
    <definedName name="Инт" localSheetId="8">#REF!</definedName>
    <definedName name="Инт" localSheetId="6">#REF!</definedName>
    <definedName name="Инт" localSheetId="5">#REF!</definedName>
    <definedName name="Инт" localSheetId="7">#REF!</definedName>
    <definedName name="Инт">#REF!</definedName>
    <definedName name="итого_в_долл" localSheetId="2">'[48]объекты обществаКокшетау'!#REF!</definedName>
    <definedName name="итого_в_долл" localSheetId="4">'[23]объекты обществаКокшетау'!#REF!</definedName>
    <definedName name="итого_в_долл" localSheetId="9">'[34]объекты обществаКокшетау'!#REF!</definedName>
    <definedName name="итого_в_долл" localSheetId="8">'[23]объекты обществаКокшетау'!#REF!</definedName>
    <definedName name="итого_в_долл" localSheetId="6">'[61]объекты обществаКокшетау'!#REF!</definedName>
    <definedName name="итого_в_долл" localSheetId="5">'[23]объекты обществаКокшетау'!#REF!</definedName>
    <definedName name="итого_в_долл" localSheetId="7">'[23]объекты обществаКокшетау'!#REF!</definedName>
    <definedName name="итого_в_долл">'[23]объекты обществаКокшетау'!#REF!</definedName>
    <definedName name="июль" localSheetId="2">#REF!</definedName>
    <definedName name="июль" localSheetId="9">#REF!</definedName>
    <definedName name="июль" localSheetId="6">#REF!</definedName>
    <definedName name="июль">#REF!</definedName>
    <definedName name="Каламкас" localSheetId="2">'[27]объекты обществаКокшетау'!#REF!</definedName>
    <definedName name="Каламкас" localSheetId="4">'[27]объекты обществаКокшетау'!#REF!</definedName>
    <definedName name="Каламкас" localSheetId="8">'[27]объекты обществаКокшетау'!#REF!</definedName>
    <definedName name="Каламкас" localSheetId="6">'[27]объекты обществаКокшетау'!#REF!</definedName>
    <definedName name="Каламкас" localSheetId="5">'[27]объекты обществаКокшетау'!#REF!</definedName>
    <definedName name="Каламкас" localSheetId="7">'[27]объекты обществаКокшетау'!#REF!</definedName>
    <definedName name="Каламкас">'[27]объекты обществаКокшетау'!#REF!</definedName>
    <definedName name="кндс" localSheetId="2">#REF!</definedName>
    <definedName name="кндс" localSheetId="4">#REF!</definedName>
    <definedName name="кндс" localSheetId="9">'[5]Осн.показ'!$D$15</definedName>
    <definedName name="кндс" localSheetId="8">#REF!</definedName>
    <definedName name="кндс" localSheetId="6">#REF!</definedName>
    <definedName name="кндс" localSheetId="5">#REF!</definedName>
    <definedName name="кндс" localSheetId="7">'ФОТ'!#REF!</definedName>
    <definedName name="кндс">#REF!</definedName>
    <definedName name="кндс1" localSheetId="2">'[51]Исх'!$C$8</definedName>
    <definedName name="кндс1" localSheetId="11">'[17]Исх'!$C$8</definedName>
    <definedName name="кндс1" localSheetId="9">'[35]Исх'!$C$8</definedName>
    <definedName name="кндс1" localSheetId="6">'[65]Исх'!$C$8</definedName>
    <definedName name="кндс1">'[15]Исх'!$C$8</definedName>
    <definedName name="Код" localSheetId="2">#REF!</definedName>
    <definedName name="Код">#REF!</definedName>
    <definedName name="компресс" localSheetId="2">#REF!</definedName>
    <definedName name="компресс" localSheetId="4">#REF!</definedName>
    <definedName name="компресс" localSheetId="8">#REF!</definedName>
    <definedName name="компресс" localSheetId="6">#REF!</definedName>
    <definedName name="компресс" localSheetId="5">#REF!</definedName>
    <definedName name="компресс" localSheetId="7">#REF!</definedName>
    <definedName name="компресс">#REF!</definedName>
    <definedName name="кре" localSheetId="2">#REF!</definedName>
    <definedName name="кре" localSheetId="9">#REF!</definedName>
    <definedName name="кре" localSheetId="6">#REF!</definedName>
    <definedName name="кре">#REF!</definedName>
    <definedName name="Кредит_перераб" localSheetId="2">'[9]Общ_Д'!#REF!</definedName>
    <definedName name="Кредит_перераб" localSheetId="4">'[9]Общ_Д'!#REF!</definedName>
    <definedName name="Кредит_перераб" localSheetId="8">'[9]Общ_Д'!#REF!</definedName>
    <definedName name="Кредит_перераб" localSheetId="6">'[9]Общ_Д'!#REF!</definedName>
    <definedName name="Кредит_перераб" localSheetId="5">'[9]Общ_Д'!#REF!</definedName>
    <definedName name="Кредит_перераб" localSheetId="7">'[9]Общ_Д'!#REF!</definedName>
    <definedName name="Кредит_перераб">'[9]Общ_Д'!#REF!</definedName>
    <definedName name="Кредит_произв" localSheetId="2">'[9]Общ_Д'!#REF!</definedName>
    <definedName name="Кредит_произв" localSheetId="4">'[9]Общ_Д'!#REF!</definedName>
    <definedName name="Кредит_произв" localSheetId="8">'[9]Общ_Д'!#REF!</definedName>
    <definedName name="Кредит_произв" localSheetId="6">'[9]Общ_Д'!#REF!</definedName>
    <definedName name="Кредит_произв" localSheetId="5">'[9]Общ_Д'!#REF!</definedName>
    <definedName name="Кредит_произв" localSheetId="7">'[9]Общ_Д'!#REF!</definedName>
    <definedName name="Кредит_произв">'[9]Общ_Д'!#REF!</definedName>
    <definedName name="Кредит_производство" localSheetId="2">'[9]Общ_Д'!#REF!</definedName>
    <definedName name="Кредит_производство" localSheetId="4">'[9]Общ_Д'!#REF!</definedName>
    <definedName name="Кредит_производство" localSheetId="8">'[9]Общ_Д'!#REF!</definedName>
    <definedName name="Кредит_производство" localSheetId="6">'[9]Общ_Д'!#REF!</definedName>
    <definedName name="Кредит_производство" localSheetId="5">'[9]Общ_Д'!#REF!</definedName>
    <definedName name="Кредит_производство" localSheetId="7">'[9]Общ_Д'!#REF!</definedName>
    <definedName name="Кредит_производство">'[9]Общ_Д'!#REF!</definedName>
    <definedName name="кросс_курс">'[4]Приобретение О.С.'!$F$3</definedName>
    <definedName name="кулагер" localSheetId="0">#REF!</definedName>
    <definedName name="кулагер" localSheetId="2">#REF!</definedName>
    <definedName name="кулагер">#REF!</definedName>
    <definedName name="кулагер2" localSheetId="0">#REF!</definedName>
    <definedName name="кулагер2" localSheetId="2">#REF!</definedName>
    <definedName name="кулагер2">#REF!</definedName>
    <definedName name="кулагер3" localSheetId="0">#REF!</definedName>
    <definedName name="кулагер3" localSheetId="2">#REF!</definedName>
    <definedName name="кулагер3">#REF!</definedName>
    <definedName name="кумыскаскыр" localSheetId="0">#REF!</definedName>
    <definedName name="кумыскаскыр" localSheetId="2">#REF!</definedName>
    <definedName name="кумыскаскыр">#REF!</definedName>
    <definedName name="кумыскаскыр2" localSheetId="0">#REF!</definedName>
    <definedName name="кумыскаскыр2" localSheetId="2">#REF!</definedName>
    <definedName name="кумыскаскыр2">#REF!</definedName>
    <definedName name="кумыскаскыр3" localSheetId="0">#REF!</definedName>
    <definedName name="кумыскаскыр3" localSheetId="2">#REF!</definedName>
    <definedName name="кумыскаскыр3">#REF!</definedName>
    <definedName name="Курс" localSheetId="0">'[4]Перем. затраты'!$P$45</definedName>
    <definedName name="курс" localSheetId="2">'[52]Исх'!$C$5</definedName>
    <definedName name="курс" localSheetId="11">'[19]Данные,рентаб'!$C$23</definedName>
    <definedName name="Курс" localSheetId="9">'[13]Перем. затраты'!$P$45</definedName>
    <definedName name="курс" localSheetId="6">'[58]Исх'!$C$5</definedName>
    <definedName name="курс">'Исх'!#REF!</definedName>
    <definedName name="курс_доллара_сегодня" localSheetId="2">'[53]константы'!$A$15</definedName>
    <definedName name="курс_доллара_сегодня" localSheetId="9">'[39]константы'!$A$15</definedName>
    <definedName name="курс_доллара_сегодня" localSheetId="6">'[66]константы'!$A$15</definedName>
    <definedName name="курс_доллара_сегодня">'[28]константы'!$A$15</definedName>
    <definedName name="курс_НБРК" localSheetId="2">'[48]объекты обществаКокшетау'!#REF!</definedName>
    <definedName name="курс_НБРК" localSheetId="4">'[23]объекты обществаКокшетау'!#REF!</definedName>
    <definedName name="курс_НБРК" localSheetId="9">'[34]объекты обществаКокшетау'!#REF!</definedName>
    <definedName name="курс_НБРК" localSheetId="8">'[23]объекты обществаКокшетау'!#REF!</definedName>
    <definedName name="курс_НБРК" localSheetId="6">'[61]объекты обществаКокшетау'!#REF!</definedName>
    <definedName name="курс_НБРК" localSheetId="5">'[23]объекты обществаКокшетау'!#REF!</definedName>
    <definedName name="курс_НБРК" localSheetId="7">'[23]объекты обществаКокшетау'!#REF!</definedName>
    <definedName name="курс_НБРК">'[23]объекты обществаКокшетау'!#REF!</definedName>
    <definedName name="Курс1" localSheetId="2">#REF!</definedName>
    <definedName name="Курс1" localSheetId="4">#REF!</definedName>
    <definedName name="Курс1" localSheetId="9">#REF!</definedName>
    <definedName name="Курс1" localSheetId="8">#REF!</definedName>
    <definedName name="Курс1" localSheetId="6">#REF!</definedName>
    <definedName name="Курс1" localSheetId="5">#REF!</definedName>
    <definedName name="Курс1" localSheetId="7">#REF!</definedName>
    <definedName name="Курс1">#REF!</definedName>
    <definedName name="Курс10" localSheetId="2">'[14]Финпоки1'!#REF!</definedName>
    <definedName name="Курс10" localSheetId="4">'[14]Финпоки1'!#REF!</definedName>
    <definedName name="Курс10" localSheetId="8">'[14]Финпоки1'!#REF!</definedName>
    <definedName name="Курс10" localSheetId="6">'[14]Финпоки1'!#REF!</definedName>
    <definedName name="Курс10" localSheetId="5">'[14]Финпоки1'!#REF!</definedName>
    <definedName name="Курс10" localSheetId="7">'[14]Финпоки1'!#REF!</definedName>
    <definedName name="Курс10">'[14]Финпоки1'!#REF!</definedName>
    <definedName name="курсСША" localSheetId="2">#REF!</definedName>
    <definedName name="курсСША" localSheetId="9">#REF!</definedName>
    <definedName name="курсСША" localSheetId="6">#REF!</definedName>
    <definedName name="курсСША">#REF!</definedName>
    <definedName name="мес" localSheetId="2">'[54]Осн.показ'!$C$10</definedName>
    <definedName name="мес" localSheetId="9">'[41]Осн.показ'!$C$10</definedName>
    <definedName name="мес" localSheetId="6">'[67]Осн.показ'!$C$10</definedName>
    <definedName name="мес">'[24]Осн.показ'!$C$10</definedName>
    <definedName name="мес1" localSheetId="2">'[54]Осн.показ'!$C$11</definedName>
    <definedName name="мес1" localSheetId="9">'[41]Осн.показ'!$C$11</definedName>
    <definedName name="мес1" localSheetId="6">'[67]Осн.показ'!$C$11</definedName>
    <definedName name="мес1">'[24]Осн.показ'!$C$11</definedName>
    <definedName name="металлоформы" localSheetId="2">#REF!</definedName>
    <definedName name="металлоформы" localSheetId="4">#REF!</definedName>
    <definedName name="металлоформы" localSheetId="8">#REF!</definedName>
    <definedName name="металлоформы" localSheetId="6">#REF!</definedName>
    <definedName name="металлоформы" localSheetId="5">#REF!</definedName>
    <definedName name="металлоформы" localSheetId="7">#REF!</definedName>
    <definedName name="металлоформы">#REF!</definedName>
    <definedName name="МОВ" localSheetId="2">#REF!</definedName>
    <definedName name="МОВ">#REF!</definedName>
    <definedName name="Мощность" localSheetId="2">'[55]Параметры'!$C$2</definedName>
    <definedName name="Мощность" localSheetId="9">'[42]Параметры'!$C$2</definedName>
    <definedName name="Мощность" localSheetId="6">'[68]Параметры'!$C$2</definedName>
    <definedName name="Мощность">'[29]Параметры'!$C$2</definedName>
    <definedName name="МРП">'[4]Перем. затраты'!$P$46</definedName>
    <definedName name="Название" localSheetId="2">#REF!</definedName>
    <definedName name="Название">#REF!</definedName>
    <definedName name="Наименование">'[7]План пр-ва'!$A$6</definedName>
    <definedName name="ндс" localSheetId="2">'[52]Исх'!$C$8</definedName>
    <definedName name="ндс" localSheetId="11">'[18]Исх'!$C$9</definedName>
    <definedName name="НДС" localSheetId="9">'[13]Перем. затраты'!$P$47</definedName>
    <definedName name="ндс" localSheetId="6">'[58]Исх'!$C$7</definedName>
    <definedName name="НДС" localSheetId="7">'ФОТ'!#REF!</definedName>
    <definedName name="ндс">'Исх'!$C$17</definedName>
    <definedName name="НДС_2003" localSheetId="9">'[13]Перем. затраты'!$P$48</definedName>
    <definedName name="НДС_2003" localSheetId="12">'[13]Перем. затраты'!$P$48</definedName>
    <definedName name="НДС_2003">'[4]Перем. затраты'!$P$48</definedName>
    <definedName name="НДС1" localSheetId="2">'[51]Исх'!$C$7</definedName>
    <definedName name="НДС1" localSheetId="11">'[17]Исх'!$C$7</definedName>
    <definedName name="НДС1" localSheetId="9">'[35]Исх'!$C$7</definedName>
    <definedName name="НДС1" localSheetId="6">'[65]Исх'!$C$7</definedName>
    <definedName name="НДС1">'[15]Исх'!$C$7</definedName>
    <definedName name="НДС2">'[4]Перем. затраты'!$P$47</definedName>
    <definedName name="недвижКонсал" localSheetId="0">#REF!</definedName>
    <definedName name="недвижКонсал" localSheetId="2">#REF!</definedName>
    <definedName name="недвижКонсал">#REF!</definedName>
    <definedName name="недвижКонсал2" localSheetId="0">#REF!</definedName>
    <definedName name="недвижКонсал2" localSheetId="2">#REF!</definedName>
    <definedName name="недвижКонсал2">#REF!</definedName>
    <definedName name="недвижКонсал3" localSheetId="0">#REF!</definedName>
    <definedName name="недвижКонсал3" localSheetId="2">#REF!</definedName>
    <definedName name="недвижКонсал3">#REF!</definedName>
    <definedName name="НПр" localSheetId="2">#REF!</definedName>
    <definedName name="НПр">#REF!</definedName>
    <definedName name="НПр1" localSheetId="2">#REF!</definedName>
    <definedName name="НПр1">#REF!</definedName>
    <definedName name="_xlnm.Print_Area" localSheetId="0">'1-Ф3'!$A$1:$AI$36</definedName>
    <definedName name="_xlnm.Print_Area" localSheetId="1">'2-ф2'!$A$1:$AI$28</definedName>
    <definedName name="_xlnm.Print_Area" localSheetId="2">'3-Баланс'!$A$1:$AI$26</definedName>
    <definedName name="_xlnm.Print_Area" localSheetId="10">'Инв'!$A$1:$Q$21</definedName>
    <definedName name="_xlnm.Print_Area" localSheetId="3">'Исх'!$A$1:$J$45</definedName>
    <definedName name="_xlnm.Print_Area" localSheetId="9">'кр'!$A$1:$DB$13</definedName>
    <definedName name="_xlnm.Print_Area" localSheetId="12">'Осн.пок-ли'!$A$1:$I$69</definedName>
    <definedName name="_xlnm.Print_Area" localSheetId="6">'Производство'!$A$1:$AI$8</definedName>
    <definedName name="_xlnm.Print_Area" localSheetId="7">'ФОТ'!$A$1:$K$25</definedName>
    <definedName name="обм" localSheetId="2">'3-Баланс'!#REF!</definedName>
    <definedName name="обм" localSheetId="11">'[16]ф2'!#REF!</definedName>
    <definedName name="обм" localSheetId="4">'2-ф2'!#REF!</definedName>
    <definedName name="обм" localSheetId="9">'[40]ф2'!#REF!</definedName>
    <definedName name="обм" localSheetId="8">'2-ф2'!#REF!</definedName>
    <definedName name="обм" localSheetId="6">'Производство'!#REF!</definedName>
    <definedName name="обм" localSheetId="5">'2-ф2'!#REF!</definedName>
    <definedName name="обм" localSheetId="7">'2-ф2'!#REF!</definedName>
    <definedName name="обм">'2-ф2'!#REF!</definedName>
    <definedName name="оборудование_ЖД" localSheetId="2">#REF!</definedName>
    <definedName name="оборудование_ЖД" localSheetId="4">#REF!</definedName>
    <definedName name="оборудование_ЖД" localSheetId="8">#REF!</definedName>
    <definedName name="оборудование_ЖД" localSheetId="6">#REF!</definedName>
    <definedName name="оборудование_ЖД" localSheetId="5">#REF!</definedName>
    <definedName name="оборудование_ЖД" localSheetId="7">#REF!</definedName>
    <definedName name="оборудование_ЖД">#REF!</definedName>
    <definedName name="общ" localSheetId="2">#REF!</definedName>
    <definedName name="общ" localSheetId="9">#REF!</definedName>
    <definedName name="общ" localSheetId="6">#REF!</definedName>
    <definedName name="общ">#REF!</definedName>
    <definedName name="объем">'[12]Осн. пара'!$C$6</definedName>
    <definedName name="объемгод">'[12]Осн. пара'!$C$7</definedName>
    <definedName name="ОС" localSheetId="2">'[54]ОС'!$D$27</definedName>
    <definedName name="ОС" localSheetId="9">'[41]ОС'!$D$27</definedName>
    <definedName name="ОС" localSheetId="6">'[67]ОС'!$D$27</definedName>
    <definedName name="ОС">'[24]ОС'!$D$27</definedName>
    <definedName name="отрасль">'[11]Б1'!$B$6</definedName>
    <definedName name="пер" localSheetId="2">#REF!</definedName>
    <definedName name="пер">#REF!</definedName>
    <definedName name="ПерЗ1" localSheetId="2">#REF!</definedName>
    <definedName name="ПерЗ1">#REF!</definedName>
    <definedName name="План_производства" localSheetId="2">#REF!</definedName>
    <definedName name="План_производства">#REF!</definedName>
    <definedName name="ПМ">'[4]Перем. затраты'!$K$3</definedName>
    <definedName name="подстанция" localSheetId="2">#REF!</definedName>
    <definedName name="подстанция" localSheetId="4">#REF!</definedName>
    <definedName name="подстанция" localSheetId="8">#REF!</definedName>
    <definedName name="подстанция" localSheetId="6">#REF!</definedName>
    <definedName name="подстанция" localSheetId="5">#REF!</definedName>
    <definedName name="подстанция" localSheetId="7">#REF!</definedName>
    <definedName name="подстанция">#REF!</definedName>
    <definedName name="Показатели" localSheetId="2">'[46]Главн'!$C$2</definedName>
    <definedName name="Показатели" localSheetId="9">'[32]Главн'!$C$2</definedName>
    <definedName name="Показатели" localSheetId="6">'[59]Главн'!$C$2</definedName>
    <definedName name="Показатели">'[21]Главн'!$C$2</definedName>
    <definedName name="пос" localSheetId="2">#REF!</definedName>
    <definedName name="пос">#REF!</definedName>
    <definedName name="ПОсД1" localSheetId="2">#REF!</definedName>
    <definedName name="ПОсД1">#REF!</definedName>
    <definedName name="пост" localSheetId="2">#REF!</definedName>
    <definedName name="пост">#REF!</definedName>
    <definedName name="ПостЗ1" localSheetId="2">#REF!</definedName>
    <definedName name="ПостЗ1">#REF!</definedName>
    <definedName name="приозернвй" localSheetId="0">#REF!</definedName>
    <definedName name="приозернвй" localSheetId="2">#REF!</definedName>
    <definedName name="приозернвй">#REF!</definedName>
    <definedName name="приозерный2" localSheetId="0">#REF!</definedName>
    <definedName name="приозерный2" localSheetId="2">#REF!</definedName>
    <definedName name="приозерный2">#REF!</definedName>
    <definedName name="приозерный3" localSheetId="0">#REF!</definedName>
    <definedName name="приозерный3" localSheetId="2">#REF!</definedName>
    <definedName name="приозерный3">#REF!</definedName>
    <definedName name="Проч" localSheetId="2">#REF!</definedName>
    <definedName name="Проч">#REF!</definedName>
    <definedName name="Проч1" localSheetId="2">#REF!</definedName>
    <definedName name="Проч1">#REF!</definedName>
    <definedName name="раб" localSheetId="2">'[56]Осн. пара'!$C$9</definedName>
    <definedName name="раб" localSheetId="9">'[43]Осн. пара'!$C$9</definedName>
    <definedName name="раб" localSheetId="6">'[69]Осн. пара'!$C$9</definedName>
    <definedName name="раб">'[30]Осн. пара'!$C$9</definedName>
    <definedName name="рас" localSheetId="2">'[54]Осн.показ'!$C$12</definedName>
    <definedName name="рас" localSheetId="9">'[41]Осн.показ'!$C$12</definedName>
    <definedName name="рас" localSheetId="6">'[67]Осн.показ'!$C$12</definedName>
    <definedName name="рас">'[24]Осн.показ'!$C$12</definedName>
    <definedName name="рбу" localSheetId="2">#REF!</definedName>
    <definedName name="рбу" localSheetId="4">#REF!</definedName>
    <definedName name="рбу" localSheetId="8">#REF!</definedName>
    <definedName name="рбу" localSheetId="6">#REF!</definedName>
    <definedName name="рбу" localSheetId="5">#REF!</definedName>
    <definedName name="рбу" localSheetId="7">#REF!</definedName>
    <definedName name="рбу">#REF!</definedName>
    <definedName name="рос" localSheetId="2">'[50]пост. пар.'!$C$8</definedName>
    <definedName name="рос" localSheetId="9">'[37]пост. пар.'!$C$8</definedName>
    <definedName name="рос" localSheetId="6">'[63]пост. пар.'!$C$8</definedName>
    <definedName name="рос">'[26]пост. пар.'!$C$8</definedName>
    <definedName name="руб" localSheetId="2">#REF!</definedName>
    <definedName name="руб" localSheetId="4">#REF!</definedName>
    <definedName name="руб" localSheetId="8">#REF!</definedName>
    <definedName name="руб" localSheetId="6">#REF!</definedName>
    <definedName name="руб" localSheetId="5">#REF!</definedName>
    <definedName name="руб" localSheetId="7">'ФОТ'!#REF!</definedName>
    <definedName name="руб">#REF!</definedName>
    <definedName name="себ" localSheetId="2">'3-Баланс'!#REF!</definedName>
    <definedName name="себ" localSheetId="11">'[16]ф2'!#REF!</definedName>
    <definedName name="себ" localSheetId="4">'2-ф2'!#REF!</definedName>
    <definedName name="себ" localSheetId="9">'[40]ф2'!#REF!</definedName>
    <definedName name="себ" localSheetId="8">'2-ф2'!#REF!</definedName>
    <definedName name="себ" localSheetId="6">'Производство'!#REF!</definedName>
    <definedName name="себ" localSheetId="5">'2-ф2'!#REF!</definedName>
    <definedName name="себ" localSheetId="7">'2-ф2'!#REF!</definedName>
    <definedName name="себ">'2-ф2'!#REF!</definedName>
    <definedName name="ситиПалас" localSheetId="0">#REF!</definedName>
    <definedName name="ситиПалас" localSheetId="2">#REF!</definedName>
    <definedName name="ситиПалас">#REF!</definedName>
    <definedName name="ситиПалас2" localSheetId="0">#REF!</definedName>
    <definedName name="ситиПалас2" localSheetId="2">#REF!</definedName>
    <definedName name="ситиПалас2">#REF!</definedName>
    <definedName name="ситиПалас3" localSheetId="0">#REF!</definedName>
    <definedName name="ситиПалас3" localSheetId="2">#REF!</definedName>
    <definedName name="ситиПалас3">#REF!</definedName>
    <definedName name="склад_продукции" localSheetId="2">#REF!</definedName>
    <definedName name="склад_продукции" localSheetId="4">#REF!</definedName>
    <definedName name="склад_продукции" localSheetId="8">#REF!</definedName>
    <definedName name="склад_продукции" localSheetId="6">#REF!</definedName>
    <definedName name="склад_продукции" localSheetId="5">#REF!</definedName>
    <definedName name="склад_продукции" localSheetId="7">#REF!</definedName>
    <definedName name="склад_продукции">#REF!</definedName>
    <definedName name="склад_цем" localSheetId="2">#REF!</definedName>
    <definedName name="склад_цем" localSheetId="4">#REF!</definedName>
    <definedName name="склад_цем" localSheetId="8">#REF!</definedName>
    <definedName name="склад_цем" localSheetId="6">#REF!</definedName>
    <definedName name="склад_цем" localSheetId="5">#REF!</definedName>
    <definedName name="склад_цем" localSheetId="7">#REF!</definedName>
    <definedName name="склад_цем">#REF!</definedName>
    <definedName name="соц1" localSheetId="2">'[46]Главн'!$D$48</definedName>
    <definedName name="соц1" localSheetId="9">'[32]Главн'!$D$48</definedName>
    <definedName name="соц1" localSheetId="6">'[59]Главн'!$D$48</definedName>
    <definedName name="соц1">'[21]Главн'!$D$48</definedName>
    <definedName name="соц2" localSheetId="2">'[46]Главн'!$E$48</definedName>
    <definedName name="соц2" localSheetId="9">'[32]Главн'!$E$48</definedName>
    <definedName name="соц2" localSheetId="6">'[59]Главн'!$E$48</definedName>
    <definedName name="соц2">'[21]Главн'!$E$48</definedName>
    <definedName name="соц3" localSheetId="2">'[46]Главн'!$F$48</definedName>
    <definedName name="соц3" localSheetId="9">'[32]Главн'!$F$48</definedName>
    <definedName name="соц3" localSheetId="6">'[59]Главн'!$F$48</definedName>
    <definedName name="соц3">'[21]Главн'!$F$48</definedName>
    <definedName name="соц4" localSheetId="2">'[46]Главн'!$G$48</definedName>
    <definedName name="соц4" localSheetId="9">'[32]Главн'!$G$48</definedName>
    <definedName name="соц4" localSheetId="6">'[59]Главн'!$G$48</definedName>
    <definedName name="соц4">'[21]Главн'!$G$48</definedName>
    <definedName name="соц5" localSheetId="2">'[46]Главн'!$H$48</definedName>
    <definedName name="соц5" localSheetId="9">'[32]Главн'!$H$48</definedName>
    <definedName name="соц5" localSheetId="6">'[59]Главн'!$H$48</definedName>
    <definedName name="соц5">'[21]Главн'!$H$48</definedName>
    <definedName name="спецодежда" localSheetId="2">#REF!</definedName>
    <definedName name="спецодежда" localSheetId="4">#REF!</definedName>
    <definedName name="спецодежда" localSheetId="8">#REF!</definedName>
    <definedName name="спецодежда" localSheetId="6">#REF!</definedName>
    <definedName name="спецодежда" localSheetId="5">#REF!</definedName>
    <definedName name="спецодежда" localSheetId="7">#REF!</definedName>
    <definedName name="спецодежда">#REF!</definedName>
    <definedName name="Срок_инвестиций1" localSheetId="2">'[46]Invest'!$I$7:$I$240</definedName>
    <definedName name="Срок_инвестиций1" localSheetId="9">'[32]Invest'!$I$7:$I$240</definedName>
    <definedName name="Срок_инвестиций1" localSheetId="6">'[59]Invest'!$I$7:$I$240</definedName>
    <definedName name="Срок_инвестиций1">'[21]Invest'!$I$7:$I$240</definedName>
    <definedName name="Срок_инвестиций2" localSheetId="2">'[46]Invest'!$M$7:$M$240</definedName>
    <definedName name="Срок_инвестиций2" localSheetId="9">'[32]Invest'!$M$7:$M$240</definedName>
    <definedName name="Срок_инвестиций2" localSheetId="6">'[59]Invest'!$M$7:$M$240</definedName>
    <definedName name="Срок_инвестиций2">'[21]Invest'!$M$7:$M$240</definedName>
    <definedName name="Срок_инвестиций3" localSheetId="2">'[46]Invest'!$Q$7:$Q$240</definedName>
    <definedName name="Срок_инвестиций3" localSheetId="9">'[32]Invest'!$Q$7:$Q$240</definedName>
    <definedName name="Срок_инвестиций3" localSheetId="6">'[59]Invest'!$Q$7:$Q$240</definedName>
    <definedName name="Срок_инвестиций3">'[21]Invest'!$Q$7:$Q$240</definedName>
    <definedName name="Срок_инвестиций4" localSheetId="2">'[46]Invest'!$U$7:$U$240</definedName>
    <definedName name="Срок_инвестиций4" localSheetId="9">'[32]Invest'!$U$7:$U$240</definedName>
    <definedName name="Срок_инвестиций4" localSheetId="6">'[59]Invest'!$U$7:$U$240</definedName>
    <definedName name="Срок_инвестиций4">'[21]Invest'!$U$7:$U$240</definedName>
    <definedName name="СрокПроекта" localSheetId="2">#REF!</definedName>
    <definedName name="СрокПроекта">#REF!</definedName>
    <definedName name="ст" localSheetId="2">'[57]Норм'!$F$9</definedName>
    <definedName name="ст" localSheetId="9">'[44]Норм'!$F$9</definedName>
    <definedName name="ст" localSheetId="6">'[70]Норм'!$F$9</definedName>
    <definedName name="ст">'[31]Норм'!$F$9</definedName>
    <definedName name="СтавкаПроцента1">'[8]L-1'!$B$6</definedName>
    <definedName name="стоимость_в_долларах" localSheetId="2">'[48]объекты обществаКокшетау'!#REF!</definedName>
    <definedName name="стоимость_в_долларах" localSheetId="4">'[23]объекты обществаКокшетау'!#REF!</definedName>
    <definedName name="стоимость_в_долларах" localSheetId="9">'[34]объекты обществаКокшетау'!#REF!</definedName>
    <definedName name="стоимость_в_долларах" localSheetId="8">'[23]объекты обществаКокшетау'!#REF!</definedName>
    <definedName name="стоимость_в_долларах" localSheetId="6">'[61]объекты обществаКокшетау'!#REF!</definedName>
    <definedName name="стоимость_в_долларах" localSheetId="5">'[23]объекты обществаКокшетау'!#REF!</definedName>
    <definedName name="стоимость_в_долларах" localSheetId="7">'[23]объекты обществаКокшетау'!#REF!</definedName>
    <definedName name="стоимость_в_долларах">'[23]объекты обществаКокшетау'!#REF!</definedName>
    <definedName name="Сумма_инвест1" localSheetId="2">'[46]Invest'!$H$7:$H$240</definedName>
    <definedName name="Сумма_инвест1" localSheetId="9">'[32]Invest'!$H$7:$H$240</definedName>
    <definedName name="Сумма_инвест1" localSheetId="6">'[59]Invest'!$H$7:$H$240</definedName>
    <definedName name="Сумма_инвест1">'[21]Invest'!$H$7:$H$240</definedName>
    <definedName name="Сумма_инвест2" localSheetId="2">'[46]Invest'!$L$7:$L$240</definedName>
    <definedName name="Сумма_инвест2" localSheetId="9">'[32]Invest'!$L$7:$L$240</definedName>
    <definedName name="Сумма_инвест2" localSheetId="6">'[59]Invest'!$L$7:$L$240</definedName>
    <definedName name="Сумма_инвест2">'[21]Invest'!$L$7:$L$240</definedName>
    <definedName name="Сумма_инвест3" localSheetId="2">'[46]Invest'!$P$7:$P$240</definedName>
    <definedName name="Сумма_инвест3" localSheetId="9">'[32]Invest'!$P$7:$P$240</definedName>
    <definedName name="Сумма_инвест3" localSheetId="6">'[59]Invest'!$P$7:$P$240</definedName>
    <definedName name="Сумма_инвест3">'[21]Invest'!$P$7:$P$240</definedName>
    <definedName name="Сумма_инвест4" localSheetId="2">'[46]Invest'!$T$7:$T$240</definedName>
    <definedName name="Сумма_инвест4" localSheetId="9">'[32]Invest'!$T$7:$T$240</definedName>
    <definedName name="Сумма_инвест4" localSheetId="6">'[59]Invest'!$T$7:$T$240</definedName>
    <definedName name="Сумма_инвест4">'[21]Invest'!$T$7:$T$240</definedName>
    <definedName name="СуммаКредита1">'[8]L-1'!$B$5</definedName>
    <definedName name="СчОпл" localSheetId="2">#REF!</definedName>
    <definedName name="СчОпл">#REF!</definedName>
    <definedName name="СчОпл1" localSheetId="2">#REF!</definedName>
    <definedName name="СчОпл1">#REF!</definedName>
    <definedName name="Сырье" localSheetId="2">#REF!</definedName>
    <definedName name="Сырье">#REF!</definedName>
    <definedName name="ТА1" localSheetId="2">#REF!</definedName>
    <definedName name="ТА1">#REF!</definedName>
    <definedName name="таблица_цен" localSheetId="2">'[53]константы'!$F$2:$G$30</definedName>
    <definedName name="таблица_цен" localSheetId="9">'[39]константы'!$F$2:$G$30</definedName>
    <definedName name="таблица_цен" localSheetId="6">'[66]константы'!$F$2:$G$30</definedName>
    <definedName name="таблица_цен">'[28]константы'!$F$2:$G$30</definedName>
    <definedName name="тг" localSheetId="2">#REF!</definedName>
    <definedName name="тг" localSheetId="4">#REF!</definedName>
    <definedName name="тг" localSheetId="8">#REF!</definedName>
    <definedName name="тг" localSheetId="6">#REF!</definedName>
    <definedName name="тг" localSheetId="5">#REF!</definedName>
    <definedName name="тг" localSheetId="7">'ФОТ'!#REF!</definedName>
    <definedName name="тг">#REF!</definedName>
    <definedName name="Тов" localSheetId="2">#REF!</definedName>
    <definedName name="Тов">#REF!</definedName>
    <definedName name="Тов1" localSheetId="2">#REF!</definedName>
    <definedName name="Тов1">#REF!</definedName>
    <definedName name="ТовРеал1" localSheetId="2">#REF!</definedName>
    <definedName name="ТовРеал1" localSheetId="4">#REF!</definedName>
    <definedName name="ТовРеал1" localSheetId="8">#REF!</definedName>
    <definedName name="ТовРеал1" localSheetId="6">#REF!</definedName>
    <definedName name="ТовРеал1" localSheetId="5">#REF!</definedName>
    <definedName name="ТовРеал1" localSheetId="7">#REF!</definedName>
    <definedName name="ТовРеал1">#REF!</definedName>
    <definedName name="убн96">'[10]Нетто3!!!'!$A$2</definedName>
    <definedName name="УК1" localSheetId="2">#REF!</definedName>
    <definedName name="УК1">#REF!</definedName>
    <definedName name="цен">'[5]Осн.показ'!$D$5</definedName>
    <definedName name="цен1" localSheetId="2">'[54]Осн.показ'!$C$6</definedName>
    <definedName name="цен1" localSheetId="9">'[41]Осн.показ'!$C$6</definedName>
    <definedName name="цен1" localSheetId="6">'[67]Осн.показ'!$C$6</definedName>
    <definedName name="цен1">'[24]Осн.показ'!$C$6</definedName>
    <definedName name="цена">'[12]Осн. пара'!$C$2</definedName>
    <definedName name="Цена_бобов" localSheetId="2">'[9]Дох'!#REF!</definedName>
    <definedName name="Цена_бобов" localSheetId="4">'[9]Дох'!#REF!</definedName>
    <definedName name="Цена_бобов" localSheetId="8">'[9]Дох'!#REF!</definedName>
    <definedName name="Цена_бобов" localSheetId="6">'[9]Дох'!#REF!</definedName>
    <definedName name="Цена_бобов" localSheetId="5">'[9]Дох'!#REF!</definedName>
    <definedName name="Цена_бобов" localSheetId="7">'[9]Дох'!#REF!</definedName>
    <definedName name="Цена_бобов">'[9]Дох'!#REF!</definedName>
    <definedName name="Цена_реал" localSheetId="2">#REF!</definedName>
    <definedName name="Цена_реал">#REF!</definedName>
    <definedName name="цена1">'[12]Осн. пара'!$C$13</definedName>
    <definedName name="цех_пби" localSheetId="2">#REF!</definedName>
    <definedName name="цех_пби" localSheetId="4">#REF!</definedName>
    <definedName name="цех_пби" localSheetId="8">#REF!</definedName>
    <definedName name="цех_пби" localSheetId="6">#REF!</definedName>
    <definedName name="цех_пби" localSheetId="5">#REF!</definedName>
    <definedName name="цех_пби" localSheetId="7">#REF!</definedName>
    <definedName name="цех_пби">#REF!</definedName>
    <definedName name="цр" localSheetId="2">#REF!</definedName>
    <definedName name="цр">#REF!</definedName>
  </definedNames>
  <calcPr fullCalcOnLoad="1"/>
</workbook>
</file>

<file path=xl/sharedStrings.xml><?xml version="1.0" encoding="utf-8"?>
<sst xmlns="http://schemas.openxmlformats.org/spreadsheetml/2006/main" count="501" uniqueCount="342">
  <si>
    <t>Итого</t>
  </si>
  <si>
    <t>Налог на имущество</t>
  </si>
  <si>
    <t xml:space="preserve">Наименование          </t>
  </si>
  <si>
    <t>Остаток денежных средств на начало отчетного периода</t>
  </si>
  <si>
    <t>Выбытие</t>
  </si>
  <si>
    <t xml:space="preserve">Поступление </t>
  </si>
  <si>
    <t xml:space="preserve">Выбытие </t>
  </si>
  <si>
    <t>Значение</t>
  </si>
  <si>
    <t>Период</t>
  </si>
  <si>
    <t>Операционная деятельность</t>
  </si>
  <si>
    <t>Вознаграждение</t>
  </si>
  <si>
    <t>начисление %</t>
  </si>
  <si>
    <t>Погашено ОД</t>
  </si>
  <si>
    <t>Погашено %</t>
  </si>
  <si>
    <t>Остаток ОД</t>
  </si>
  <si>
    <t>Валовая прибыль</t>
  </si>
  <si>
    <t xml:space="preserve">    Поступление</t>
  </si>
  <si>
    <t>Результат операционной деятельности</t>
  </si>
  <si>
    <t>Инвестиционная деятельность</t>
  </si>
  <si>
    <t xml:space="preserve">Приобретение ОС и НА </t>
  </si>
  <si>
    <t>Результат инвестиционной деятельности</t>
  </si>
  <si>
    <t>недостача избыток ден средств</t>
  </si>
  <si>
    <t>Финансовая деятельность</t>
  </si>
  <si>
    <t>Результат финансовой деятельности</t>
  </si>
  <si>
    <t>Чистые потоки денежных средств</t>
  </si>
  <si>
    <t>Расходы по процентам за кредиты</t>
  </si>
  <si>
    <t>Показатель</t>
  </si>
  <si>
    <t>Период окупаемости (дисконтированный)</t>
  </si>
  <si>
    <t>Сальдо по НДС</t>
  </si>
  <si>
    <t>Капитализ-я %</t>
  </si>
  <si>
    <t>Выплаты по дивидендам учредителям</t>
  </si>
  <si>
    <t>Выплата НДС</t>
  </si>
  <si>
    <t xml:space="preserve">Период окупаемости   </t>
  </si>
  <si>
    <t>№</t>
  </si>
  <si>
    <t>Должность</t>
  </si>
  <si>
    <t>Количество</t>
  </si>
  <si>
    <t>Исходные данные по проекту</t>
  </si>
  <si>
    <t>Ед. изм.</t>
  </si>
  <si>
    <t>НДС</t>
  </si>
  <si>
    <t>%</t>
  </si>
  <si>
    <t>без НДС</t>
  </si>
  <si>
    <t>Затраты</t>
  </si>
  <si>
    <t>ФОТ</t>
  </si>
  <si>
    <t>Канцтовары</t>
  </si>
  <si>
    <t>Прочие непредвиденные расходы</t>
  </si>
  <si>
    <t>Пенсионные отчисления</t>
  </si>
  <si>
    <t>Подоходный налог</t>
  </si>
  <si>
    <t>Социальные отчисления</t>
  </si>
  <si>
    <t>Социальный налог</t>
  </si>
  <si>
    <t>К выдаче</t>
  </si>
  <si>
    <t>Соц.отчисления</t>
  </si>
  <si>
    <t>Расчет НДС</t>
  </si>
  <si>
    <t>Проценты за кредит</t>
  </si>
  <si>
    <t>Остаток на конец отчетного периода</t>
  </si>
  <si>
    <t xml:space="preserve">Поступления по вкладам учредителей </t>
  </si>
  <si>
    <t>Ставка по кредиту</t>
  </si>
  <si>
    <t>max</t>
  </si>
  <si>
    <t>тыс.тг.</t>
  </si>
  <si>
    <t>Коэффициент НДС</t>
  </si>
  <si>
    <t>Net CF (all)</t>
  </si>
  <si>
    <t>CF before int. and loans</t>
  </si>
  <si>
    <t>CF inv</t>
  </si>
  <si>
    <t>NCF (Чистые денежные потоки)</t>
  </si>
  <si>
    <t>d NCF</t>
  </si>
  <si>
    <t>CCF</t>
  </si>
  <si>
    <t>dCCF</t>
  </si>
  <si>
    <t>PV (CCF)</t>
  </si>
  <si>
    <t>PV (CCF inv)</t>
  </si>
  <si>
    <t>NPV</t>
  </si>
  <si>
    <t>PI</t>
  </si>
  <si>
    <t>IRR</t>
  </si>
  <si>
    <t>Ставка дисконтирования</t>
  </si>
  <si>
    <t>Анализ безубыточности проекта</t>
  </si>
  <si>
    <t>Доля предельного дохода в выручке</t>
  </si>
  <si>
    <t>Запас финансовой устойчивости предприятия (%)</t>
  </si>
  <si>
    <t>Амортизация</t>
  </si>
  <si>
    <t>Кол-во периодов</t>
  </si>
  <si>
    <t>Страхование</t>
  </si>
  <si>
    <t>Стр-е гражданско-правовой ответ-ти работодателя</t>
  </si>
  <si>
    <t>Налоги (кроме налогов на ФЗП)</t>
  </si>
  <si>
    <t>Расчет амортизационных отчислений</t>
  </si>
  <si>
    <t>Норма амортизации</t>
  </si>
  <si>
    <t>Основные средства на начало</t>
  </si>
  <si>
    <t>Приход ОС</t>
  </si>
  <si>
    <t>Амортизационные отчисления, год</t>
  </si>
  <si>
    <t>Остаточная стоимость ОС</t>
  </si>
  <si>
    <t>Всего</t>
  </si>
  <si>
    <t>Балансовая прибыль</t>
  </si>
  <si>
    <t>Постоянные издержки</t>
  </si>
  <si>
    <t>Переменные издержки</t>
  </si>
  <si>
    <t>Сумма предельного дохода</t>
  </si>
  <si>
    <t>Предел безубыточности</t>
  </si>
  <si>
    <t>Адм.-управленческий персонал</t>
  </si>
  <si>
    <t>оклад</t>
  </si>
  <si>
    <t>Итого ЗП к начислению</t>
  </si>
  <si>
    <t>Доходы в месяц, тыс.тг.</t>
  </si>
  <si>
    <t>Статья доходов</t>
  </si>
  <si>
    <t>$ тыс.</t>
  </si>
  <si>
    <t>Освоение и погашение кредитных ресурсов, тыс.тг.</t>
  </si>
  <si>
    <t>Производственный персонал</t>
  </si>
  <si>
    <t>Обслуживающий персонал</t>
  </si>
  <si>
    <t>Услуги банка</t>
  </si>
  <si>
    <t>Курс доллар/тенге</t>
  </si>
  <si>
    <t>Безубыточность</t>
  </si>
  <si>
    <t>Заемные средства</t>
  </si>
  <si>
    <t>Оборудование</t>
  </si>
  <si>
    <t>Освоение</t>
  </si>
  <si>
    <t>значение</t>
  </si>
  <si>
    <t>Вспомогательный персонал</t>
  </si>
  <si>
    <t>Всего по персоналу</t>
  </si>
  <si>
    <t>Услуги связи</t>
  </si>
  <si>
    <t>Отчет о доходах и расходах</t>
  </si>
  <si>
    <t>год</t>
  </si>
  <si>
    <t>МЗП</t>
  </si>
  <si>
    <t>Баланс</t>
  </si>
  <si>
    <t>Активы</t>
  </si>
  <si>
    <t>Текущие активы</t>
  </si>
  <si>
    <t>Денежные средства</t>
  </si>
  <si>
    <t>Дебиторская задолженность</t>
  </si>
  <si>
    <t>Запасы</t>
  </si>
  <si>
    <t>Долгосрочные активы</t>
  </si>
  <si>
    <t>Основные средства</t>
  </si>
  <si>
    <t>Долгосрочная дебиторская задолженность</t>
  </si>
  <si>
    <t>Прочие долгосрочные активы</t>
  </si>
  <si>
    <t>Пассивы</t>
  </si>
  <si>
    <t>Краткосрочные обязательства</t>
  </si>
  <si>
    <t>Обязательства по налогам</t>
  </si>
  <si>
    <t>Краткосрочная кредиторская задолженность</t>
  </si>
  <si>
    <t>Обязательства по кредитам</t>
  </si>
  <si>
    <t>Прочие краткосрочные обязательства</t>
  </si>
  <si>
    <t>Долгосрочные обязательства</t>
  </si>
  <si>
    <t>Прочие долгосрочные обязательства</t>
  </si>
  <si>
    <t>Капитал</t>
  </si>
  <si>
    <t>Уставный капитал</t>
  </si>
  <si>
    <t>Прибыль</t>
  </si>
  <si>
    <t>проверочная строка</t>
  </si>
  <si>
    <t>Изменение ДТ</t>
  </si>
  <si>
    <t>Изменение запасов</t>
  </si>
  <si>
    <t>Изменение КТ</t>
  </si>
  <si>
    <t>Итого изменение оборотного капитала</t>
  </si>
  <si>
    <t>Кап.затраты</t>
  </si>
  <si>
    <t>Чистый денежный поток</t>
  </si>
  <si>
    <t>Единица расчетов</t>
  </si>
  <si>
    <t>Налоговые ставки</t>
  </si>
  <si>
    <t>Расчет заработной платы</t>
  </si>
  <si>
    <t>Расходы периода</t>
  </si>
  <si>
    <t>Административные расходы</t>
  </si>
  <si>
    <t>ЧДП по Ф3</t>
  </si>
  <si>
    <t>Постоянные расходы в месяц</t>
  </si>
  <si>
    <t>Общие</t>
  </si>
  <si>
    <t>Параметры кредита</t>
  </si>
  <si>
    <t>Срок кредита</t>
  </si>
  <si>
    <t>лет</t>
  </si>
  <si>
    <t>Льготный период по выплате ОД</t>
  </si>
  <si>
    <t>Льготный период по выплате %</t>
  </si>
  <si>
    <t>мес</t>
  </si>
  <si>
    <t>Сумма</t>
  </si>
  <si>
    <t>Кол-во</t>
  </si>
  <si>
    <t>Цена</t>
  </si>
  <si>
    <t>Курс рос.рубль/тенге</t>
  </si>
  <si>
    <t>Выплаты по кредитам</t>
  </si>
  <si>
    <t>Поступления по кредитам</t>
  </si>
  <si>
    <t>Прогноз движения денежных средств (Cash Flow)</t>
  </si>
  <si>
    <t>НДС к начислению</t>
  </si>
  <si>
    <t>НДС к зачету</t>
  </si>
  <si>
    <t>НДС к зачету по инвестициям</t>
  </si>
  <si>
    <t>Сальдо нарастающим итогом</t>
  </si>
  <si>
    <t>НДС к выплате</t>
  </si>
  <si>
    <t>Оборотный капитал</t>
  </si>
  <si>
    <t>Инвестиции в основной капитал</t>
  </si>
  <si>
    <t>Доля</t>
  </si>
  <si>
    <t>Валюта кредита</t>
  </si>
  <si>
    <t>тенге</t>
  </si>
  <si>
    <t>Процентная ставка, годовых</t>
  </si>
  <si>
    <t>Выплата процентов и основного долга</t>
  </si>
  <si>
    <t>ежемесячно</t>
  </si>
  <si>
    <t>равными долями</t>
  </si>
  <si>
    <t>Льготный период погашения процентов, мес.</t>
  </si>
  <si>
    <t>Льготный период погашения основного долга, мес.</t>
  </si>
  <si>
    <t>Внутренняя норма доходности (IRR)</t>
  </si>
  <si>
    <t>Чистая текущая стоимость (NPV), тыс.тг.</t>
  </si>
  <si>
    <t>Окупаемость проекта (простая), лет</t>
  </si>
  <si>
    <t>Окупаемость проекта (дисконтированная), лет</t>
  </si>
  <si>
    <t>Календарный план реализации проекта</t>
  </si>
  <si>
    <t>Решение вопроса финансирования</t>
  </si>
  <si>
    <t>Получение кредита</t>
  </si>
  <si>
    <t>Здания и сооружения</t>
  </si>
  <si>
    <t>Наименование</t>
  </si>
  <si>
    <t>Налоги и обязательные платежи от ФОТ</t>
  </si>
  <si>
    <t>Вид налога</t>
  </si>
  <si>
    <t>Сумма, тыс.тг.</t>
  </si>
  <si>
    <t>Техника</t>
  </si>
  <si>
    <t>май</t>
  </si>
  <si>
    <t>Продукция</t>
  </si>
  <si>
    <t>Производство</t>
  </si>
  <si>
    <t>ед.изм.</t>
  </si>
  <si>
    <t>Срок погашения, лет</t>
  </si>
  <si>
    <t>Источник финансирования, тыс.тг.</t>
  </si>
  <si>
    <t>Доля собственного участия</t>
  </si>
  <si>
    <t>Собственные средства</t>
  </si>
  <si>
    <t>Финансовые показатели проекта</t>
  </si>
  <si>
    <t>уровень инфляции</t>
  </si>
  <si>
    <t>согласно налог.режиму КХ</t>
  </si>
  <si>
    <t>ИПН</t>
  </si>
  <si>
    <t>Земельный налог</t>
  </si>
  <si>
    <t>2013 год</t>
  </si>
  <si>
    <t>2014 год</t>
  </si>
  <si>
    <t>2016 год</t>
  </si>
  <si>
    <t>Урожайность</t>
  </si>
  <si>
    <t>Цены</t>
  </si>
  <si>
    <t>Прочие налоги и сборы</t>
  </si>
  <si>
    <t>Адм.расходы</t>
  </si>
  <si>
    <t>Доход до налогов</t>
  </si>
  <si>
    <t>Прочие краткосрочные активы (биолог.активы)</t>
  </si>
  <si>
    <t>Основные показатели проекта</t>
  </si>
  <si>
    <t>Выручка, тыс.тг.</t>
  </si>
  <si>
    <t>Валовая прибыль, тыс.тг.</t>
  </si>
  <si>
    <t>Чистая прибыль, тыс.тг.</t>
  </si>
  <si>
    <t>Чистая рентабельность, %</t>
  </si>
  <si>
    <t>Чистый денежный поток (к изъятию), тыс.тг.</t>
  </si>
  <si>
    <t>Чистая прибыль</t>
  </si>
  <si>
    <t>Кумулятивная чистая прибыль</t>
  </si>
  <si>
    <t>Мероприятие</t>
  </si>
  <si>
    <t>Разработка бизнес-плана</t>
  </si>
  <si>
    <t>Обслуживание и ремонт с/техники</t>
  </si>
  <si>
    <t>Показатели эффективности проекта (3 год)</t>
  </si>
  <si>
    <t>Прочие ОС</t>
  </si>
  <si>
    <t>Первоначальные инвестиции</t>
  </si>
  <si>
    <t>Теплица с поликарбонатом 12*2,5*2 м</t>
  </si>
  <si>
    <t>Форточка + автомат</t>
  </si>
  <si>
    <t>Система капельного полива</t>
  </si>
  <si>
    <t>http://www.spbparniki.ru/teplicy/teplicypodpolicarbonat/teplicausadbamini-ku.html</t>
  </si>
  <si>
    <t>от оборота</t>
  </si>
  <si>
    <t>Подоходный налог ИП</t>
  </si>
  <si>
    <t>Площади</t>
  </si>
  <si>
    <t>Площадь 1 теплицы</t>
  </si>
  <si>
    <t>м2</t>
  </si>
  <si>
    <t>Количество теплиц</t>
  </si>
  <si>
    <t>шт</t>
  </si>
  <si>
    <t>Общая площадь</t>
  </si>
  <si>
    <t>Инфракрасный излучатель IW 180</t>
  </si>
  <si>
    <t>http://zakazat24.ru/otoplenie/infrakrasnye_obogrevateli/stiebel_eltron_germaniya/</t>
  </si>
  <si>
    <t>кВт</t>
  </si>
  <si>
    <t>Мощность инфракр. излучателя</t>
  </si>
  <si>
    <t>Расходы</t>
  </si>
  <si>
    <t>Тюльпаны</t>
  </si>
  <si>
    <t>шт/м2</t>
  </si>
  <si>
    <t>Хризантемы</t>
  </si>
  <si>
    <t>тенге/шт</t>
  </si>
  <si>
    <t>Электроэнергия</t>
  </si>
  <si>
    <t>тенге/1 кВт*ч</t>
  </si>
  <si>
    <t>Луковица тюльпана</t>
  </si>
  <si>
    <t>http://www.agroru.com/doska/lukovicy-tjulpanov-optom-452912.htm</t>
  </si>
  <si>
    <t>Черенок хризантемы (укорененный)</t>
  </si>
  <si>
    <t>http://www.greeninfo.ru/cut_flowers/chrysanthemum.html/Article/_/aID/5920</t>
  </si>
  <si>
    <t>Переменные расходы</t>
  </si>
  <si>
    <t>Ед.изм.</t>
  </si>
  <si>
    <t>Посадочный материал</t>
  </si>
  <si>
    <t>Удобрения</t>
  </si>
  <si>
    <t xml:space="preserve"> </t>
  </si>
  <si>
    <t>Цена, тг.</t>
  </si>
  <si>
    <t>Сумма, тг.</t>
  </si>
  <si>
    <t>Луковица</t>
  </si>
  <si>
    <t>Черенок</t>
  </si>
  <si>
    <t>шт.</t>
  </si>
  <si>
    <t>4 цветка</t>
  </si>
  <si>
    <t>Аммиачная селитра</t>
  </si>
  <si>
    <t>Суперфосфат</t>
  </si>
  <si>
    <t>Маточный концентрированный раствор "Кемира-люкс"</t>
  </si>
  <si>
    <t>Скор</t>
  </si>
  <si>
    <t>Искра</t>
  </si>
  <si>
    <t>кг</t>
  </si>
  <si>
    <t>тг./кг</t>
  </si>
  <si>
    <t>тг./л</t>
  </si>
  <si>
    <t>тг./пакет</t>
  </si>
  <si>
    <t>http://tdpospelov.ru/index.php/ecommerce/detail/389/flypage/4034?sef=hcfp</t>
  </si>
  <si>
    <t>http://www.agroru.com/doska/fungitsid-skor-99446.htm</t>
  </si>
  <si>
    <t>http://domisad-spb.ru/list/Udobrenija-stimuljatory-rosta/ammiachnaja-selitra-1kg-chudovo.html</t>
  </si>
  <si>
    <t>http://tdpospelov.ru/index.php/ecommerce/detail/377/flypage/2716?sef=hcfp</t>
  </si>
  <si>
    <t>л</t>
  </si>
  <si>
    <t>пакет</t>
  </si>
  <si>
    <t>4 подкормки за сезон</t>
  </si>
  <si>
    <t>15 г/м2 каждые 2 недели * 3 мес</t>
  </si>
  <si>
    <t>2 мл. на 10 л воды, расход раствора 1 л на 10 м2</t>
  </si>
  <si>
    <t>1 пакет на 10 л. воды, расход раствора 1 л на 10 м2</t>
  </si>
  <si>
    <t>Выплаты - для ДДС</t>
  </si>
  <si>
    <t>Расчет себестоимости</t>
  </si>
  <si>
    <t>Кол-во цветов с 1 м2 площади, шт</t>
  </si>
  <si>
    <t>Затраты на 1 м2 площади, тг.</t>
  </si>
  <si>
    <t>Производство продукции</t>
  </si>
  <si>
    <t>Индивидуальный предприниматель</t>
  </si>
  <si>
    <t>Цветочник</t>
  </si>
  <si>
    <t>Постоянные расходы в год</t>
  </si>
  <si>
    <t>9 месяцев работы (с января по сентябрь)</t>
  </si>
  <si>
    <t>Услуги связи + интернет</t>
  </si>
  <si>
    <t>Хоз.нужды</t>
  </si>
  <si>
    <t>Ставка, значение</t>
  </si>
  <si>
    <t>Примечание</t>
  </si>
  <si>
    <t>Удобрения и хим.препараты</t>
  </si>
  <si>
    <t>Подоходный, соц.налог ИП</t>
  </si>
  <si>
    <t>в т.ч. Посадочный материал</t>
  </si>
  <si>
    <t xml:space="preserve">          Удобрения и хим.препараты</t>
  </si>
  <si>
    <t>% повышения пост.расходов</t>
  </si>
  <si>
    <t>1,8 кВт*20 час*30 дн*4</t>
  </si>
  <si>
    <t>Норма на 1 м2</t>
  </si>
  <si>
    <t>янв</t>
  </si>
  <si>
    <t>фев</t>
  </si>
  <si>
    <t>мар</t>
  </si>
  <si>
    <t>апр</t>
  </si>
  <si>
    <t>июн</t>
  </si>
  <si>
    <t>июл</t>
  </si>
  <si>
    <t>авг</t>
  </si>
  <si>
    <t>сен</t>
  </si>
  <si>
    <t>окт</t>
  </si>
  <si>
    <t>ноя</t>
  </si>
  <si>
    <t>дек</t>
  </si>
  <si>
    <t>Хим.препараты</t>
  </si>
  <si>
    <t>Производственная себест-ть, тг/шт</t>
  </si>
  <si>
    <t>Ремонт оборудования</t>
  </si>
  <si>
    <t>Выращивание цветов</t>
  </si>
  <si>
    <t>Инвестиции, тыс.тг.</t>
  </si>
  <si>
    <t>окт.13</t>
  </si>
  <si>
    <t>ноя.13 - фев.14</t>
  </si>
  <si>
    <t>Индекс окупаемости инвестиций (PI)</t>
  </si>
  <si>
    <t>Планируемая производственная программа</t>
  </si>
  <si>
    <t>Площадь, м2</t>
  </si>
  <si>
    <t>Урожайность, цветков/м2</t>
  </si>
  <si>
    <t>Сбор, шт</t>
  </si>
  <si>
    <t>Величина налоговых поступлений за 7 лет, тыс.тг.</t>
  </si>
  <si>
    <t>Закуп луковиц</t>
  </si>
  <si>
    <t>Найм персонала</t>
  </si>
  <si>
    <t>Приобретение и установка теплиц и оборудования</t>
  </si>
  <si>
    <t>Реализация тюльпанов</t>
  </si>
  <si>
    <t>Закуп черенков</t>
  </si>
  <si>
    <t>Посадка хризантем</t>
  </si>
  <si>
    <t>Реализация хризантем</t>
  </si>
  <si>
    <t>Посадка тюльпанов</t>
  </si>
  <si>
    <t>Доход от реализации продукции</t>
  </si>
  <si>
    <t>Себестоимость реализ. продукции</t>
  </si>
  <si>
    <t>Тип погашения основного долга</t>
  </si>
  <si>
    <t>Доход от реализации</t>
  </si>
  <si>
    <t>Полная себестоимость</t>
  </si>
</sst>
</file>

<file path=xl/styles.xml><?xml version="1.0" encoding="utf-8"?>
<styleSheet xmlns="http://schemas.openxmlformats.org/spreadsheetml/2006/main">
  <numFmts count="5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"/>
    <numFmt numFmtId="177" formatCode="#,##0.0"/>
    <numFmt numFmtId="178" formatCode="#,##0.0_ ;[Red]\-#,##0.0\ "/>
    <numFmt numFmtId="179" formatCode="&quot;\&quot;#,##0;[Red]&quot;\&quot;\-#,##0"/>
    <numFmt numFmtId="180" formatCode="&quot;\&quot;#,##0.00;[Red]&quot;\&quot;\-#,##0.00"/>
    <numFmt numFmtId="181" formatCode="&quot;See Note &quot;\ #"/>
    <numFmt numFmtId="182" formatCode="\$\ #,##0"/>
    <numFmt numFmtId="183" formatCode="_-* #,##0.00[$€]_-;\-* #,##0.00[$€]_-;_-* &quot;-&quot;??[$€]_-;_-@_-"/>
    <numFmt numFmtId="184" formatCode="#,##0.000_ ;[Red]\-#,##0.000\ "/>
    <numFmt numFmtId="185" formatCode="#,##0.000"/>
    <numFmt numFmtId="186" formatCode="0.0000"/>
    <numFmt numFmtId="187" formatCode="0.000"/>
    <numFmt numFmtId="188" formatCode="0.000%"/>
    <numFmt numFmtId="189" formatCode="0.0000%"/>
    <numFmt numFmtId="190" formatCode="0.00000"/>
    <numFmt numFmtId="191" formatCode="0.00000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[$-FC19]d\ mmmm\ yyyy\ &quot;г.&quot;"/>
    <numFmt numFmtId="196" formatCode="[$-419]mmmm;@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"/>
    <numFmt numFmtId="202" formatCode="0.00000000"/>
    <numFmt numFmtId="203" formatCode="_-* #,##0.0000_р_._-;\-* #,##0.0000_р_._-;_-* &quot;-&quot;??_р_._-;_-@_-"/>
    <numFmt numFmtId="204" formatCode="_-* #,##0\ _€_-;\-* #,##0\ _€_-;_-* &quot;-&quot;??\ _€_-;_-@_-"/>
    <numFmt numFmtId="205" formatCode="_-* #,##0.00\ _€_-;\-* #,##0.00\ _€_-;_-* &quot;-&quot;??\ _€_-;_-@_-"/>
    <numFmt numFmtId="206" formatCode="[$-419]mmmm\ yyyy;@"/>
    <numFmt numFmtId="207" formatCode="0.0000000000"/>
    <numFmt numFmtId="208" formatCode="0.000000000"/>
    <numFmt numFmtId="209" formatCode="#,##0_ ;\-#,##0\ "/>
    <numFmt numFmtId="210" formatCode="#,##0.0_ ;\-#,##0.0\ "/>
    <numFmt numFmtId="211" formatCode="#,##0.0000"/>
    <numFmt numFmtId="212" formatCode="#,##0.00000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Helv"/>
      <family val="2"/>
    </font>
    <font>
      <b/>
      <sz val="8"/>
      <name val="Times New Roman"/>
      <family val="1"/>
    </font>
    <font>
      <sz val="10"/>
      <name val="ЏрЯмой Џроп"/>
      <family val="0"/>
    </font>
    <font>
      <sz val="8"/>
      <name val="Helv"/>
      <family val="2"/>
    </font>
    <font>
      <sz val="8"/>
      <name val="Times New Roman"/>
      <family val="1"/>
    </font>
    <font>
      <sz val="12"/>
      <name val="Times New Roman Cyr"/>
      <family val="0"/>
    </font>
    <font>
      <sz val="10"/>
      <name val="Geneva"/>
      <family val="0"/>
    </font>
    <font>
      <sz val="11"/>
      <name val="lr oSVbN"/>
      <family val="3"/>
    </font>
    <font>
      <sz val="8"/>
      <name val="Arial"/>
      <family val="2"/>
    </font>
    <font>
      <sz val="9"/>
      <color indexed="8"/>
      <name val="Futuris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"/>
      <family val="2"/>
    </font>
    <font>
      <i/>
      <sz val="10"/>
      <color theme="0" tint="-0.4999699890613556"/>
      <name val="Arial"/>
      <family val="2"/>
    </font>
    <font>
      <sz val="10"/>
      <color theme="3" tint="0.3999800086021423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top" wrapText="1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0" fontId="7" fillId="0" borderId="0">
      <alignment/>
      <protection/>
    </xf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8" fillId="0" borderId="0">
      <alignment/>
      <protection/>
    </xf>
    <xf numFmtId="181" fontId="9" fillId="0" borderId="0">
      <alignment horizontal="left"/>
      <protection/>
    </xf>
    <xf numFmtId="182" fontId="10" fillId="0" borderId="0">
      <alignment/>
      <protection/>
    </xf>
    <xf numFmtId="181" fontId="9" fillId="0" borderId="0">
      <alignment horizontal="left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" fillId="0" borderId="0">
      <alignment/>
      <protection/>
    </xf>
    <xf numFmtId="0" fontId="60" fillId="0" borderId="0" applyNumberFormat="0" applyFill="0" applyBorder="0" applyAlignment="0" applyProtection="0"/>
    <xf numFmtId="0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>
      <alignment/>
      <protection/>
    </xf>
    <xf numFmtId="180" fontId="13" fillId="0" borderId="0" applyFont="0" applyFill="0" applyBorder="0" applyAlignment="0" applyProtection="0"/>
    <xf numFmtId="179" fontId="13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0" fontId="16" fillId="0" borderId="0" xfId="70" applyFont="1" applyFill="1" applyBorder="1" applyAlignment="1">
      <alignment/>
      <protection/>
    </xf>
    <xf numFmtId="0" fontId="5" fillId="0" borderId="0" xfId="70" applyFont="1" applyFill="1" applyBorder="1">
      <alignment/>
      <protection/>
    </xf>
    <xf numFmtId="0" fontId="5" fillId="0" borderId="0" xfId="70" applyFont="1" applyFill="1" applyBorder="1" applyAlignment="1">
      <alignment horizontal="right"/>
      <protection/>
    </xf>
    <xf numFmtId="3" fontId="5" fillId="0" borderId="0" xfId="0" applyNumberFormat="1" applyFont="1" applyFill="1" applyBorder="1" applyAlignment="1">
      <alignment horizontal="center"/>
    </xf>
    <xf numFmtId="0" fontId="17" fillId="0" borderId="0" xfId="68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center"/>
    </xf>
    <xf numFmtId="0" fontId="5" fillId="0" borderId="0" xfId="70" applyFont="1" applyFill="1" applyBorder="1" applyAlignment="1">
      <alignment/>
      <protection/>
    </xf>
    <xf numFmtId="0" fontId="16" fillId="0" borderId="0" xfId="70" applyFont="1" applyFill="1" applyBorder="1" applyAlignment="1">
      <alignment horizontal="center"/>
      <protection/>
    </xf>
    <xf numFmtId="0" fontId="18" fillId="0" borderId="0" xfId="70" applyFont="1" applyFill="1" applyBorder="1">
      <alignment/>
      <protection/>
    </xf>
    <xf numFmtId="14" fontId="5" fillId="0" borderId="0" xfId="70" applyNumberFormat="1" applyFont="1" applyFill="1" applyBorder="1">
      <alignment/>
      <protection/>
    </xf>
    <xf numFmtId="0" fontId="16" fillId="0" borderId="10" xfId="70" applyFont="1" applyFill="1" applyBorder="1" applyAlignment="1">
      <alignment horizontal="center" vertical="center" wrapText="1"/>
      <protection/>
    </xf>
    <xf numFmtId="0" fontId="5" fillId="0" borderId="10" xfId="70" applyFont="1" applyFill="1" applyBorder="1" applyAlignment="1">
      <alignment horizontal="center" vertical="center" wrapText="1"/>
      <protection/>
    </xf>
    <xf numFmtId="2" fontId="16" fillId="33" borderId="10" xfId="70" applyNumberFormat="1" applyFont="1" applyFill="1" applyBorder="1" applyAlignment="1">
      <alignment wrapText="1"/>
      <protection/>
    </xf>
    <xf numFmtId="3" fontId="16" fillId="33" borderId="10" xfId="70" applyNumberFormat="1" applyFont="1" applyFill="1" applyBorder="1" applyAlignment="1">
      <alignment horizontal="right" wrapText="1"/>
      <protection/>
    </xf>
    <xf numFmtId="0" fontId="16" fillId="33" borderId="10" xfId="70" applyFont="1" applyFill="1" applyBorder="1" applyAlignment="1">
      <alignment horizontal="left" wrapText="1"/>
      <protection/>
    </xf>
    <xf numFmtId="3" fontId="16" fillId="33" borderId="10" xfId="70" applyNumberFormat="1" applyFont="1" applyFill="1" applyBorder="1" applyAlignment="1">
      <alignment/>
      <protection/>
    </xf>
    <xf numFmtId="0" fontId="16" fillId="0" borderId="0" xfId="0" applyFont="1" applyFill="1" applyAlignment="1">
      <alignment/>
    </xf>
    <xf numFmtId="0" fontId="16" fillId="34" borderId="11" xfId="70" applyFont="1" applyFill="1" applyBorder="1" applyAlignment="1">
      <alignment vertical="center"/>
      <protection/>
    </xf>
    <xf numFmtId="0" fontId="16" fillId="34" borderId="12" xfId="70" applyFont="1" applyFill="1" applyBorder="1" applyAlignment="1">
      <alignment vertical="center"/>
      <protection/>
    </xf>
    <xf numFmtId="3" fontId="16" fillId="34" borderId="10" xfId="70" applyNumberFormat="1" applyFont="1" applyFill="1" applyBorder="1" applyAlignment="1">
      <alignment vertical="center"/>
      <protection/>
    </xf>
    <xf numFmtId="3" fontId="16" fillId="34" borderId="10" xfId="70" applyNumberFormat="1" applyFont="1" applyFill="1" applyBorder="1" applyAlignment="1">
      <alignment horizontal="right" vertical="center"/>
      <protection/>
    </xf>
    <xf numFmtId="0" fontId="16" fillId="0" borderId="10" xfId="70" applyFont="1" applyFill="1" applyBorder="1" applyAlignment="1">
      <alignment vertical="center" wrapText="1"/>
      <protection/>
    </xf>
    <xf numFmtId="3" fontId="16" fillId="0" borderId="10" xfId="70" applyNumberFormat="1" applyFont="1" applyFill="1" applyBorder="1" applyAlignment="1">
      <alignment horizontal="right" wrapText="1"/>
      <protection/>
    </xf>
    <xf numFmtId="0" fontId="5" fillId="0" borderId="10" xfId="70" applyFont="1" applyFill="1" applyBorder="1" applyAlignment="1">
      <alignment vertical="center" wrapText="1"/>
      <protection/>
    </xf>
    <xf numFmtId="3" fontId="5" fillId="0" borderId="10" xfId="70" applyNumberFormat="1" applyFont="1" applyFill="1" applyBorder="1" applyAlignment="1">
      <alignment horizontal="right"/>
      <protection/>
    </xf>
    <xf numFmtId="0" fontId="16" fillId="0" borderId="10" xfId="70" applyFont="1" applyFill="1" applyBorder="1" applyAlignment="1">
      <alignment horizontal="left" vertical="center" wrapText="1" indent="1"/>
      <protection/>
    </xf>
    <xf numFmtId="3" fontId="16" fillId="0" borderId="10" xfId="70" applyNumberFormat="1" applyFont="1" applyFill="1" applyBorder="1" applyAlignment="1">
      <alignment vertical="center" wrapText="1"/>
      <protection/>
    </xf>
    <xf numFmtId="9" fontId="16" fillId="0" borderId="10" xfId="70" applyNumberFormat="1" applyFont="1" applyFill="1" applyBorder="1" applyAlignment="1">
      <alignment horizontal="right" wrapText="1"/>
      <protection/>
    </xf>
    <xf numFmtId="3" fontId="5" fillId="0" borderId="10" xfId="70" applyNumberFormat="1" applyFont="1" applyFill="1" applyBorder="1" applyAlignment="1">
      <alignment horizontal="right" wrapText="1"/>
      <protection/>
    </xf>
    <xf numFmtId="0" fontId="16" fillId="33" borderId="10" xfId="70" applyFont="1" applyFill="1" applyBorder="1" applyAlignment="1">
      <alignment vertical="center" wrapText="1"/>
      <protection/>
    </xf>
    <xf numFmtId="3" fontId="16" fillId="34" borderId="10" xfId="70" applyNumberFormat="1" applyFont="1" applyFill="1" applyBorder="1" applyAlignment="1">
      <alignment horizontal="right" wrapText="1"/>
      <protection/>
    </xf>
    <xf numFmtId="3" fontId="16" fillId="0" borderId="10" xfId="70" applyNumberFormat="1" applyFont="1" applyFill="1" applyBorder="1" applyAlignment="1">
      <alignment horizontal="right"/>
      <protection/>
    </xf>
    <xf numFmtId="0" fontId="5" fillId="0" borderId="10" xfId="70" applyFont="1" applyFill="1" applyBorder="1" applyAlignment="1">
      <alignment wrapText="1"/>
      <protection/>
    </xf>
    <xf numFmtId="0" fontId="16" fillId="33" borderId="10" xfId="70" applyFont="1" applyFill="1" applyBorder="1" applyAlignment="1">
      <alignment wrapText="1"/>
      <protection/>
    </xf>
    <xf numFmtId="1" fontId="19" fillId="0" borderId="11" xfId="70" applyNumberFormat="1" applyFont="1" applyFill="1" applyBorder="1" applyAlignment="1">
      <alignment wrapText="1"/>
      <protection/>
    </xf>
    <xf numFmtId="3" fontId="20" fillId="0" borderId="10" xfId="70" applyNumberFormat="1" applyFont="1" applyFill="1" applyBorder="1" applyAlignment="1">
      <alignment horizontal="right" wrapText="1"/>
      <protection/>
    </xf>
    <xf numFmtId="3" fontId="19" fillId="0" borderId="10" xfId="70" applyNumberFormat="1" applyFont="1" applyFill="1" applyBorder="1" applyAlignment="1">
      <alignment horizontal="right" wrapText="1"/>
      <protection/>
    </xf>
    <xf numFmtId="1" fontId="20" fillId="0" borderId="0" xfId="0" applyNumberFormat="1" applyFont="1" applyFill="1" applyAlignment="1">
      <alignment/>
    </xf>
    <xf numFmtId="0" fontId="5" fillId="0" borderId="10" xfId="70" applyFont="1" applyFill="1" applyBorder="1" applyAlignment="1">
      <alignment vertical="center"/>
      <protection/>
    </xf>
    <xf numFmtId="3" fontId="5" fillId="0" borderId="10" xfId="0" applyNumberFormat="1" applyFont="1" applyFill="1" applyBorder="1" applyAlignment="1">
      <alignment horizontal="right"/>
    </xf>
    <xf numFmtId="172" fontId="5" fillId="0" borderId="11" xfId="64" applyNumberFormat="1" applyFont="1" applyFill="1" applyBorder="1" applyAlignment="1">
      <alignment vertical="center" wrapText="1"/>
      <protection/>
    </xf>
    <xf numFmtId="172" fontId="5" fillId="0" borderId="10" xfId="64" applyNumberFormat="1" applyFont="1" applyFill="1" applyBorder="1" applyAlignment="1">
      <alignment horizontal="right" vertical="center" wrapText="1"/>
      <protection/>
    </xf>
    <xf numFmtId="0" fontId="5" fillId="0" borderId="0" xfId="68" applyFont="1" applyFill="1">
      <alignment/>
      <protection/>
    </xf>
    <xf numFmtId="0" fontId="16" fillId="0" borderId="10" xfId="70" applyFont="1" applyFill="1" applyBorder="1" applyAlignment="1">
      <alignment vertical="center"/>
      <protection/>
    </xf>
    <xf numFmtId="3" fontId="16" fillId="35" borderId="10" xfId="70" applyNumberFormat="1" applyFont="1" applyFill="1" applyBorder="1" applyAlignment="1">
      <alignment horizontal="right" wrapText="1"/>
      <protection/>
    </xf>
    <xf numFmtId="172" fontId="16" fillId="0" borderId="10" xfId="70" applyNumberFormat="1" applyFont="1" applyFill="1" applyBorder="1" applyAlignment="1">
      <alignment horizontal="right" vertical="center"/>
      <protection/>
    </xf>
    <xf numFmtId="172" fontId="16" fillId="0" borderId="10" xfId="70" applyNumberFormat="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177" fontId="1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Border="1" applyAlignment="1">
      <alignment horizontal="center"/>
    </xf>
    <xf numFmtId="3" fontId="62" fillId="0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3" fontId="5" fillId="36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9" fontId="16" fillId="0" borderId="0" xfId="0" applyNumberFormat="1" applyFont="1" applyFill="1" applyBorder="1" applyAlignment="1">
      <alignment/>
    </xf>
    <xf numFmtId="0" fontId="5" fillId="0" borderId="0" xfId="66" applyFont="1">
      <alignment/>
      <protection/>
    </xf>
    <xf numFmtId="0" fontId="5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9" fontId="5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/>
    </xf>
    <xf numFmtId="0" fontId="16" fillId="0" borderId="0" xfId="70" applyFont="1" applyFill="1" applyBorder="1" applyAlignment="1">
      <alignment horizontal="left" wrapText="1" shrinkToFit="1"/>
      <protection/>
    </xf>
    <xf numFmtId="0" fontId="5" fillId="0" borderId="0" xfId="70" applyFont="1" applyFill="1" applyBorder="1" applyAlignment="1">
      <alignment wrapText="1" shrinkToFit="1"/>
      <protection/>
    </xf>
    <xf numFmtId="0" fontId="16" fillId="0" borderId="0" xfId="70" applyFont="1" applyFill="1" applyBorder="1" applyAlignment="1">
      <alignment wrapText="1" shrinkToFit="1"/>
      <protection/>
    </xf>
    <xf numFmtId="0" fontId="63" fillId="0" borderId="0" xfId="70" applyNumberFormat="1" applyFont="1" applyFill="1" applyBorder="1" applyAlignment="1">
      <alignment horizontal="left"/>
      <protection/>
    </xf>
    <xf numFmtId="9" fontId="63" fillId="0" borderId="0" xfId="70" applyNumberFormat="1" applyFont="1" applyFill="1" applyBorder="1" applyAlignment="1">
      <alignment wrapText="1" shrinkToFit="1"/>
      <protection/>
    </xf>
    <xf numFmtId="0" fontId="16" fillId="34" borderId="10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 wrapText="1" shrinkToFit="1"/>
      <protection/>
    </xf>
    <xf numFmtId="172" fontId="16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34" borderId="14" xfId="70" applyFont="1" applyFill="1" applyBorder="1" applyAlignment="1">
      <alignment horizontal="center" vertical="center" wrapText="1" shrinkToFit="1"/>
      <protection/>
    </xf>
    <xf numFmtId="3" fontId="5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0" borderId="11" xfId="70" applyFont="1" applyFill="1" applyBorder="1" applyAlignment="1">
      <alignment horizontal="left" vertical="top" wrapText="1" shrinkToFit="1"/>
      <protection/>
    </xf>
    <xf numFmtId="3" fontId="16" fillId="0" borderId="10" xfId="70" applyNumberFormat="1" applyFont="1" applyFill="1" applyBorder="1" applyAlignment="1">
      <alignment horizontal="center" vertical="center"/>
      <protection/>
    </xf>
    <xf numFmtId="3" fontId="16" fillId="0" borderId="14" xfId="70" applyNumberFormat="1" applyFont="1" applyFill="1" applyBorder="1" applyAlignment="1">
      <alignment horizontal="center" vertical="center"/>
      <protection/>
    </xf>
    <xf numFmtId="172" fontId="16" fillId="0" borderId="0" xfId="70" applyNumberFormat="1" applyFont="1" applyFill="1" applyBorder="1" applyAlignment="1" applyProtection="1">
      <alignment wrapText="1" shrinkToFit="1"/>
      <protection locked="0"/>
    </xf>
    <xf numFmtId="0" fontId="5" fillId="0" borderId="11" xfId="70" applyFont="1" applyFill="1" applyBorder="1" applyAlignment="1">
      <alignment horizontal="left" vertical="top" wrapText="1" indent="3" shrinkToFit="1"/>
      <protection/>
    </xf>
    <xf numFmtId="3" fontId="5" fillId="0" borderId="14" xfId="70" applyNumberFormat="1" applyFont="1" applyFill="1" applyBorder="1" applyAlignment="1">
      <alignment horizontal="center" vertical="center"/>
      <protection/>
    </xf>
    <xf numFmtId="3" fontId="16" fillId="0" borderId="14" xfId="70" applyNumberFormat="1" applyFont="1" applyFill="1" applyBorder="1" applyAlignment="1">
      <alignment horizontal="center" vertical="top"/>
      <protection/>
    </xf>
    <xf numFmtId="0" fontId="5" fillId="0" borderId="11" xfId="70" applyFont="1" applyFill="1" applyBorder="1" applyAlignment="1">
      <alignment horizontal="left" vertical="top" wrapText="1" shrinkToFit="1"/>
      <protection/>
    </xf>
    <xf numFmtId="172" fontId="16" fillId="0" borderId="10" xfId="70" applyNumberFormat="1" applyFont="1" applyFill="1" applyBorder="1" applyAlignment="1">
      <alignment horizontal="center" vertical="top"/>
      <protection/>
    </xf>
    <xf numFmtId="172" fontId="16" fillId="0" borderId="14" xfId="70" applyNumberFormat="1" applyFont="1" applyFill="1" applyBorder="1" applyAlignment="1">
      <alignment horizontal="center" vertical="top"/>
      <protection/>
    </xf>
    <xf numFmtId="0" fontId="5" fillId="0" borderId="0" xfId="70" applyFont="1" applyFill="1" applyBorder="1" applyAlignment="1">
      <alignment horizontal="left" vertical="top" wrapText="1" shrinkToFit="1"/>
      <protection/>
    </xf>
    <xf numFmtId="0" fontId="5" fillId="0" borderId="0" xfId="70" applyFont="1" applyFill="1" applyBorder="1" applyAlignment="1">
      <alignment horizontal="left" vertical="top"/>
      <protection/>
    </xf>
    <xf numFmtId="0" fontId="21" fillId="0" borderId="0" xfId="70" applyFont="1" applyFill="1" applyBorder="1" applyAlignment="1">
      <alignment wrapText="1" shrinkToFit="1"/>
      <protection/>
    </xf>
    <xf numFmtId="0" fontId="16" fillId="34" borderId="13" xfId="70" applyFont="1" applyFill="1" applyBorder="1" applyAlignment="1">
      <alignment horizontal="center" vertical="center"/>
      <protection/>
    </xf>
    <xf numFmtId="172" fontId="16" fillId="34" borderId="12" xfId="7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Alignment="1">
      <alignment vertical="center" wrapText="1" shrinkToFit="1"/>
    </xf>
    <xf numFmtId="0" fontId="16" fillId="34" borderId="10" xfId="70" applyFont="1" applyFill="1" applyBorder="1" applyAlignment="1">
      <alignment horizontal="right" vertical="center"/>
      <protection/>
    </xf>
    <xf numFmtId="3" fontId="5" fillId="34" borderId="10" xfId="70" applyNumberFormat="1" applyFont="1" applyFill="1" applyBorder="1" applyAlignment="1">
      <alignment horizontal="center" vertical="center"/>
      <protection/>
    </xf>
    <xf numFmtId="0" fontId="16" fillId="34" borderId="10" xfId="70" applyFont="1" applyFill="1" applyBorder="1" applyAlignment="1">
      <alignment horizontal="center" vertical="center"/>
      <protection/>
    </xf>
    <xf numFmtId="172" fontId="5" fillId="0" borderId="10" xfId="67" applyNumberFormat="1" applyFont="1" applyBorder="1" applyAlignment="1">
      <alignment vertical="center" wrapText="1" shrinkToFit="1"/>
      <protection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172" fontId="64" fillId="0" borderId="0" xfId="70" applyNumberFormat="1" applyFont="1" applyFill="1" applyBorder="1" applyAlignment="1">
      <alignment wrapText="1" shrinkToFit="1"/>
      <protection/>
    </xf>
    <xf numFmtId="0" fontId="16" fillId="0" borderId="0" xfId="71" applyFont="1" applyFill="1" applyBorder="1" applyAlignment="1">
      <alignment horizontal="left" wrapText="1" shrinkToFit="1"/>
      <protection/>
    </xf>
    <xf numFmtId="0" fontId="5" fillId="0" borderId="0" xfId="71" applyFont="1" applyFill="1" applyBorder="1" applyAlignment="1">
      <alignment wrapText="1" shrinkToFit="1"/>
      <protection/>
    </xf>
    <xf numFmtId="3" fontId="5" fillId="0" borderId="0" xfId="71" applyNumberFormat="1" applyFont="1" applyFill="1" applyBorder="1" applyAlignment="1">
      <alignment wrapText="1" shrinkToFit="1"/>
      <protection/>
    </xf>
    <xf numFmtId="0" fontId="16" fillId="34" borderId="10" xfId="71" applyFont="1" applyFill="1" applyBorder="1" applyAlignment="1">
      <alignment horizontal="center" vertical="center"/>
      <protection/>
    </xf>
    <xf numFmtId="0" fontId="16" fillId="34" borderId="13" xfId="71" applyFont="1" applyFill="1" applyBorder="1" applyAlignment="1">
      <alignment horizontal="center" vertical="center"/>
      <protection/>
    </xf>
    <xf numFmtId="172" fontId="16" fillId="34" borderId="10" xfId="71" applyNumberFormat="1" applyFont="1" applyFill="1" applyBorder="1" applyAlignment="1">
      <alignment horizontal="center" vertical="center"/>
      <protection/>
    </xf>
    <xf numFmtId="0" fontId="16" fillId="34" borderId="14" xfId="71" applyFont="1" applyFill="1" applyBorder="1" applyAlignment="1">
      <alignment horizontal="center" vertical="center"/>
      <protection/>
    </xf>
    <xf numFmtId="3" fontId="5" fillId="34" borderId="10" xfId="71" applyNumberFormat="1" applyFont="1" applyFill="1" applyBorder="1" applyAlignment="1">
      <alignment horizontal="center" vertical="center"/>
      <protection/>
    </xf>
    <xf numFmtId="0" fontId="16" fillId="0" borderId="11" xfId="71" applyFont="1" applyFill="1" applyBorder="1" applyAlignment="1">
      <alignment horizontal="left" vertical="top" wrapText="1" shrinkToFit="1"/>
      <protection/>
    </xf>
    <xf numFmtId="3" fontId="16" fillId="0" borderId="10" xfId="71" applyNumberFormat="1" applyFont="1" applyFill="1" applyBorder="1" applyAlignment="1">
      <alignment horizontal="center" vertical="center"/>
      <protection/>
    </xf>
    <xf numFmtId="3" fontId="16" fillId="0" borderId="14" xfId="71" applyNumberFormat="1" applyFont="1" applyFill="1" applyBorder="1" applyAlignment="1">
      <alignment horizontal="center" vertical="center"/>
      <protection/>
    </xf>
    <xf numFmtId="172" fontId="16" fillId="0" borderId="0" xfId="71" applyNumberFormat="1" applyFont="1" applyFill="1" applyBorder="1" applyAlignment="1" applyProtection="1">
      <alignment wrapText="1" shrinkToFit="1"/>
      <protection locked="0"/>
    </xf>
    <xf numFmtId="0" fontId="16" fillId="0" borderId="0" xfId="71" applyFont="1" applyFill="1" applyBorder="1" applyAlignment="1">
      <alignment wrapText="1" shrinkToFit="1"/>
      <protection/>
    </xf>
    <xf numFmtId="0" fontId="5" fillId="0" borderId="11" xfId="71" applyFont="1" applyFill="1" applyBorder="1" applyAlignment="1">
      <alignment horizontal="left" vertical="top" wrapText="1" indent="1" shrinkToFit="1"/>
      <protection/>
    </xf>
    <xf numFmtId="3" fontId="5" fillId="0" borderId="14" xfId="71" applyNumberFormat="1" applyFont="1" applyFill="1" applyBorder="1" applyAlignment="1">
      <alignment horizontal="center" vertical="center"/>
      <protection/>
    </xf>
    <xf numFmtId="3" fontId="5" fillId="0" borderId="10" xfId="71" applyNumberFormat="1" applyFont="1" applyFill="1" applyBorder="1" applyAlignment="1">
      <alignment horizontal="center" vertical="center"/>
      <protection/>
    </xf>
    <xf numFmtId="0" fontId="5" fillId="0" borderId="0" xfId="71" applyFont="1" applyFill="1" applyBorder="1" applyAlignment="1">
      <alignment horizontal="left" vertical="top" wrapText="1" shrinkToFit="1"/>
      <protection/>
    </xf>
    <xf numFmtId="0" fontId="5" fillId="0" borderId="0" xfId="71" applyFont="1" applyFill="1" applyBorder="1" applyAlignment="1">
      <alignment horizontal="left" vertical="top"/>
      <protection/>
    </xf>
    <xf numFmtId="0" fontId="17" fillId="0" borderId="15" xfId="71" applyFont="1" applyFill="1" applyBorder="1" applyAlignment="1">
      <alignment wrapText="1" shrinkToFit="1"/>
      <protection/>
    </xf>
    <xf numFmtId="0" fontId="5" fillId="0" borderId="15" xfId="71" applyFont="1" applyFill="1" applyBorder="1" applyAlignment="1">
      <alignment wrapText="1" shrinkToFit="1"/>
      <protection/>
    </xf>
    <xf numFmtId="4" fontId="5" fillId="0" borderId="15" xfId="71" applyNumberFormat="1" applyFont="1" applyFill="1" applyBorder="1" applyAlignment="1">
      <alignment wrapText="1" shrinkToFit="1"/>
      <protection/>
    </xf>
    <xf numFmtId="3" fontId="5" fillId="0" borderId="15" xfId="71" applyNumberFormat="1" applyFont="1" applyFill="1" applyBorder="1" applyAlignment="1">
      <alignment wrapText="1" shrinkToFit="1"/>
      <protection/>
    </xf>
    <xf numFmtId="0" fontId="16" fillId="0" borderId="0" xfId="0" applyFont="1" applyAlignment="1">
      <alignment horizontal="center"/>
    </xf>
    <xf numFmtId="0" fontId="16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/>
    </xf>
    <xf numFmtId="3" fontId="16" fillId="37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 shrinkToFit="1"/>
    </xf>
    <xf numFmtId="0" fontId="16" fillId="37" borderId="10" xfId="0" applyFont="1" applyFill="1" applyBorder="1" applyAlignment="1">
      <alignment horizontal="left" vertical="center" wrapText="1" shrinkToFit="1"/>
    </xf>
    <xf numFmtId="3" fontId="5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 vertical="center" wrapText="1" shrinkToFit="1"/>
    </xf>
    <xf numFmtId="3" fontId="16" fillId="38" borderId="10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5" fillId="0" borderId="10" xfId="0" applyFont="1" applyBorder="1" applyAlignment="1">
      <alignment wrapText="1"/>
    </xf>
    <xf numFmtId="3" fontId="16" fillId="34" borderId="10" xfId="0" applyNumberFormat="1" applyFont="1" applyFill="1" applyBorder="1" applyAlignment="1">
      <alignment/>
    </xf>
    <xf numFmtId="177" fontId="5" fillId="0" borderId="0" xfId="0" applyNumberFormat="1" applyFont="1" applyAlignment="1">
      <alignment/>
    </xf>
    <xf numFmtId="173" fontId="5" fillId="33" borderId="10" xfId="76" applyNumberFormat="1" applyFont="1" applyFill="1" applyBorder="1" applyAlignment="1">
      <alignment/>
    </xf>
    <xf numFmtId="177" fontId="5" fillId="0" borderId="10" xfId="0" applyNumberFormat="1" applyFont="1" applyBorder="1" applyAlignment="1">
      <alignment/>
    </xf>
    <xf numFmtId="209" fontId="5" fillId="0" borderId="0" xfId="0" applyNumberFormat="1" applyFont="1" applyAlignment="1">
      <alignment/>
    </xf>
    <xf numFmtId="173" fontId="5" fillId="0" borderId="10" xfId="76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9" fontId="5" fillId="0" borderId="10" xfId="76" applyFont="1" applyFill="1" applyBorder="1" applyAlignment="1">
      <alignment/>
    </xf>
    <xf numFmtId="194" fontId="5" fillId="0" borderId="10" xfId="82" applyNumberFormat="1" applyFont="1" applyBorder="1" applyAlignment="1">
      <alignment/>
    </xf>
    <xf numFmtId="9" fontId="5" fillId="33" borderId="10" xfId="76" applyFont="1" applyFill="1" applyBorder="1" applyAlignment="1">
      <alignment/>
    </xf>
    <xf numFmtId="0" fontId="5" fillId="0" borderId="0" xfId="65" applyFont="1" applyFill="1" applyProtection="1">
      <alignment/>
      <protection locked="0"/>
    </xf>
    <xf numFmtId="0" fontId="16" fillId="0" borderId="0" xfId="65" applyFont="1" applyFill="1" applyProtection="1">
      <alignment/>
      <protection locked="0"/>
    </xf>
    <xf numFmtId="9" fontId="17" fillId="0" borderId="0" xfId="65" applyNumberFormat="1" applyFont="1" applyFill="1" applyProtection="1">
      <alignment/>
      <protection locked="0"/>
    </xf>
    <xf numFmtId="172" fontId="5" fillId="0" borderId="0" xfId="65" applyNumberFormat="1" applyFont="1" applyFill="1" applyProtection="1">
      <alignment/>
      <protection locked="0"/>
    </xf>
    <xf numFmtId="172" fontId="17" fillId="0" borderId="0" xfId="65" applyNumberFormat="1" applyFont="1" applyFill="1" applyProtection="1">
      <alignment/>
      <protection locked="0"/>
    </xf>
    <xf numFmtId="9" fontId="16" fillId="0" borderId="0" xfId="65" applyNumberFormat="1" applyFont="1" applyFill="1" applyProtection="1">
      <alignment/>
      <protection locked="0"/>
    </xf>
    <xf numFmtId="0" fontId="21" fillId="0" borderId="0" xfId="65" applyFont="1" applyFill="1" applyProtection="1">
      <alignment/>
      <protection locked="0"/>
    </xf>
    <xf numFmtId="0" fontId="5" fillId="0" borderId="10" xfId="65" applyFont="1" applyFill="1" applyBorder="1" applyAlignment="1" applyProtection="1">
      <alignment vertical="top"/>
      <protection locked="0"/>
    </xf>
    <xf numFmtId="0" fontId="5" fillId="0" borderId="10" xfId="69" applyFont="1" applyFill="1" applyBorder="1" applyAlignment="1">
      <alignment horizontal="left" vertical="center" wrapText="1"/>
      <protection/>
    </xf>
    <xf numFmtId="0" fontId="16" fillId="0" borderId="10" xfId="69" applyFont="1" applyFill="1" applyBorder="1" applyAlignment="1">
      <alignment horizontal="center" vertical="center"/>
      <protection/>
    </xf>
    <xf numFmtId="0" fontId="5" fillId="0" borderId="10" xfId="71" applyFont="1" applyFill="1" applyBorder="1" applyAlignment="1">
      <alignment horizontal="center" vertical="center"/>
      <protection/>
    </xf>
    <xf numFmtId="0" fontId="16" fillId="0" borderId="10" xfId="71" applyFont="1" applyFill="1" applyBorder="1" applyAlignment="1">
      <alignment horizontal="center" vertical="center"/>
      <protection/>
    </xf>
    <xf numFmtId="0" fontId="5" fillId="0" borderId="0" xfId="65" applyFont="1" applyFill="1" applyAlignment="1" applyProtection="1">
      <alignment horizontal="center"/>
      <protection locked="0"/>
    </xf>
    <xf numFmtId="172" fontId="5" fillId="0" borderId="10" xfId="69" applyNumberFormat="1" applyFont="1" applyFill="1" applyBorder="1" applyAlignment="1">
      <alignment horizontal="right" vertical="center"/>
      <protection/>
    </xf>
    <xf numFmtId="172" fontId="5" fillId="0" borderId="10" xfId="65" applyNumberFormat="1" applyFont="1" applyFill="1" applyBorder="1" applyAlignment="1" applyProtection="1">
      <alignment/>
      <protection locked="0"/>
    </xf>
    <xf numFmtId="172" fontId="16" fillId="0" borderId="10" xfId="65" applyNumberFormat="1" applyFont="1" applyFill="1" applyBorder="1" applyAlignment="1" applyProtection="1">
      <alignment/>
      <protection locked="0"/>
    </xf>
    <xf numFmtId="0" fontId="5" fillId="0" borderId="0" xfId="65" applyFont="1" applyFill="1" applyAlignment="1" applyProtection="1">
      <alignment/>
      <protection locked="0"/>
    </xf>
    <xf numFmtId="0" fontId="5" fillId="0" borderId="0" xfId="65" applyFont="1" applyFill="1" applyAlignment="1" applyProtection="1">
      <alignment vertical="center"/>
      <protection locked="0"/>
    </xf>
    <xf numFmtId="0" fontId="5" fillId="36" borderId="10" xfId="69" applyFont="1" applyFill="1" applyBorder="1" applyAlignment="1">
      <alignment horizontal="left" vertical="center" wrapText="1" indent="2"/>
      <protection/>
    </xf>
    <xf numFmtId="172" fontId="5" fillId="39" borderId="10" xfId="65" applyNumberFormat="1" applyFont="1" applyFill="1" applyBorder="1" applyAlignment="1" applyProtection="1">
      <alignment/>
      <protection locked="0"/>
    </xf>
    <xf numFmtId="172" fontId="5" fillId="0" borderId="0" xfId="65" applyNumberFormat="1" applyFont="1" applyFill="1" applyAlignment="1" applyProtection="1">
      <alignment/>
      <protection locked="0"/>
    </xf>
    <xf numFmtId="172" fontId="64" fillId="0" borderId="0" xfId="65" applyNumberFormat="1" applyFont="1" applyFill="1" applyProtection="1">
      <alignment/>
      <protection locked="0"/>
    </xf>
    <xf numFmtId="3" fontId="5" fillId="0" borderId="0" xfId="0" applyNumberFormat="1" applyFont="1" applyAlignment="1">
      <alignment/>
    </xf>
    <xf numFmtId="210" fontId="5" fillId="0" borderId="0" xfId="0" applyNumberFormat="1" applyFont="1" applyAlignment="1">
      <alignment/>
    </xf>
    <xf numFmtId="1" fontId="5" fillId="34" borderId="14" xfId="70" applyNumberFormat="1" applyFont="1" applyFill="1" applyBorder="1" applyAlignment="1">
      <alignment horizontal="center" vertical="center" wrapText="1" shrinkToFit="1"/>
      <protection/>
    </xf>
    <xf numFmtId="0" fontId="16" fillId="37" borderId="10" xfId="0" applyFont="1" applyFill="1" applyBorder="1" applyAlignment="1">
      <alignment horizontal="left"/>
    </xf>
    <xf numFmtId="3" fontId="16" fillId="37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3" fontId="16" fillId="0" borderId="0" xfId="0" applyNumberFormat="1" applyFont="1" applyAlignment="1">
      <alignment/>
    </xf>
    <xf numFmtId="0" fontId="16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justify" vertical="top" wrapText="1"/>
    </xf>
    <xf numFmtId="3" fontId="5" fillId="0" borderId="10" xfId="0" applyNumberFormat="1" applyFont="1" applyBorder="1" applyAlignment="1">
      <alignment horizontal="right"/>
    </xf>
    <xf numFmtId="3" fontId="22" fillId="0" borderId="10" xfId="0" applyNumberFormat="1" applyFont="1" applyFill="1" applyBorder="1" applyAlignment="1">
      <alignment horizontal="right" vertical="top" wrapText="1"/>
    </xf>
    <xf numFmtId="3" fontId="22" fillId="0" borderId="10" xfId="0" applyNumberFormat="1" applyFont="1" applyBorder="1" applyAlignment="1">
      <alignment horizontal="right" vertical="top" wrapText="1"/>
    </xf>
    <xf numFmtId="187" fontId="22" fillId="0" borderId="10" xfId="0" applyNumberFormat="1" applyFont="1" applyBorder="1" applyAlignment="1">
      <alignment horizontal="right" vertical="top" wrapText="1"/>
    </xf>
    <xf numFmtId="0" fontId="23" fillId="0" borderId="10" xfId="0" applyFont="1" applyBorder="1" applyAlignment="1">
      <alignment horizontal="justify" vertical="top" wrapText="1"/>
    </xf>
    <xf numFmtId="9" fontId="23" fillId="0" borderId="10" xfId="0" applyNumberFormat="1" applyFont="1" applyBorder="1" applyAlignment="1">
      <alignment horizontal="right" vertical="top" wrapText="1"/>
    </xf>
    <xf numFmtId="9" fontId="22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16" fillId="0" borderId="10" xfId="0" applyFont="1" applyFill="1" applyBorder="1" applyAlignment="1">
      <alignment horizontal="center"/>
    </xf>
    <xf numFmtId="0" fontId="16" fillId="2" borderId="10" xfId="0" applyFont="1" applyFill="1" applyBorder="1" applyAlignment="1">
      <alignment/>
    </xf>
    <xf numFmtId="3" fontId="16" fillId="2" borderId="10" xfId="0" applyNumberFormat="1" applyFont="1" applyFill="1" applyBorder="1" applyAlignment="1">
      <alignment/>
    </xf>
    <xf numFmtId="3" fontId="5" fillId="2" borderId="10" xfId="0" applyNumberFormat="1" applyFont="1" applyFill="1" applyBorder="1" applyAlignment="1">
      <alignment horizontal="center" wrapText="1" shrinkToFi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3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1" fillId="0" borderId="0" xfId="53" applyAlignment="1" applyProtection="1">
      <alignment/>
      <protection/>
    </xf>
    <xf numFmtId="3" fontId="5" fillId="0" borderId="10" xfId="0" applyNumberFormat="1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177" fontId="5" fillId="35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0" fontId="44" fillId="0" borderId="0" xfId="71" applyFont="1" applyFill="1" applyBorder="1" applyAlignment="1">
      <alignment/>
      <protection/>
    </xf>
    <xf numFmtId="0" fontId="16" fillId="0" borderId="0" xfId="71" applyFont="1" applyFill="1" applyBorder="1" applyAlignment="1">
      <alignment horizontal="left"/>
      <protection/>
    </xf>
    <xf numFmtId="0" fontId="5" fillId="0" borderId="0" xfId="71" applyFont="1" applyFill="1" applyBorder="1" applyAlignment="1">
      <alignment/>
      <protection/>
    </xf>
    <xf numFmtId="0" fontId="16" fillId="0" borderId="0" xfId="71" applyFont="1" applyFill="1" applyBorder="1" applyAlignment="1">
      <alignment/>
      <protection/>
    </xf>
    <xf numFmtId="0" fontId="16" fillId="0" borderId="0" xfId="0" applyFont="1" applyAlignment="1">
      <alignment/>
    </xf>
    <xf numFmtId="0" fontId="5" fillId="0" borderId="0" xfId="71" applyFont="1" applyFill="1" applyBorder="1" applyAlignment="1">
      <alignment horizontal="center"/>
      <protection/>
    </xf>
    <xf numFmtId="3" fontId="5" fillId="33" borderId="10" xfId="0" applyNumberFormat="1" applyFont="1" applyFill="1" applyBorder="1" applyAlignment="1">
      <alignment horizontal="right"/>
    </xf>
    <xf numFmtId="4" fontId="5" fillId="0" borderId="0" xfId="71" applyNumberFormat="1" applyFont="1" applyFill="1" applyBorder="1" applyAlignment="1">
      <alignment wrapText="1" shrinkToFit="1"/>
      <protection/>
    </xf>
    <xf numFmtId="0" fontId="5" fillId="0" borderId="10" xfId="0" applyFont="1" applyBorder="1" applyAlignment="1">
      <alignment horizontal="left" wrapText="1"/>
    </xf>
    <xf numFmtId="173" fontId="5" fillId="33" borderId="10" xfId="0" applyNumberFormat="1" applyFont="1" applyFill="1" applyBorder="1" applyAlignment="1">
      <alignment/>
    </xf>
    <xf numFmtId="0" fontId="5" fillId="0" borderId="10" xfId="71" applyFont="1" applyFill="1" applyBorder="1" applyAlignment="1">
      <alignment horizontal="left" vertical="top"/>
      <protection/>
    </xf>
    <xf numFmtId="3" fontId="14" fillId="0" borderId="0" xfId="0" applyNumberFormat="1" applyFont="1" applyAlignment="1">
      <alignment/>
    </xf>
    <xf numFmtId="0" fontId="65" fillId="0" borderId="0" xfId="66" applyFont="1" applyAlignment="1">
      <alignment vertical="center"/>
      <protection/>
    </xf>
    <xf numFmtId="0" fontId="65" fillId="0" borderId="0" xfId="66" applyFont="1" applyAlignment="1">
      <alignment horizontal="right" vertical="center"/>
      <protection/>
    </xf>
    <xf numFmtId="0" fontId="65" fillId="0" borderId="0" xfId="66" applyFont="1">
      <alignment/>
      <protection/>
    </xf>
    <xf numFmtId="0" fontId="66" fillId="2" borderId="11" xfId="67" applyFont="1" applyFill="1" applyBorder="1" applyAlignment="1">
      <alignment vertical="center"/>
      <protection/>
    </xf>
    <xf numFmtId="3" fontId="66" fillId="2" borderId="10" xfId="67" applyNumberFormat="1" applyFont="1" applyFill="1" applyBorder="1" applyAlignment="1">
      <alignment horizontal="center" vertical="center"/>
      <protection/>
    </xf>
    <xf numFmtId="0" fontId="65" fillId="0" borderId="10" xfId="66" applyFont="1" applyBorder="1" applyAlignment="1">
      <alignment vertical="center"/>
      <protection/>
    </xf>
    <xf numFmtId="3" fontId="65" fillId="0" borderId="10" xfId="66" applyNumberFormat="1" applyFont="1" applyFill="1" applyBorder="1" applyAlignment="1">
      <alignment horizontal="right" vertical="center"/>
      <protection/>
    </xf>
    <xf numFmtId="0" fontId="66" fillId="0" borderId="10" xfId="66" applyFont="1" applyBorder="1" applyAlignment="1">
      <alignment vertical="center"/>
      <protection/>
    </xf>
    <xf numFmtId="3" fontId="66" fillId="0" borderId="10" xfId="66" applyNumberFormat="1" applyFont="1" applyFill="1" applyBorder="1" applyAlignment="1">
      <alignment horizontal="right" vertical="center"/>
      <protection/>
    </xf>
    <xf numFmtId="0" fontId="65" fillId="0" borderId="0" xfId="66" applyFont="1" applyBorder="1" applyAlignment="1">
      <alignment vertical="center"/>
      <protection/>
    </xf>
    <xf numFmtId="3" fontId="65" fillId="0" borderId="0" xfId="66" applyNumberFormat="1" applyFont="1" applyBorder="1" applyAlignment="1">
      <alignment horizontal="right" vertical="center"/>
      <protection/>
    </xf>
    <xf numFmtId="49" fontId="65" fillId="0" borderId="10" xfId="66" applyNumberFormat="1" applyFont="1" applyFill="1" applyBorder="1" applyAlignment="1">
      <alignment horizontal="right" vertical="center"/>
      <protection/>
    </xf>
    <xf numFmtId="9" fontId="65" fillId="0" borderId="10" xfId="66" applyNumberFormat="1" applyFont="1" applyFill="1" applyBorder="1" applyAlignment="1">
      <alignment horizontal="right" vertical="center"/>
      <protection/>
    </xf>
    <xf numFmtId="9" fontId="66" fillId="0" borderId="10" xfId="66" applyNumberFormat="1" applyFont="1" applyFill="1" applyBorder="1" applyAlignment="1">
      <alignment horizontal="right" vertical="center"/>
      <protection/>
    </xf>
    <xf numFmtId="0" fontId="65" fillId="0" borderId="0" xfId="66" applyFont="1" applyBorder="1" applyAlignment="1">
      <alignment horizontal="left" vertical="center"/>
      <protection/>
    </xf>
    <xf numFmtId="0" fontId="65" fillId="0" borderId="0" xfId="66" applyFont="1" applyBorder="1" applyAlignment="1">
      <alignment horizontal="right" vertical="center"/>
      <protection/>
    </xf>
    <xf numFmtId="177" fontId="65" fillId="0" borderId="10" xfId="66" applyNumberFormat="1" applyFont="1" applyFill="1" applyBorder="1" applyAlignment="1">
      <alignment horizontal="right" vertical="center"/>
      <protection/>
    </xf>
    <xf numFmtId="0" fontId="66" fillId="0" borderId="0" xfId="66" applyFont="1" applyAlignment="1">
      <alignment vertical="center"/>
      <protection/>
    </xf>
    <xf numFmtId="0" fontId="65" fillId="0" borderId="10" xfId="66" applyFont="1" applyBorder="1" applyAlignment="1">
      <alignment vertical="center" wrapText="1"/>
      <protection/>
    </xf>
    <xf numFmtId="3" fontId="65" fillId="2" borderId="10" xfId="66" applyNumberFormat="1" applyFont="1" applyFill="1" applyBorder="1" applyAlignment="1">
      <alignment horizontal="right" vertical="center"/>
      <protection/>
    </xf>
    <xf numFmtId="0" fontId="66" fillId="2" borderId="10" xfId="66" applyFont="1" applyFill="1" applyBorder="1" applyAlignment="1">
      <alignment vertical="center"/>
      <protection/>
    </xf>
    <xf numFmtId="3" fontId="66" fillId="2" borderId="10" xfId="66" applyNumberFormat="1" applyFont="1" applyFill="1" applyBorder="1" applyAlignment="1">
      <alignment horizontal="right" vertical="center"/>
      <protection/>
    </xf>
    <xf numFmtId="49" fontId="65" fillId="0" borderId="10" xfId="66" applyNumberFormat="1" applyFont="1" applyFill="1" applyBorder="1" applyAlignment="1">
      <alignment horizontal="right" vertical="center" wrapText="1"/>
      <protection/>
    </xf>
    <xf numFmtId="0" fontId="65" fillId="0" borderId="0" xfId="66" applyFont="1" applyFill="1">
      <alignment/>
      <protection/>
    </xf>
    <xf numFmtId="9" fontId="66" fillId="2" borderId="10" xfId="66" applyNumberFormat="1" applyFont="1" applyFill="1" applyBorder="1" applyAlignment="1">
      <alignment horizontal="right" vertical="center"/>
      <protection/>
    </xf>
    <xf numFmtId="3" fontId="5" fillId="0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 vertical="center"/>
    </xf>
    <xf numFmtId="0" fontId="5" fillId="0" borderId="10" xfId="66" applyFont="1" applyBorder="1" applyAlignment="1">
      <alignment vertical="center"/>
      <protection/>
    </xf>
    <xf numFmtId="0" fontId="16" fillId="0" borderId="10" xfId="66" applyFont="1" applyBorder="1" applyAlignment="1">
      <alignment vertical="center"/>
      <protection/>
    </xf>
    <xf numFmtId="0" fontId="66" fillId="2" borderId="16" xfId="67" applyFont="1" applyFill="1" applyBorder="1" applyAlignment="1">
      <alignment vertical="center"/>
      <protection/>
    </xf>
    <xf numFmtId="3" fontId="66" fillId="2" borderId="13" xfId="67" applyNumberFormat="1" applyFont="1" applyFill="1" applyBorder="1" applyAlignment="1">
      <alignment horizontal="center" vertical="center"/>
      <protection/>
    </xf>
    <xf numFmtId="0" fontId="65" fillId="0" borderId="14" xfId="66" applyFont="1" applyBorder="1" applyAlignment="1">
      <alignment vertical="center"/>
      <protection/>
    </xf>
    <xf numFmtId="3" fontId="65" fillId="0" borderId="14" xfId="66" applyNumberFormat="1" applyFont="1" applyFill="1" applyBorder="1" applyAlignment="1">
      <alignment horizontal="right" vertical="center"/>
      <protection/>
    </xf>
    <xf numFmtId="0" fontId="66" fillId="0" borderId="11" xfId="66" applyFont="1" applyBorder="1" applyAlignment="1">
      <alignment vertical="center"/>
      <protection/>
    </xf>
    <xf numFmtId="3" fontId="65" fillId="0" borderId="17" xfId="66" applyNumberFormat="1" applyFont="1" applyFill="1" applyBorder="1" applyAlignment="1">
      <alignment horizontal="right" vertical="center"/>
      <protection/>
    </xf>
    <xf numFmtId="0" fontId="65" fillId="0" borderId="17" xfId="66" applyFont="1" applyBorder="1">
      <alignment/>
      <protection/>
    </xf>
    <xf numFmtId="0" fontId="65" fillId="0" borderId="12" xfId="66" applyFont="1" applyBorder="1">
      <alignment/>
      <protection/>
    </xf>
    <xf numFmtId="177" fontId="16" fillId="0" borderId="0" xfId="0" applyNumberFormat="1" applyFont="1" applyAlignment="1">
      <alignment/>
    </xf>
    <xf numFmtId="0" fontId="5" fillId="0" borderId="0" xfId="66" applyFont="1" applyFill="1">
      <alignment/>
      <protection/>
    </xf>
    <xf numFmtId="0" fontId="16" fillId="2" borderId="10" xfId="0" applyFont="1" applyFill="1" applyBorder="1" applyAlignment="1">
      <alignment horizontal="center" vertical="center" wrapText="1"/>
    </xf>
    <xf numFmtId="177" fontId="5" fillId="35" borderId="10" xfId="0" applyNumberFormat="1" applyFont="1" applyFill="1" applyBorder="1" applyAlignment="1">
      <alignment vertical="center"/>
    </xf>
    <xf numFmtId="0" fontId="16" fillId="2" borderId="10" xfId="0" applyFont="1" applyFill="1" applyBorder="1" applyAlignment="1">
      <alignment vertical="center"/>
    </xf>
    <xf numFmtId="3" fontId="5" fillId="35" borderId="10" xfId="0" applyNumberFormat="1" applyFont="1" applyFill="1" applyBorder="1" applyAlignment="1">
      <alignment horizontal="center" vertical="center"/>
    </xf>
    <xf numFmtId="177" fontId="16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/>
    </xf>
    <xf numFmtId="0" fontId="16" fillId="0" borderId="10" xfId="0" applyFont="1" applyBorder="1" applyAlignment="1">
      <alignment horizontal="center"/>
    </xf>
    <xf numFmtId="4" fontId="5" fillId="35" borderId="10" xfId="0" applyNumberFormat="1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/>
    </xf>
    <xf numFmtId="0" fontId="16" fillId="3" borderId="10" xfId="0" applyFont="1" applyFill="1" applyBorder="1" applyAlignment="1">
      <alignment horizontal="center"/>
    </xf>
    <xf numFmtId="177" fontId="16" fillId="3" borderId="10" xfId="0" applyNumberFormat="1" applyFont="1" applyFill="1" applyBorder="1" applyAlignment="1">
      <alignment horizontal="center"/>
    </xf>
    <xf numFmtId="3" fontId="16" fillId="3" borderId="10" xfId="0" applyNumberFormat="1" applyFont="1" applyFill="1" applyBorder="1" applyAlignment="1">
      <alignment horizontal="center" vertical="center"/>
    </xf>
    <xf numFmtId="3" fontId="16" fillId="3" borderId="10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 vertical="center"/>
    </xf>
    <xf numFmtId="212" fontId="5" fillId="35" borderId="10" xfId="0" applyNumberFormat="1" applyFont="1" applyFill="1" applyBorder="1" applyAlignment="1">
      <alignment horizontal="center" vertical="center"/>
    </xf>
    <xf numFmtId="176" fontId="16" fillId="3" borderId="10" xfId="0" applyNumberFormat="1" applyFont="1" applyFill="1" applyBorder="1" applyAlignment="1">
      <alignment horizontal="right"/>
    </xf>
    <xf numFmtId="0" fontId="16" fillId="0" borderId="0" xfId="65" applyFont="1" applyFill="1" applyBorder="1" applyProtection="1">
      <alignment/>
      <protection locked="0"/>
    </xf>
    <xf numFmtId="3" fontId="5" fillId="0" borderId="0" xfId="65" applyNumberFormat="1" applyFont="1" applyFill="1" applyBorder="1" applyAlignment="1" applyProtection="1">
      <alignment horizontal="center"/>
      <protection locked="0"/>
    </xf>
    <xf numFmtId="173" fontId="17" fillId="0" borderId="10" xfId="65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76" fontId="17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9" fontId="17" fillId="35" borderId="10" xfId="0" applyNumberFormat="1" applyFont="1" applyFill="1" applyBorder="1" applyAlignment="1">
      <alignment/>
    </xf>
    <xf numFmtId="0" fontId="5" fillId="0" borderId="0" xfId="70" applyFont="1" applyFill="1" applyBorder="1" applyAlignment="1">
      <alignment horizontal="right" vertical="top"/>
      <protection/>
    </xf>
    <xf numFmtId="9" fontId="65" fillId="2" borderId="10" xfId="66" applyNumberFormat="1" applyFont="1" applyFill="1" applyBorder="1" applyAlignment="1">
      <alignment horizontal="right" vertical="center"/>
      <protection/>
    </xf>
    <xf numFmtId="0" fontId="16" fillId="0" borderId="13" xfId="70" applyFont="1" applyFill="1" applyBorder="1" applyAlignment="1">
      <alignment horizontal="center" vertical="center" wrapText="1"/>
      <protection/>
    </xf>
    <xf numFmtId="0" fontId="16" fillId="0" borderId="14" xfId="70" applyFont="1" applyFill="1" applyBorder="1" applyAlignment="1">
      <alignment horizontal="center" vertical="center" wrapText="1"/>
      <protection/>
    </xf>
    <xf numFmtId="0" fontId="16" fillId="0" borderId="10" xfId="70" applyFont="1" applyFill="1" applyBorder="1" applyAlignment="1">
      <alignment horizontal="center" vertical="center" wrapText="1"/>
      <protection/>
    </xf>
    <xf numFmtId="172" fontId="16" fillId="34" borderId="17" xfId="70" applyNumberFormat="1" applyFont="1" applyFill="1" applyBorder="1" applyAlignment="1">
      <alignment horizontal="center" vertical="center"/>
      <protection/>
    </xf>
    <xf numFmtId="0" fontId="16" fillId="34" borderId="17" xfId="70" applyFont="1" applyFill="1" applyBorder="1" applyAlignment="1">
      <alignment horizontal="center" vertical="center"/>
      <protection/>
    </xf>
    <xf numFmtId="0" fontId="16" fillId="34" borderId="12" xfId="70" applyFont="1" applyFill="1" applyBorder="1" applyAlignment="1">
      <alignment horizontal="center" vertical="center"/>
      <protection/>
    </xf>
    <xf numFmtId="172" fontId="16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34" borderId="16" xfId="70" applyFont="1" applyFill="1" applyBorder="1" applyAlignment="1">
      <alignment horizontal="center" vertical="center" wrapText="1" shrinkToFit="1"/>
      <protection/>
    </xf>
    <xf numFmtId="0" fontId="16" fillId="34" borderId="18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 wrapText="1" shrinkToFit="1"/>
      <protection/>
    </xf>
    <xf numFmtId="0" fontId="16" fillId="34" borderId="14" xfId="70" applyFont="1" applyFill="1" applyBorder="1" applyAlignment="1">
      <alignment horizontal="center" vertical="center" wrapText="1" shrinkToFit="1"/>
      <protection/>
    </xf>
    <xf numFmtId="0" fontId="16" fillId="34" borderId="10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/>
      <protection/>
    </xf>
    <xf numFmtId="0" fontId="16" fillId="34" borderId="14" xfId="70" applyFont="1" applyFill="1" applyBorder="1" applyAlignment="1">
      <alignment horizontal="center" vertical="center"/>
      <protection/>
    </xf>
    <xf numFmtId="0" fontId="16" fillId="34" borderId="16" xfId="71" applyFont="1" applyFill="1" applyBorder="1" applyAlignment="1">
      <alignment horizontal="center" vertical="center" wrapText="1" shrinkToFit="1"/>
      <protection/>
    </xf>
    <xf numFmtId="0" fontId="16" fillId="34" borderId="18" xfId="71" applyFont="1" applyFill="1" applyBorder="1" applyAlignment="1">
      <alignment horizontal="center" vertical="center" wrapText="1" shrinkToFit="1"/>
      <protection/>
    </xf>
    <xf numFmtId="0" fontId="16" fillId="34" borderId="10" xfId="71" applyFont="1" applyFill="1" applyBorder="1" applyAlignment="1">
      <alignment horizontal="center" vertical="center"/>
      <protection/>
    </xf>
    <xf numFmtId="172" fontId="16" fillId="34" borderId="10" xfId="71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left"/>
    </xf>
    <xf numFmtId="0" fontId="16" fillId="2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34" borderId="16" xfId="71" applyFont="1" applyFill="1" applyBorder="1" applyAlignment="1">
      <alignment horizontal="center" vertical="center"/>
      <protection/>
    </xf>
    <xf numFmtId="0" fontId="16" fillId="34" borderId="18" xfId="7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0" fontId="16" fillId="0" borderId="10" xfId="71" applyFont="1" applyFill="1" applyBorder="1" applyAlignment="1">
      <alignment horizontal="center" vertical="center" wrapText="1"/>
      <protection/>
    </xf>
    <xf numFmtId="172" fontId="16" fillId="34" borderId="11" xfId="70" applyNumberFormat="1" applyFont="1" applyFill="1" applyBorder="1" applyAlignment="1">
      <alignment horizontal="center" vertical="center" wrapText="1" shrinkToFit="1"/>
      <protection/>
    </xf>
    <xf numFmtId="172" fontId="16" fillId="34" borderId="17" xfId="70" applyNumberFormat="1" applyFont="1" applyFill="1" applyBorder="1" applyAlignment="1">
      <alignment horizontal="center" vertical="center" wrapText="1" shrinkToFit="1"/>
      <protection/>
    </xf>
    <xf numFmtId="172" fontId="16" fillId="34" borderId="12" xfId="70" applyNumberFormat="1" applyFont="1" applyFill="1" applyBorder="1" applyAlignment="1">
      <alignment horizontal="center" vertical="center" wrapText="1" shrinkToFit="1"/>
      <protection/>
    </xf>
    <xf numFmtId="0" fontId="16" fillId="34" borderId="1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center" vertical="center" wrapText="1" shrinkToFit="1"/>
    </xf>
    <xf numFmtId="0" fontId="16" fillId="34" borderId="10" xfId="0" applyFont="1" applyFill="1" applyBorder="1" applyAlignment="1">
      <alignment horizontal="center" vertical="center" wrapText="1"/>
    </xf>
    <xf numFmtId="0" fontId="66" fillId="2" borderId="13" xfId="67" applyFont="1" applyFill="1" applyBorder="1" applyAlignment="1">
      <alignment horizontal="left" vertical="center"/>
      <protection/>
    </xf>
    <xf numFmtId="0" fontId="66" fillId="2" borderId="14" xfId="67" applyFont="1" applyFill="1" applyBorder="1" applyAlignment="1">
      <alignment horizontal="left" vertical="center"/>
      <protection/>
    </xf>
    <xf numFmtId="3" fontId="65" fillId="0" borderId="10" xfId="66" applyNumberFormat="1" applyFont="1" applyFill="1" applyBorder="1" applyAlignment="1">
      <alignment horizontal="center" vertical="center"/>
      <protection/>
    </xf>
    <xf numFmtId="3" fontId="65" fillId="0" borderId="17" xfId="66" applyNumberFormat="1" applyFont="1" applyFill="1" applyBorder="1" applyAlignment="1">
      <alignment horizontal="center" vertical="center"/>
      <protection/>
    </xf>
    <xf numFmtId="3" fontId="65" fillId="0" borderId="12" xfId="66" applyNumberFormat="1" applyFont="1" applyFill="1" applyBorder="1" applyAlignment="1">
      <alignment horizontal="center" vertical="center"/>
      <protection/>
    </xf>
    <xf numFmtId="3" fontId="66" fillId="2" borderId="11" xfId="67" applyNumberFormat="1" applyFont="1" applyFill="1" applyBorder="1" applyAlignment="1">
      <alignment horizontal="center" vertical="center"/>
      <protection/>
    </xf>
    <xf numFmtId="3" fontId="66" fillId="2" borderId="17" xfId="67" applyNumberFormat="1" applyFont="1" applyFill="1" applyBorder="1" applyAlignment="1">
      <alignment horizontal="center" vertical="center"/>
      <protection/>
    </xf>
    <xf numFmtId="3" fontId="66" fillId="2" borderId="12" xfId="67" applyNumberFormat="1" applyFont="1" applyFill="1" applyBorder="1" applyAlignment="1">
      <alignment horizontal="center" vertical="center"/>
      <protection/>
    </xf>
  </cellXfs>
  <cellStyles count="76">
    <cellStyle name="Normal" xfId="0"/>
    <cellStyle name="_Бюджет_2007_3_22,12,06 вар.после набл.совета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Euro" xfId="34"/>
    <cellStyle name="Flag" xfId="35"/>
    <cellStyle name="Milliers [0]_JULY97" xfId="36"/>
    <cellStyle name="Milliers_JULY97" xfId="37"/>
    <cellStyle name="Monétaire [0]_JULY97" xfId="38"/>
    <cellStyle name="Monétaire_JULY97" xfId="39"/>
    <cellStyle name="Normal_Assump." xfId="40"/>
    <cellStyle name="Option" xfId="41"/>
    <cellStyle name="Price" xfId="42"/>
    <cellStyle name="Unit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_Алтын-ОрдаНовыйБП" xfId="64"/>
    <cellStyle name="Обычный_Алтын-ОрдаНовыйБП 2" xfId="65"/>
    <cellStyle name="Обычный_БП кир завод 3.3  (40 млн. +20 забут реал на 18.07.06 для АФ увел курс)" xfId="66"/>
    <cellStyle name="Обычный_Копия cityrus4-18 лет СМР 52 млн $" xfId="67"/>
    <cellStyle name="Обычный_НовыйМир" xfId="68"/>
    <cellStyle name="Обычный_ПереченьКЗ" xfId="69"/>
    <cellStyle name="Обычный_Формы отчетов" xfId="70"/>
    <cellStyle name="Обычный_Формы отчетов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Процентный 2" xfId="77"/>
    <cellStyle name="Связанная ячейка" xfId="78"/>
    <cellStyle name="Стиль 1" xfId="79"/>
    <cellStyle name="Текст предупреждения" xfId="80"/>
    <cellStyle name="Тысячи [0]" xfId="81"/>
    <cellStyle name="Comma" xfId="82"/>
    <cellStyle name="Comma [0]" xfId="83"/>
    <cellStyle name="Хороший" xfId="84"/>
    <cellStyle name="桁区切り [0.00]_PERSONAL" xfId="85"/>
    <cellStyle name="桁区切り_PERSONAL" xfId="86"/>
    <cellStyle name="標準_PERSONAL" xfId="87"/>
    <cellStyle name="通貨 [0.00]_PERSONAL" xfId="88"/>
    <cellStyle name="通貨_PERSONAL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externalLink" Target="externalLinks/externalLink21.xml" /><Relationship Id="rId37" Type="http://schemas.openxmlformats.org/officeDocument/2006/relationships/externalLink" Target="externalLinks/externalLink22.xml" /><Relationship Id="rId38" Type="http://schemas.openxmlformats.org/officeDocument/2006/relationships/externalLink" Target="externalLinks/externalLink23.xml" /><Relationship Id="rId39" Type="http://schemas.openxmlformats.org/officeDocument/2006/relationships/externalLink" Target="externalLinks/externalLink24.xml" /><Relationship Id="rId40" Type="http://schemas.openxmlformats.org/officeDocument/2006/relationships/externalLink" Target="externalLinks/externalLink25.xml" /><Relationship Id="rId41" Type="http://schemas.openxmlformats.org/officeDocument/2006/relationships/externalLink" Target="externalLinks/externalLink26.xml" /><Relationship Id="rId42" Type="http://schemas.openxmlformats.org/officeDocument/2006/relationships/externalLink" Target="externalLinks/externalLink27.xml" /><Relationship Id="rId43" Type="http://schemas.openxmlformats.org/officeDocument/2006/relationships/externalLink" Target="externalLinks/externalLink28.xml" /><Relationship Id="rId44" Type="http://schemas.openxmlformats.org/officeDocument/2006/relationships/externalLink" Target="externalLinks/externalLink29.xml" /><Relationship Id="rId45" Type="http://schemas.openxmlformats.org/officeDocument/2006/relationships/externalLink" Target="externalLinks/externalLink30.xml" /><Relationship Id="rId46" Type="http://schemas.openxmlformats.org/officeDocument/2006/relationships/externalLink" Target="externalLinks/externalLink31.xml" /><Relationship Id="rId47" Type="http://schemas.openxmlformats.org/officeDocument/2006/relationships/externalLink" Target="externalLinks/externalLink32.xml" /><Relationship Id="rId48" Type="http://schemas.openxmlformats.org/officeDocument/2006/relationships/externalLink" Target="externalLinks/externalLink33.xml" /><Relationship Id="rId49" Type="http://schemas.openxmlformats.org/officeDocument/2006/relationships/externalLink" Target="externalLinks/externalLink34.xml" /><Relationship Id="rId50" Type="http://schemas.openxmlformats.org/officeDocument/2006/relationships/externalLink" Target="externalLinks/externalLink35.xml" /><Relationship Id="rId51" Type="http://schemas.openxmlformats.org/officeDocument/2006/relationships/externalLink" Target="externalLinks/externalLink36.xml" /><Relationship Id="rId52" Type="http://schemas.openxmlformats.org/officeDocument/2006/relationships/externalLink" Target="externalLinks/externalLink37.xml" /><Relationship Id="rId53" Type="http://schemas.openxmlformats.org/officeDocument/2006/relationships/externalLink" Target="externalLinks/externalLink38.xml" /><Relationship Id="rId54" Type="http://schemas.openxmlformats.org/officeDocument/2006/relationships/externalLink" Target="externalLinks/externalLink39.xml" /><Relationship Id="rId55" Type="http://schemas.openxmlformats.org/officeDocument/2006/relationships/externalLink" Target="externalLinks/externalLink40.xml" /><Relationship Id="rId56" Type="http://schemas.openxmlformats.org/officeDocument/2006/relationships/externalLink" Target="externalLinks/externalLink41.xml" /><Relationship Id="rId57" Type="http://schemas.openxmlformats.org/officeDocument/2006/relationships/externalLink" Target="externalLinks/externalLink42.xml" /><Relationship Id="rId58" Type="http://schemas.openxmlformats.org/officeDocument/2006/relationships/externalLink" Target="externalLinks/externalLink43.xml" /><Relationship Id="rId59" Type="http://schemas.openxmlformats.org/officeDocument/2006/relationships/externalLink" Target="externalLinks/externalLink44.xml" /><Relationship Id="rId60" Type="http://schemas.openxmlformats.org/officeDocument/2006/relationships/externalLink" Target="externalLinks/externalLink45.xml" /><Relationship Id="rId61" Type="http://schemas.openxmlformats.org/officeDocument/2006/relationships/externalLink" Target="externalLinks/externalLink46.xml" /><Relationship Id="rId62" Type="http://schemas.openxmlformats.org/officeDocument/2006/relationships/externalLink" Target="externalLinks/externalLink47.xml" /><Relationship Id="rId63" Type="http://schemas.openxmlformats.org/officeDocument/2006/relationships/externalLink" Target="externalLinks/externalLink48.xml" /><Relationship Id="rId64" Type="http://schemas.openxmlformats.org/officeDocument/2006/relationships/externalLink" Target="externalLinks/externalLink49.xml" /><Relationship Id="rId65" Type="http://schemas.openxmlformats.org/officeDocument/2006/relationships/externalLink" Target="externalLinks/externalLink50.xml" /><Relationship Id="rId66" Type="http://schemas.openxmlformats.org/officeDocument/2006/relationships/externalLink" Target="externalLinks/externalLink51.xml" /><Relationship Id="rId67" Type="http://schemas.openxmlformats.org/officeDocument/2006/relationships/externalLink" Target="externalLinks/externalLink52.xml" /><Relationship Id="rId68" Type="http://schemas.openxmlformats.org/officeDocument/2006/relationships/externalLink" Target="externalLinks/externalLink53.xml" /><Relationship Id="rId69" Type="http://schemas.openxmlformats.org/officeDocument/2006/relationships/externalLink" Target="externalLinks/externalLink54.xml" /><Relationship Id="rId70" Type="http://schemas.openxmlformats.org/officeDocument/2006/relationships/externalLink" Target="externalLinks/externalLink55.xml" /><Relationship Id="rId71" Type="http://schemas.openxmlformats.org/officeDocument/2006/relationships/externalLink" Target="externalLinks/externalLink56.xml" /><Relationship Id="rId72" Type="http://schemas.openxmlformats.org/officeDocument/2006/relationships/externalLink" Target="externalLinks/externalLink57.xml" /><Relationship Id="rId73" Type="http://schemas.openxmlformats.org/officeDocument/2006/relationships/externalLink" Target="externalLinks/externalLink58.xml" /><Relationship Id="rId74" Type="http://schemas.openxmlformats.org/officeDocument/2006/relationships/externalLink" Target="externalLinks/externalLink59.xml" /><Relationship Id="rId75" Type="http://schemas.openxmlformats.org/officeDocument/2006/relationships/externalLink" Target="externalLinks/externalLink60.xml" /><Relationship Id="rId76" Type="http://schemas.openxmlformats.org/officeDocument/2006/relationships/externalLink" Target="externalLinks/externalLink61.xml" /><Relationship Id="rId77" Type="http://schemas.openxmlformats.org/officeDocument/2006/relationships/externalLink" Target="externalLinks/externalLink62.xml" /><Relationship Id="rId78" Type="http://schemas.openxmlformats.org/officeDocument/2006/relationships/externalLink" Target="externalLinks/externalLink63.xml" /><Relationship Id="rId79" Type="http://schemas.openxmlformats.org/officeDocument/2006/relationships/externalLink" Target="externalLinks/externalLink64.xml" /><Relationship Id="rId80" Type="http://schemas.openxmlformats.org/officeDocument/2006/relationships/externalLink" Target="externalLinks/externalLink65.xml" /><Relationship Id="rId81" Type="http://schemas.openxmlformats.org/officeDocument/2006/relationships/externalLink" Target="externalLinks/externalLink66.xml" /><Relationship Id="rId82" Type="http://schemas.openxmlformats.org/officeDocument/2006/relationships/externalLink" Target="externalLinks/externalLink67.xml" /><Relationship Id="rId83" Type="http://schemas.openxmlformats.org/officeDocument/2006/relationships/externalLink" Target="externalLinks/externalLink68.xml" /><Relationship Id="rId84" Type="http://schemas.openxmlformats.org/officeDocument/2006/relationships/externalLink" Target="externalLinks/externalLink69.xml" /><Relationship Id="rId85" Type="http://schemas.openxmlformats.org/officeDocument/2006/relationships/externalLink" Target="externalLinks/externalLink70.xml" /><Relationship Id="rId8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74;&#1089;&#1103;&#1082;&#1080;&#1081;%20&#1073;&#1091;&#1090;&#1086;&#1088;\SYS\98WIN\TEMP\&#1055;&#1088;&#1080;&#1083;&#1086;&#1078;&#1077;&#1085;&#1080;&#1077;%20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7;&#1077;&#1088;&#1085;&#1086;&#1074;&#1072;&#1103;_&#1051;&#1050;\Proj_&#1047;&#1051;&#1050;_&#1087;&#1096;&#1077;&#1085;&#1080;&#1094;&#1072;_50%_&#1083;&#1080;&#1079;_&#1087;&#1083;&#1072;&#109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AL_&#1047;&#1077;&#1088;&#1085;&#1051;&#105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~1\GH_KUS~1\LOCALS~1\Temp\bat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smanov\&#1052;&#1086;&#1080;%20&#1076;&#1086;&#1082;&#1091;&#1084;&#1077;&#1085;&#1090;&#1099;\Documents%20and%20Settings\kusmanov\Desktop\&#1069;&#1082;&#1086;&#1090;&#1086;&#1085;+_&#1040;&#1082;&#1090;&#1102;&#1073;&#1080;&#1085;&#1089;&#108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64;&#1072;&#1073;&#1083;&#1086;&#1085;&#1099;\&#1064;&#1072;&#1073;&#1083;&#1086;&#108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51;&#1044;&#1050;%20&#1060;3+&#1060;2%20&#1073;&#1077;&#1079;%20&#1048;&#1060;&#105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55;&#1088;&#1086;&#1095;&#1080;&#1077;%20&#1087;&#1088;&#1086;&#1077;&#1082;&#1090;&#1099;\&#1050;&#1072;&#1092;&#1077;\&#1058;&#1069;&#1054;%2010.09.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52;&#1051;&#1044;&#1050;%20&#1060;3+&#1060;2%20&#1073;&#1077;&#1079;%20&#1048;&#1060;&#105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70;&#1076;&#1072;&#1096;&#1082;&#1080;&#1085;%20&#1075;&#1086;&#1090;&#1086;&#1074;&#1099;&#1081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q\&#1056;&#1072;&#1073;&#1086;&#1095;&#1080;&#1081;%20&#1089;&#1090;&#1086;&#1083;\&#1056;&#1040;&#1057;&#1063;&#1045;&#1058;&#106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54;&#1073;&#1097;&#1080;&#1077;%20&#1076;&#1086;&#1082;&#1091;&#1084;&#1077;&#1085;&#1090;&#1099;\Documents%20and%20Settings\k_abdrahmanov\&#1056;&#1072;&#1073;&#1086;&#1095;&#1080;&#1081;%20&#1089;&#1090;&#1086;&#1083;\&#1048;&#1085;&#1092;&#1086;%20&#1040;&#1082;&#1090;&#1086;&#1073;&#1077;\&#1085;&#1086;&#1074;&#1099;&#1081;%20&#1041;&#1055;%20%20&#1080;&#1089;&#1087;&#1088;%20&#1089;%20&#1091;&#1095;.%20&#1092;&#1080;&#1085;.%20NB%2007.02.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erver\monitoring\Shared\&#1050;&#1086;&#1087;&#1080;&#1103;%20&#1056;&#1077;&#1085;&#1090;&#1072;&#1073;&#1077;&#1083;&#1100;&#1085;&#1086;&#1089;&#1090;&#110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I_FROL~1\LOCALS~1\Temp\bat\ENKI\&#1053;&#1077;&#1088;&#1091;&#1076;%20&#1084;&#1086;&#1080;%20&#1088;&#1072;&#1089;&#1095;&#1105;&#1090;&#1099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6A75EE9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tes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15E674E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m_anfinogenov\&#1056;&#1072;&#1073;&#1086;&#1095;&#1080;&#1081;%20&#1089;&#1090;&#1086;&#1083;\&#1047;&#1086;&#1083;&#1086;&#1090;&#1086;&#1081;%20&#1087;&#1088;&#1080;&#1080;&#1089;&#1082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2;&#1051;&#1044;&#1050;%20&#1060;3+&#1060;2%20&#1073;&#1077;&#1079;%20&#1048;&#1060;&#1050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6A75EE9B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WINDOWS\TEMP\Rar$DI01.712\&#1069;&#1082;&#1086;&#1090;&#1086;&#1085;%2011.03.04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6;&#1072;&#1089;&#1095;&#1077;&#1090;%20&#1087;&#1086;%20&#1084;&#1080;&#1085;&#1080;&#1084;&#1072;&#1088;&#1082;&#1077;&#1090;&#1091;%2011,5%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_FROL~1\LOCALS~1\Temp\bat\ENKI\&#1053;&#1077;&#1088;&#1091;&#1076;%20&#1084;&#1086;&#1080;%20&#1088;&#1072;&#1089;&#1095;&#1105;&#1090;&#1099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15E674E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03_&#1040;&#1082;&#1089;&#1091;&#1072;&#1090;&#1089;&#1082;&#1080;&#1081;%20&#1101;&#1083;&#1077;&#1074;&#1072;&#1090;&#1086;&#1088;+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65_&#1069;&#1083;&#1077;&#1074;&#1072;&#1090;&#1086;&#1088;&#1099;\_&#1056;&#1072;&#1089;&#1095;&#1077;&#1090;&#1099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6A75EE9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0;&#1091;&#1089;&#1084;&#1072;&#1085;&#1086;&#1074;%20&#1046;&#1077;&#1085;&#1080;&#1089;%20&#1050;&#1072;&#1081;&#1088;&#1073;&#1072;&#1077;&#1074;&#1080;&#1095;\&#1041;&#1055;%20&#1097;&#1077;&#1073;&#1077;&#1085;&#1100;%201.05%20&#1076;&#1083;&#1103;%20&#1041;&#1058;&#1040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51;&#1044;&#1050;%20&#1060;3+&#1060;2%20&#1073;&#1077;&#1079;%20&#1048;&#1060;&#1050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6;&#1072;&#1089;&#1095;&#1077;&#1090;%20&#1090;&#1077;&#1082;&#1089;&#1090;&#1080;&#1083;&#1100;_&#1089;%20&#1082;&#1086;&#1088;_01.05.1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test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I_FROL~1\LOCALS~1\Temp\bat\ENKI\&#1053;&#1077;&#1088;&#1091;&#1076;%20&#1084;&#1086;&#1080;%20&#1088;&#1072;&#1089;&#1095;&#1105;&#1090;&#1099;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15E674EE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6;&#1072;&#1089;&#1095;&#1077;&#1090;%20&#1072;&#1087;&#1090;&#1077;&#1082;&#1080;+&#1086;&#1087;&#1090;.&#1089;&#1082;&#1083;&#1072;&#1076;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G_SVEC~1\LOCALS~1\Temp\bat\6A75EE9B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51;&#1044;&#1050;%20&#1060;3+&#1060;2%20&#1073;&#1077;&#1079;%20&#1048;&#1060;&#1050;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tes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I_FROL~1\LOCALS~1\Temp\bat\ENKI\&#1053;&#1077;&#1088;&#1091;&#1076;%20&#1084;&#1086;&#1080;%20&#1088;&#1072;&#1089;&#1095;&#1105;&#1090;&#1099;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G_SVEC~1\LOCALS~1\Temp\bat\15E674E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kusmanov\&#1052;&#1086;&#1080;%20&#1076;&#1086;&#1082;&#1091;&#1084;&#1077;&#1085;&#1090;&#1099;\&#1048;&#1085;&#1092;&#1086;&#1088;&#1084;\&#1041;&#1087;%20breton\&#1041;&#1087;%20breton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41;%20&#1055;\&#1047;&#1072;&#1074;&#1086;&#1076;%20&#1084;&#1080;&#1085;&#1077;&#1088;&#1072;&#1083;&#1086;&#1074;&#1072;&#1090;&#1085;&#1099;&#1093;%20&#1080;&#1079;&#1076;&#1077;&#1083;&#1080;&#1081;\Proj_&#1057;&#1072;&#1088;&#1076;&#1072;&#1083;&#107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0;&#1050;&#1058;&#1048;&#1042;\Proj_&#1040;&#1050;&#1058;&#1048;&#1042;_7&#1083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МЗ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схД+"/>
      <sheetName val="КапЗатр+"/>
      <sheetName val="Вып1+"/>
      <sheetName val="Капит_1"/>
      <sheetName val="Вып2"/>
      <sheetName val="Капит_2"/>
      <sheetName val="Вып3"/>
      <sheetName val="Капит_3"/>
      <sheetName val="Вып4"/>
      <sheetName val="Капит_4"/>
      <sheetName val="СвВып+"/>
      <sheetName val="Аморт"/>
      <sheetName val="ВырРеал+"/>
      <sheetName val="Зерно"/>
      <sheetName val="Зерно_1"/>
      <sheetName val="Себест+"/>
      <sheetName val="ОбКап+"/>
      <sheetName val="Нетто3!!!"/>
      <sheetName val="отчприб1"/>
      <sheetName val="РостАкт+"/>
      <sheetName val="Приб+"/>
      <sheetName val="ПотокНал+"/>
      <sheetName val="потокден1"/>
      <sheetName val="ФинПок+"/>
      <sheetName val="Налоги"/>
      <sheetName val="СтоимПр1+"/>
      <sheetName val="СтоимПр2"/>
      <sheetName val="ЗЛК_осн"/>
      <sheetName val="ЗЛК_%"/>
      <sheetName val="ЗЛК_цена"/>
      <sheetName val="Не_удалять!!!"/>
      <sheetName val="Графики"/>
      <sheetName val="ПрогБал"/>
      <sheetName val="КоэфЧувств-ти"/>
      <sheetName val="РезЧувств"/>
      <sheetName val="Залог"/>
      <sheetName val="РискЗалога"/>
      <sheetName val="РезЗал"/>
      <sheetName val="Чувств1"/>
      <sheetName val="Чувств1-1"/>
      <sheetName val="Чувств1-2"/>
      <sheetName val="Чувств2"/>
      <sheetName val="Чувств2-1"/>
      <sheetName val="Чувств2-2"/>
      <sheetName val="Чувств3"/>
      <sheetName val="Чувтсв3-1"/>
      <sheetName val="Чувств3-2"/>
      <sheetName val="Чувств4"/>
      <sheetName val="Чувств4-1"/>
      <sheetName val="Чувств4-2"/>
      <sheetName val="Чувств5"/>
      <sheetName val="IRR"/>
    </sheetNames>
    <sheetDataSet>
      <sheetData sheetId="0">
        <row r="2">
          <cell r="A2" t="str">
            <v>Проект "Передача с/х техники на лизинговой основе зернопроизводителям Акмолинской, Костанайской и Северо-Казахстанской областей.</v>
          </cell>
        </row>
      </sheetData>
      <sheetData sheetId="17">
        <row r="2">
          <cell r="A2" t="str">
            <v>Наименование предприятия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сх докум"/>
      <sheetName val="Указатель"/>
      <sheetName val="Б1"/>
      <sheetName val="О1"/>
      <sheetName val="Б2"/>
      <sheetName val="О2"/>
      <sheetName val="Б3!!!"/>
      <sheetName val="О3!!!"/>
      <sheetName val="Исх.1"/>
      <sheetName val="Исх.2"/>
      <sheetName val="Исх.3!!!"/>
      <sheetName val="Нетто1"/>
      <sheetName val="Нетто2"/>
      <sheetName val="Нетто3!!!"/>
      <sheetName val="Гориз"/>
      <sheetName val="Верт!!!"/>
      <sheetName val="К-ф!!!"/>
      <sheetName val="Активы (размещ)!!!"/>
      <sheetName val="Уровень показателей!!!"/>
      <sheetName val="Фин. ресурсы!!!"/>
      <sheetName val="Наличие об ср-в!!!"/>
      <sheetName val="Кт!!!"/>
      <sheetName val="Дин. оборотн. ср-в!!!"/>
      <sheetName val="Дт"/>
      <sheetName val="Ликв баланса!!!"/>
      <sheetName val="Самофинанс!!!"/>
      <sheetName val="Рынок сырья"/>
      <sheetName val="Вид продукции"/>
      <sheetName val="Справка_НБ"/>
      <sheetName val="Анализ"/>
      <sheetName val="Показатели"/>
      <sheetName val="Модуль2"/>
      <sheetName val="Аванс кап"/>
      <sheetName val="Текст"/>
    </sheetNames>
    <sheetDataSet>
      <sheetData sheetId="3">
        <row r="6">
          <cell r="B6" t="str">
            <v>услуги по аренде машин оборудования без оператора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</sheetData>
      <sheetData sheetId="7">
        <row r="58">
          <cell r="C58">
            <v>0</v>
          </cell>
        </row>
      </sheetData>
      <sheetData sheetId="19">
        <row r="18">
          <cell r="E18" t="e">
            <v>#DIV/0!</v>
          </cell>
        </row>
      </sheetData>
      <sheetData sheetId="23">
        <row r="17">
          <cell r="B17">
            <v>0</v>
          </cell>
          <cell r="F17">
            <v>0</v>
          </cell>
        </row>
        <row r="18">
          <cell r="B18">
            <v>0</v>
          </cell>
          <cell r="F18">
            <v>26676.6</v>
          </cell>
        </row>
        <row r="19">
          <cell r="B19">
            <v>0</v>
          </cell>
          <cell r="F19">
            <v>8.2</v>
          </cell>
        </row>
        <row r="20">
          <cell r="B20">
            <v>0</v>
          </cell>
          <cell r="F20">
            <v>0</v>
          </cell>
        </row>
        <row r="25">
          <cell r="B25">
            <v>0</v>
          </cell>
          <cell r="F25">
            <v>296249.3</v>
          </cell>
        </row>
        <row r="26">
          <cell r="B26">
            <v>0</v>
          </cell>
          <cell r="F26">
            <v>1718930</v>
          </cell>
        </row>
        <row r="27">
          <cell r="B27">
            <v>0</v>
          </cell>
          <cell r="F27">
            <v>0</v>
          </cell>
        </row>
        <row r="28">
          <cell r="B28">
            <v>0</v>
          </cell>
          <cell r="F28">
            <v>0</v>
          </cell>
        </row>
        <row r="29">
          <cell r="B29">
            <v>0</v>
          </cell>
          <cell r="F29">
            <v>11298.7</v>
          </cell>
        </row>
        <row r="30">
          <cell r="B30">
            <v>0</v>
          </cell>
          <cell r="F30">
            <v>0</v>
          </cell>
        </row>
        <row r="31">
          <cell r="B31">
            <v>0</v>
          </cell>
          <cell r="F31">
            <v>12793.8</v>
          </cell>
        </row>
        <row r="33">
          <cell r="B33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2">
          <cell r="C2">
            <v>32.173913043478265</v>
          </cell>
        </row>
        <row r="4">
          <cell r="C4">
            <v>127</v>
          </cell>
        </row>
        <row r="6">
          <cell r="C6">
            <v>5000000</v>
          </cell>
        </row>
        <row r="7">
          <cell r="C7">
            <v>60000000</v>
          </cell>
        </row>
        <row r="8">
          <cell r="C8">
            <v>161</v>
          </cell>
        </row>
        <row r="13">
          <cell r="C13">
            <v>22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6 год"/>
      <sheetName val="График 2007 год"/>
      <sheetName val="Баланс прибылей"/>
      <sheetName val="cash-flow"/>
      <sheetName val="Форма №1"/>
      <sheetName val="Форма №2"/>
      <sheetName val="Врем.смета"/>
      <sheetName val="Форма №3"/>
      <sheetName val="Приобретение О.С."/>
      <sheetName val="Лист1"/>
      <sheetName val="Лизинг"/>
      <sheetName val="Кредит КБ"/>
      <sheetName val="Кредит СЗБ (А-Ф)"/>
      <sheetName val="Кредит доп"/>
      <sheetName val="Кредит доп2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45">
          <cell r="P45">
            <v>140</v>
          </cell>
        </row>
        <row r="47">
          <cell r="P47">
            <v>0.15</v>
          </cell>
        </row>
        <row r="48">
          <cell r="P48">
            <v>0.16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Финпоки1"/>
      <sheetName val="ф3 2"/>
      <sheetName val="ф2 3"/>
      <sheetName val="Площади 4"/>
      <sheetName val="Кап.затр 5"/>
      <sheetName val="Доходы 6"/>
      <sheetName val="кредит 7"/>
      <sheetName val="Аморт 8"/>
      <sheetName val="Пост.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ОП"/>
      <sheetName val="Ф3"/>
      <sheetName val="ф2"/>
      <sheetName val="кр"/>
      <sheetName val="График"/>
      <sheetName val="пост"/>
      <sheetName val="безубыт"/>
      <sheetName val="сметы работ"/>
      <sheetName val="исх"/>
      <sheetName val="штат"/>
      <sheetName val="дох"/>
      <sheetName val="расх матер"/>
      <sheetName val="амор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ер"/>
      <sheetName val="Пост"/>
      <sheetName val="Инв"/>
      <sheetName val="NPV"/>
      <sheetName val="График"/>
      <sheetName val="Пост."/>
    </sheetNames>
    <sheetDataSet>
      <sheetData sheetId="1">
        <row r="9">
          <cell r="C9">
            <v>0.13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"/>
      <sheetName val="Данные,рентаб"/>
      <sheetName val="Оценка"/>
      <sheetName val="Финпоказатели"/>
      <sheetName val="ЧП"/>
      <sheetName val="IRR NPV"/>
      <sheetName val="Ф3"/>
      <sheetName val="Ф2-баланс"/>
      <sheetName val="КРЕДИТЫ"/>
      <sheetName val="произ.моя"/>
      <sheetName val="обучение мое"/>
      <sheetName val="приобретение мое"/>
      <sheetName val="капит.мое"/>
      <sheetName val="коммун.мое"/>
      <sheetName val="себестоимость моя"/>
      <sheetName val="Лист2"/>
      <sheetName val="налоги"/>
      <sheetName val="ПриобрОС"/>
      <sheetName val="Затр. на про-во"/>
      <sheetName val="Пост.затр"/>
      <sheetName val="Пр-во сбыт"/>
      <sheetName val="Перем. затр"/>
      <sheetName val="штат"/>
      <sheetName val="Врем.смета"/>
    </sheetNames>
    <sheetDataSet>
      <sheetData sheetId="1">
        <row r="23">
          <cell r="C23">
            <v>121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RR"/>
      <sheetName val="Ф3"/>
      <sheetName val="Ф2"/>
      <sheetName val="ПриобрОС"/>
      <sheetName val="Фин. пок-ли"/>
      <sheetName val="Пр-во сбыт"/>
      <sheetName val="Врем.смета"/>
      <sheetName val="Перем. затр"/>
      <sheetName val="Пост.затр"/>
      <sheetName val="Затр. на про-во"/>
      <sheetName val="штат"/>
      <sheetName val="АФ1"/>
      <sheetName val="АФ"/>
      <sheetName val="БВУ"/>
      <sheetName val="Доп"/>
      <sheetName val="Ф1"/>
    </sheetNames>
    <sheetDataSet>
      <sheetData sheetId="5">
        <row r="17">
          <cell r="C17">
            <v>0.13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(2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дание"/>
      <sheetName val="NPV"/>
      <sheetName val="IRRa"/>
      <sheetName val="IRRb"/>
    </sheetNames>
    <sheetDataSet>
      <sheetData sheetId="1">
        <row r="18">
          <cell r="F18">
            <v>-1000000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  <row r="16">
          <cell r="C16">
            <v>25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4 год"/>
      <sheetName val="График 2005 год"/>
      <sheetName val="Баланс прибылей"/>
      <sheetName val="cash-flow"/>
      <sheetName val="Форма №1"/>
      <sheetName val="Форма №2"/>
      <sheetName val="Форма №3"/>
      <sheetName val="Врем.смета"/>
      <sheetName val="Приобретение О.С."/>
      <sheetName val="Лизинг"/>
      <sheetName val="Кредит БРК"/>
      <sheetName val="Кредит СЗБ (А-Ф)"/>
      <sheetName val="Кредит доп"/>
      <sheetName val="Кредит А-Ф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3">
          <cell r="K3">
            <v>126620</v>
          </cell>
        </row>
        <row r="45">
          <cell r="P45">
            <v>150</v>
          </cell>
        </row>
        <row r="46">
          <cell r="P46">
            <v>919</v>
          </cell>
        </row>
        <row r="47">
          <cell r="P47">
            <v>0.15</v>
          </cell>
        </row>
        <row r="48">
          <cell r="P48">
            <v>0.16</v>
          </cell>
        </row>
      </sheetData>
      <sheetData sheetId="17">
        <row r="3">
          <cell r="F3">
            <v>0.87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ост"/>
      <sheetName val="Инв"/>
      <sheetName val="безубыт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ф3"/>
      <sheetName val="ф2"/>
      <sheetName val="Баланс"/>
      <sheetName val="Исх"/>
      <sheetName val="Объемы"/>
      <sheetName val="Цены"/>
      <sheetName val="Перем"/>
      <sheetName val="Пост"/>
      <sheetName val="кр"/>
      <sheetName val="безубыт"/>
    </sheetNames>
    <sheetDataSet>
      <sheetData sheetId="2">
        <row r="32">
          <cell r="Q32">
            <v>109.48954266069855</v>
          </cell>
          <cell r="R32">
            <v>109.48954266069855</v>
          </cell>
          <cell r="S32">
            <v>108.45296951069854</v>
          </cell>
          <cell r="T32">
            <v>106.37982321069852</v>
          </cell>
          <cell r="U32">
            <v>103.27010376069849</v>
          </cell>
          <cell r="V32">
            <v>103.27010376069849</v>
          </cell>
          <cell r="W32">
            <v>103.27010376069849</v>
          </cell>
          <cell r="X32">
            <v>99.20125340855881</v>
          </cell>
          <cell r="Y32">
            <v>99.20125340855881</v>
          </cell>
          <cell r="Z32">
            <v>99.20125340855881</v>
          </cell>
          <cell r="AA32">
            <v>99.20125340855881</v>
          </cell>
          <cell r="AB32">
            <v>82.61608300855879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 Свод"/>
      <sheetName val="3Ф"/>
      <sheetName val="2Ф "/>
      <sheetName val="кр"/>
      <sheetName val="Гр стр"/>
      <sheetName val="Пост"/>
      <sheetName val="оборуд"/>
      <sheetName val="Перем."/>
      <sheetName val="IRR NPV"/>
      <sheetName val="Штат до ввода"/>
      <sheetName val="Штат пос ввода"/>
      <sheetName val="карьеры"/>
      <sheetName val="Налог(имущ)"/>
      <sheetName val="Осн.показ"/>
    </sheetNames>
    <sheetDataSet>
      <sheetData sheetId="13">
        <row r="5">
          <cell r="D5">
            <v>1052.6315789473686</v>
          </cell>
        </row>
        <row r="8">
          <cell r="D8">
            <v>907200</v>
          </cell>
        </row>
        <row r="9">
          <cell r="D9">
            <v>388800</v>
          </cell>
        </row>
        <row r="13">
          <cell r="D13">
            <v>164</v>
          </cell>
        </row>
        <row r="15">
          <cell r="D15">
            <v>1.14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Ф3"/>
      <sheetName val="ф2"/>
      <sheetName val="Баланс"/>
      <sheetName val="Доходы"/>
      <sheetName val="Себестоимость"/>
      <sheetName val="Расх пост"/>
      <sheetName val="кр"/>
      <sheetName val="Инв"/>
      <sheetName val="Безубыт"/>
      <sheetName val="Графики"/>
    </sheetNames>
    <sheetDataSet>
      <sheetData sheetId="1">
        <row r="5">
          <cell r="C5">
            <v>148</v>
          </cell>
        </row>
        <row r="8">
          <cell r="C8">
            <v>0.12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Дох"/>
      <sheetName val="Движение товара"/>
      <sheetName val="ф2"/>
      <sheetName val="Ф3"/>
      <sheetName val="Пост"/>
      <sheetName val="Пост склад"/>
      <sheetName val="кр"/>
      <sheetName val="Пост аптеки"/>
      <sheetName val="Инв скл"/>
      <sheetName val="Инв апт"/>
      <sheetName val="безубыт"/>
      <sheetName val="Лист1"/>
    </sheetNames>
    <sheetDataSet>
      <sheetData sheetId="1">
        <row r="5">
          <cell r="C5">
            <v>147</v>
          </cell>
        </row>
        <row r="7">
          <cell r="C7">
            <v>0.12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Коэфф"/>
      <sheetName val="Ф2"/>
      <sheetName val="Ф3"/>
      <sheetName val="Кредит"/>
      <sheetName val="Перемен"/>
      <sheetName val="Постоян"/>
      <sheetName val="Себст"/>
      <sheetName val="Безуб"/>
      <sheetName val="Смета"/>
      <sheetName val="Инвест"/>
      <sheetName val="Штат"/>
      <sheetName val="План пр-ва"/>
      <sheetName val="Продаж"/>
      <sheetName val="Налог"/>
    </sheetNames>
    <sheetDataSet>
      <sheetData sheetId="0">
        <row r="9">
          <cell r="C9">
            <v>165</v>
          </cell>
        </row>
        <row r="11">
          <cell r="C11">
            <v>1332.5</v>
          </cell>
        </row>
      </sheetData>
      <sheetData sheetId="12">
        <row r="6">
          <cell r="A6" t="str">
            <v>Мраморно-цементная плитка Bretonterastone®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_осв"/>
      <sheetName val="L-1"/>
      <sheetName val="L-2"/>
      <sheetName val="g-1"/>
      <sheetName val="Займы"/>
      <sheetName val="АО"/>
      <sheetName val="СС"/>
      <sheetName val="Стр_СС"/>
      <sheetName val="Н"/>
      <sheetName val="Дох"/>
      <sheetName val="Стр_Дох"/>
      <sheetName val="Приб"/>
      <sheetName val="Потоки"/>
      <sheetName val="NPV "/>
      <sheetName val="Анализ"/>
      <sheetName val="Чувств"/>
      <sheetName val="Коэфф"/>
      <sheetName val="Зал"/>
      <sheetName val="Графики"/>
    </sheetNames>
    <sheetDataSet>
      <sheetData sheetId="0">
        <row r="16">
          <cell r="B16">
            <v>0.9893263911487146</v>
          </cell>
        </row>
      </sheetData>
      <sheetData sheetId="2">
        <row r="5">
          <cell r="B5">
            <v>12450000</v>
          </cell>
        </row>
        <row r="6">
          <cell r="B6">
            <v>0.1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+осв"/>
      <sheetName val="L1"/>
      <sheetName val="L2"/>
      <sheetName val="L3"/>
      <sheetName val="Займы"/>
      <sheetName val="АО"/>
      <sheetName val="Дох"/>
      <sheetName val="СС"/>
      <sheetName val="Уд_вес_СС"/>
      <sheetName val="ОАО &quot;Актив&quot;"/>
      <sheetName val="Налоги"/>
      <sheetName val="Приб"/>
      <sheetName val="Потоки"/>
      <sheetName val="NPV"/>
      <sheetName val="Анализ"/>
      <sheetName val="Чувств"/>
      <sheetName val="Графики"/>
      <sheetName val="Коэфф"/>
      <sheetName val="Обор_кап"/>
      <sheetName val="Источн"/>
      <sheetName val="Залог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bparniki.ru/teplicy/teplicypodpolicarbonat/teplicausadbamini-ku.html" TargetMode="External" /><Relationship Id="rId2" Type="http://schemas.openxmlformats.org/officeDocument/2006/relationships/hyperlink" Target="http://zakazat24.ru/otoplenie/infrakrasnye_obogrevateli/stiebel_eltron_germaniya/" TargetMode="Externa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oru.com/doska/lukovicy-tjulpanov-optom-452912.htm" TargetMode="External" /><Relationship Id="rId2" Type="http://schemas.openxmlformats.org/officeDocument/2006/relationships/hyperlink" Target="http://www.greeninfo.ru/cut_flowers/chrysanthemum.html/Article/_/aID/5920" TargetMode="External" /><Relationship Id="rId3" Type="http://schemas.openxmlformats.org/officeDocument/2006/relationships/hyperlink" Target="http://tdpospelov.ru/index.php/ecommerce/detail/389/flypage/4034?sef=hcfp" TargetMode="External" /><Relationship Id="rId4" Type="http://schemas.openxmlformats.org/officeDocument/2006/relationships/hyperlink" Target="http://www.agroru.com/doska/fungitsid-skor-99446.htm" TargetMode="External" /><Relationship Id="rId5" Type="http://schemas.openxmlformats.org/officeDocument/2006/relationships/hyperlink" Target="http://domisad-spb.ru/list/Udobrenija-stimuljatory-rosta/ammiachnaja-selitra-1kg-chudovo.html" TargetMode="External" /><Relationship Id="rId6" Type="http://schemas.openxmlformats.org/officeDocument/2006/relationships/hyperlink" Target="http://tdpospelov.ru/index.php/ecommerce/detail/377/flypage/2716?sef=hcfp" TargetMode="External" /><Relationship Id="rId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T143"/>
  <sheetViews>
    <sheetView showGridLines="0" showZeros="0" zoomScalePageLayoutView="0" workbookViewId="0" topLeftCell="A1">
      <pane xSplit="3" ySplit="6" topLeftCell="D36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I5" sqref="AI5"/>
    </sheetView>
  </sheetViews>
  <sheetFormatPr defaultColWidth="8.625" defaultRowHeight="12.75" outlineLevelRow="1" outlineLevelCol="1"/>
  <cols>
    <col min="1" max="1" width="37.25390625" style="59" customWidth="1"/>
    <col min="2" max="2" width="10.125" style="60" customWidth="1"/>
    <col min="3" max="3" width="1.875" style="60" customWidth="1"/>
    <col min="4" max="6" width="7.75390625" style="6" hidden="1" customWidth="1" outlineLevel="1"/>
    <col min="7" max="7" width="8.125" style="56" hidden="1" customWidth="1" outlineLevel="1"/>
    <col min="8" max="8" width="8.125" style="6" hidden="1" customWidth="1" outlineLevel="1"/>
    <col min="9" max="12" width="7.75390625" style="6" hidden="1" customWidth="1" outlineLevel="1"/>
    <col min="13" max="13" width="7.875" style="6" hidden="1" customWidth="1" outlineLevel="1"/>
    <col min="14" max="14" width="7.25390625" style="6" hidden="1" customWidth="1" outlineLevel="1"/>
    <col min="15" max="15" width="7.625" style="6" hidden="1" customWidth="1" outlineLevel="1"/>
    <col min="16" max="16" width="8.25390625" style="7" customWidth="1" collapsed="1"/>
    <col min="17" max="28" width="7.625" style="6" hidden="1" customWidth="1" outlineLevel="1"/>
    <col min="29" max="29" width="8.75390625" style="7" customWidth="1" collapsed="1"/>
    <col min="30" max="32" width="8.625" style="7" customWidth="1"/>
    <col min="33" max="35" width="8.625" style="8" customWidth="1"/>
    <col min="36" max="42" width="8.75390625" style="8" bestFit="1" customWidth="1"/>
    <col min="43" max="16384" width="8.625" style="8" customWidth="1"/>
  </cols>
  <sheetData>
    <row r="1" spans="1:27" ht="12.75">
      <c r="A1" s="61" t="s">
        <v>162</v>
      </c>
      <c r="B1" s="1"/>
      <c r="C1" s="1"/>
      <c r="D1" s="2"/>
      <c r="E1" s="2"/>
      <c r="F1" s="2"/>
      <c r="G1" s="3"/>
      <c r="H1" s="2"/>
      <c r="I1" s="4"/>
      <c r="J1" s="4"/>
      <c r="K1" s="4"/>
      <c r="L1" s="4"/>
      <c r="M1" s="4"/>
      <c r="N1" s="5"/>
      <c r="Q1" s="2"/>
      <c r="R1" s="2"/>
      <c r="S1" s="2"/>
      <c r="T1" s="2"/>
      <c r="U1" s="2"/>
      <c r="V1" s="4"/>
      <c r="W1" s="4"/>
      <c r="X1" s="4"/>
      <c r="Y1" s="4"/>
      <c r="Z1" s="4"/>
      <c r="AA1" s="5"/>
    </row>
    <row r="2" spans="1:27" ht="12.75" hidden="1" outlineLevel="1">
      <c r="A2" s="9">
        <f>MAX(K36:AF36)</f>
        <v>2425.3482479040554</v>
      </c>
      <c r="B2" s="10">
        <f>MIN(I36:AH36)</f>
        <v>0</v>
      </c>
      <c r="C2" s="1"/>
      <c r="D2" s="2"/>
      <c r="E2" s="2"/>
      <c r="F2" s="2"/>
      <c r="G2" s="3"/>
      <c r="H2" s="2"/>
      <c r="I2" s="4"/>
      <c r="J2" s="4"/>
      <c r="K2" s="4"/>
      <c r="L2" s="4"/>
      <c r="M2" s="4"/>
      <c r="N2" s="5"/>
      <c r="Q2" s="2"/>
      <c r="R2" s="2"/>
      <c r="S2" s="2"/>
      <c r="T2" s="2"/>
      <c r="U2" s="2"/>
      <c r="V2" s="4"/>
      <c r="W2" s="4"/>
      <c r="X2" s="4"/>
      <c r="Y2" s="4"/>
      <c r="Z2" s="4"/>
      <c r="AA2" s="5"/>
    </row>
    <row r="3" spans="1:27" ht="12.75" collapsed="1">
      <c r="A3" s="9"/>
      <c r="B3" s="10"/>
      <c r="C3" s="1"/>
      <c r="D3" s="2"/>
      <c r="E3" s="2"/>
      <c r="F3" s="2"/>
      <c r="G3" s="3"/>
      <c r="H3" s="2"/>
      <c r="I3" s="4"/>
      <c r="J3" s="4"/>
      <c r="K3" s="4"/>
      <c r="L3" s="4"/>
      <c r="M3" s="4"/>
      <c r="N3" s="5"/>
      <c r="Q3" s="2"/>
      <c r="R3" s="2"/>
      <c r="S3" s="2"/>
      <c r="T3" s="2"/>
      <c r="U3" s="2"/>
      <c r="V3" s="4"/>
      <c r="W3" s="4"/>
      <c r="X3" s="4"/>
      <c r="Y3" s="4"/>
      <c r="Z3" s="4"/>
      <c r="AA3" s="5"/>
    </row>
    <row r="4" spans="1:27" ht="12.75">
      <c r="A4" s="11"/>
      <c r="B4" s="12" t="str">
        <f>Исх!$C$9</f>
        <v>тыс.тг.</v>
      </c>
      <c r="C4" s="1"/>
      <c r="D4" s="2"/>
      <c r="E4" s="2"/>
      <c r="F4" s="3"/>
      <c r="G4" s="3"/>
      <c r="I4" s="13"/>
      <c r="J4" s="2"/>
      <c r="K4" s="2"/>
      <c r="L4" s="14"/>
      <c r="M4" s="2"/>
      <c r="N4" s="2"/>
      <c r="Q4" s="2"/>
      <c r="R4" s="2"/>
      <c r="S4" s="3"/>
      <c r="T4" s="2"/>
      <c r="V4" s="13"/>
      <c r="W4" s="2"/>
      <c r="X4" s="2"/>
      <c r="Y4" s="14"/>
      <c r="Z4" s="2"/>
      <c r="AA4" s="2"/>
    </row>
    <row r="5" spans="1:35" ht="15.75" customHeight="1">
      <c r="A5" s="306" t="s">
        <v>2</v>
      </c>
      <c r="B5" s="308" t="s">
        <v>86</v>
      </c>
      <c r="C5" s="15"/>
      <c r="D5" s="308">
        <v>2013</v>
      </c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>
        <v>2014</v>
      </c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15">
        <f>Q5+1</f>
        <v>2015</v>
      </c>
      <c r="AE5" s="15">
        <f>AD5+1</f>
        <v>2016</v>
      </c>
      <c r="AF5" s="15">
        <f>AE5+1</f>
        <v>2017</v>
      </c>
      <c r="AG5" s="15">
        <f>AF5+1</f>
        <v>2018</v>
      </c>
      <c r="AH5" s="15">
        <f>AG5+1</f>
        <v>2019</v>
      </c>
      <c r="AI5" s="15">
        <f>AH5+1</f>
        <v>2020</v>
      </c>
    </row>
    <row r="6" spans="1:35" ht="12.75">
      <c r="A6" s="307"/>
      <c r="B6" s="308"/>
      <c r="C6" s="15"/>
      <c r="D6" s="16">
        <v>1</v>
      </c>
      <c r="E6" s="16">
        <f>D6+1</f>
        <v>2</v>
      </c>
      <c r="F6" s="16">
        <f aca="true" t="shared" si="0" ref="F6:O6">E6+1</f>
        <v>3</v>
      </c>
      <c r="G6" s="16">
        <f t="shared" si="0"/>
        <v>4</v>
      </c>
      <c r="H6" s="16">
        <f t="shared" si="0"/>
        <v>5</v>
      </c>
      <c r="I6" s="16">
        <f t="shared" si="0"/>
        <v>6</v>
      </c>
      <c r="J6" s="16">
        <f t="shared" si="0"/>
        <v>7</v>
      </c>
      <c r="K6" s="16">
        <f t="shared" si="0"/>
        <v>8</v>
      </c>
      <c r="L6" s="16">
        <f t="shared" si="0"/>
        <v>9</v>
      </c>
      <c r="M6" s="16">
        <f t="shared" si="0"/>
        <v>10</v>
      </c>
      <c r="N6" s="16">
        <f t="shared" si="0"/>
        <v>11</v>
      </c>
      <c r="O6" s="16">
        <f t="shared" si="0"/>
        <v>12</v>
      </c>
      <c r="P6" s="15" t="s">
        <v>0</v>
      </c>
      <c r="Q6" s="16">
        <v>1</v>
      </c>
      <c r="R6" s="16">
        <f>Q6+1</f>
        <v>2</v>
      </c>
      <c r="S6" s="16">
        <f aca="true" t="shared" si="1" ref="S6:AB6">R6+1</f>
        <v>3</v>
      </c>
      <c r="T6" s="16">
        <f t="shared" si="1"/>
        <v>4</v>
      </c>
      <c r="U6" s="16">
        <f t="shared" si="1"/>
        <v>5</v>
      </c>
      <c r="V6" s="16">
        <f t="shared" si="1"/>
        <v>6</v>
      </c>
      <c r="W6" s="16">
        <f t="shared" si="1"/>
        <v>7</v>
      </c>
      <c r="X6" s="16">
        <f t="shared" si="1"/>
        <v>8</v>
      </c>
      <c r="Y6" s="16">
        <f t="shared" si="1"/>
        <v>9</v>
      </c>
      <c r="Z6" s="16">
        <f t="shared" si="1"/>
        <v>10</v>
      </c>
      <c r="AA6" s="16">
        <f t="shared" si="1"/>
        <v>11</v>
      </c>
      <c r="AB6" s="16">
        <f t="shared" si="1"/>
        <v>12</v>
      </c>
      <c r="AC6" s="15" t="s">
        <v>0</v>
      </c>
      <c r="AD6" s="15" t="s">
        <v>112</v>
      </c>
      <c r="AE6" s="15" t="s">
        <v>112</v>
      </c>
      <c r="AF6" s="15" t="s">
        <v>112</v>
      </c>
      <c r="AG6" s="15" t="s">
        <v>112</v>
      </c>
      <c r="AH6" s="15" t="s">
        <v>112</v>
      </c>
      <c r="AI6" s="15" t="s">
        <v>112</v>
      </c>
    </row>
    <row r="7" spans="1:35" s="21" customFormat="1" ht="25.5">
      <c r="A7" s="17" t="s">
        <v>3</v>
      </c>
      <c r="B7" s="18">
        <f>P7</f>
        <v>0</v>
      </c>
      <c r="C7" s="19"/>
      <c r="D7" s="20">
        <f>C36</f>
        <v>0</v>
      </c>
      <c r="E7" s="20">
        <f aca="true" t="shared" si="2" ref="E7:K7">D36</f>
        <v>0</v>
      </c>
      <c r="F7" s="20">
        <f t="shared" si="2"/>
        <v>0</v>
      </c>
      <c r="G7" s="20">
        <f t="shared" si="2"/>
        <v>0</v>
      </c>
      <c r="H7" s="20">
        <f t="shared" si="2"/>
        <v>0</v>
      </c>
      <c r="I7" s="20">
        <f t="shared" si="2"/>
        <v>0</v>
      </c>
      <c r="J7" s="20">
        <f t="shared" si="2"/>
        <v>0</v>
      </c>
      <c r="K7" s="20">
        <f t="shared" si="2"/>
        <v>0</v>
      </c>
      <c r="L7" s="20">
        <f>K36</f>
        <v>0</v>
      </c>
      <c r="M7" s="20">
        <f>L36</f>
        <v>0</v>
      </c>
      <c r="N7" s="20">
        <f>M36</f>
        <v>0</v>
      </c>
      <c r="O7" s="20">
        <f>N36</f>
        <v>0</v>
      </c>
      <c r="P7" s="20">
        <f>D7</f>
        <v>0</v>
      </c>
      <c r="Q7" s="20">
        <f>P36</f>
        <v>0</v>
      </c>
      <c r="R7" s="20">
        <f aca="true" t="shared" si="3" ref="R7:AA7">Q36</f>
        <v>0</v>
      </c>
      <c r="S7" s="20">
        <f t="shared" si="3"/>
        <v>0</v>
      </c>
      <c r="T7" s="20">
        <f t="shared" si="3"/>
        <v>1096.0818302</v>
      </c>
      <c r="U7" s="20">
        <f t="shared" si="3"/>
        <v>902.9107585108056</v>
      </c>
      <c r="V7" s="20">
        <f t="shared" si="3"/>
        <v>709.9745832889723</v>
      </c>
      <c r="W7" s="20">
        <f t="shared" si="3"/>
        <v>857.5291675105</v>
      </c>
      <c r="X7" s="20">
        <f t="shared" si="3"/>
        <v>1005.3186481993887</v>
      </c>
      <c r="Y7" s="20">
        <f t="shared" si="3"/>
        <v>1153.3430253556387</v>
      </c>
      <c r="Z7" s="20">
        <f t="shared" si="3"/>
        <v>962.1022989792498</v>
      </c>
      <c r="AA7" s="20">
        <f t="shared" si="3"/>
        <v>918.780679070222</v>
      </c>
      <c r="AB7" s="20">
        <f>AA36</f>
        <v>875.6939556285554</v>
      </c>
      <c r="AC7" s="20">
        <f>Q7</f>
        <v>0</v>
      </c>
      <c r="AD7" s="20">
        <f aca="true" t="shared" si="4" ref="AD7:AI7">AC36</f>
        <v>832.8421286542498</v>
      </c>
      <c r="AE7" s="20">
        <f t="shared" si="4"/>
        <v>1086.6115257120555</v>
      </c>
      <c r="AF7" s="20">
        <f t="shared" si="4"/>
        <v>1755.9798868080554</v>
      </c>
      <c r="AG7" s="20">
        <f t="shared" si="4"/>
        <v>2425.3482479040554</v>
      </c>
      <c r="AH7" s="20">
        <f t="shared" si="4"/>
        <v>3094.7166090000555</v>
      </c>
      <c r="AI7" s="20">
        <f t="shared" si="4"/>
        <v>3764.0849700960553</v>
      </c>
    </row>
    <row r="8" spans="1:35" s="21" customFormat="1" ht="12.75">
      <c r="A8" s="22" t="s">
        <v>9</v>
      </c>
      <c r="B8" s="23"/>
      <c r="C8" s="23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</row>
    <row r="9" spans="1:35" s="21" customFormat="1" ht="12.75">
      <c r="A9" s="26" t="s">
        <v>16</v>
      </c>
      <c r="B9" s="27">
        <f>SUM(B10:B11)</f>
        <v>18060</v>
      </c>
      <c r="C9" s="27"/>
      <c r="D9" s="27">
        <f aca="true" t="shared" si="5" ref="D9:AI9">SUM(D10:D11)</f>
        <v>0</v>
      </c>
      <c r="E9" s="27">
        <f t="shared" si="5"/>
        <v>0</v>
      </c>
      <c r="F9" s="27">
        <f t="shared" si="5"/>
        <v>0</v>
      </c>
      <c r="G9" s="27">
        <f t="shared" si="5"/>
        <v>0</v>
      </c>
      <c r="H9" s="27">
        <f t="shared" si="5"/>
        <v>0</v>
      </c>
      <c r="I9" s="27">
        <f t="shared" si="5"/>
        <v>0</v>
      </c>
      <c r="J9" s="27">
        <f t="shared" si="5"/>
        <v>0</v>
      </c>
      <c r="K9" s="27">
        <f t="shared" si="5"/>
        <v>0</v>
      </c>
      <c r="L9" s="27">
        <f t="shared" si="5"/>
        <v>0</v>
      </c>
      <c r="M9" s="27">
        <f t="shared" si="5"/>
        <v>0</v>
      </c>
      <c r="N9" s="27">
        <f t="shared" si="5"/>
        <v>0</v>
      </c>
      <c r="O9" s="27">
        <f t="shared" si="5"/>
        <v>0</v>
      </c>
      <c r="P9" s="27">
        <f t="shared" si="5"/>
        <v>0</v>
      </c>
      <c r="Q9" s="27">
        <f t="shared" si="5"/>
        <v>0</v>
      </c>
      <c r="R9" s="27">
        <f t="shared" si="5"/>
        <v>0</v>
      </c>
      <c r="S9" s="27">
        <f t="shared" si="5"/>
        <v>1530</v>
      </c>
      <c r="T9" s="27">
        <f t="shared" si="5"/>
        <v>0</v>
      </c>
      <c r="U9" s="27">
        <f t="shared" si="5"/>
        <v>0</v>
      </c>
      <c r="V9" s="27">
        <f t="shared" si="5"/>
        <v>350</v>
      </c>
      <c r="W9" s="27">
        <f t="shared" si="5"/>
        <v>350</v>
      </c>
      <c r="X9" s="27">
        <f t="shared" si="5"/>
        <v>350</v>
      </c>
      <c r="Y9" s="27">
        <f t="shared" si="5"/>
        <v>0</v>
      </c>
      <c r="Z9" s="27">
        <f t="shared" si="5"/>
        <v>0</v>
      </c>
      <c r="AA9" s="27">
        <f t="shared" si="5"/>
        <v>0</v>
      </c>
      <c r="AB9" s="27">
        <f t="shared" si="5"/>
        <v>0</v>
      </c>
      <c r="AC9" s="27">
        <f t="shared" si="5"/>
        <v>2580</v>
      </c>
      <c r="AD9" s="27">
        <f t="shared" si="5"/>
        <v>2580</v>
      </c>
      <c r="AE9" s="27">
        <f t="shared" si="5"/>
        <v>2580</v>
      </c>
      <c r="AF9" s="27">
        <f t="shared" si="5"/>
        <v>2580</v>
      </c>
      <c r="AG9" s="27">
        <f t="shared" si="5"/>
        <v>2580</v>
      </c>
      <c r="AH9" s="27">
        <f t="shared" si="5"/>
        <v>2580</v>
      </c>
      <c r="AI9" s="27">
        <f t="shared" si="5"/>
        <v>2580</v>
      </c>
    </row>
    <row r="10" spans="1:35" ht="12.75">
      <c r="A10" s="28" t="str">
        <f>'2-ф2'!A6</f>
        <v>Тюльпаны</v>
      </c>
      <c r="B10" s="27">
        <f aca="true" t="shared" si="6" ref="B10:B18">P10+AC10+AD10+AE10+AF10+AG10+AH10+AI10</f>
        <v>10710</v>
      </c>
      <c r="C10" s="27"/>
      <c r="D10" s="29">
        <f>'2-ф2'!D6*Исх!$C$18</f>
        <v>0</v>
      </c>
      <c r="E10" s="29">
        <f>'2-ф2'!E6*Исх!$C$18</f>
        <v>0</v>
      </c>
      <c r="F10" s="29">
        <f>'2-ф2'!F6*Исх!$C$18</f>
        <v>0</v>
      </c>
      <c r="G10" s="29">
        <f>'2-ф2'!G6*Исх!$C$18</f>
        <v>0</v>
      </c>
      <c r="H10" s="29">
        <f>'2-ф2'!H6*Исх!$C$18</f>
        <v>0</v>
      </c>
      <c r="I10" s="29">
        <f>'2-ф2'!I6*Исх!$C$18</f>
        <v>0</v>
      </c>
      <c r="J10" s="29">
        <f>'2-ф2'!J6*Исх!$C$18</f>
        <v>0</v>
      </c>
      <c r="K10" s="29">
        <f>'2-ф2'!K6*Исх!$C$18</f>
        <v>0</v>
      </c>
      <c r="L10" s="29">
        <f>'2-ф2'!L6*Исх!$C$18</f>
        <v>0</v>
      </c>
      <c r="M10" s="29">
        <f>'2-ф2'!M6*Исх!$C$18</f>
        <v>0</v>
      </c>
      <c r="N10" s="29">
        <f>'2-ф2'!N6*Исх!$C$18</f>
        <v>0</v>
      </c>
      <c r="O10" s="29">
        <f>'2-ф2'!O6*Исх!$C$18</f>
        <v>0</v>
      </c>
      <c r="P10" s="27">
        <f>SUM(D10:O10)</f>
        <v>0</v>
      </c>
      <c r="Q10" s="29">
        <f>'2-ф2'!Q6*Исх!$C$18</f>
        <v>0</v>
      </c>
      <c r="R10" s="29">
        <f>'2-ф2'!R6*Исх!$C$18</f>
        <v>0</v>
      </c>
      <c r="S10" s="29">
        <f>'2-ф2'!S6*Исх!$C$18</f>
        <v>1530</v>
      </c>
      <c r="T10" s="29">
        <f>'2-ф2'!T6*Исх!$C$18</f>
        <v>0</v>
      </c>
      <c r="U10" s="29">
        <f>'2-ф2'!U6*Исх!$C$18</f>
        <v>0</v>
      </c>
      <c r="V10" s="29">
        <f>'2-ф2'!V6*Исх!$C$18</f>
        <v>0</v>
      </c>
      <c r="W10" s="29">
        <f>'2-ф2'!W6*Исх!$C$18</f>
        <v>0</v>
      </c>
      <c r="X10" s="29">
        <f>'2-ф2'!X6*Исх!$C$18</f>
        <v>0</v>
      </c>
      <c r="Y10" s="29">
        <f>'2-ф2'!Y6*Исх!$C$18</f>
        <v>0</v>
      </c>
      <c r="Z10" s="29">
        <f>'2-ф2'!Z6*Исх!$C$18</f>
        <v>0</v>
      </c>
      <c r="AA10" s="29">
        <f>'2-ф2'!AA6*Исх!$C$18</f>
        <v>0</v>
      </c>
      <c r="AB10" s="29">
        <f>'2-ф2'!AB6*Исх!$C$18</f>
        <v>0</v>
      </c>
      <c r="AC10" s="27">
        <f>SUM(Q10:AB10)</f>
        <v>1530</v>
      </c>
      <c r="AD10" s="29">
        <f>'2-ф2'!AD6*Исх!$C$18</f>
        <v>1530</v>
      </c>
      <c r="AE10" s="29">
        <f>'2-ф2'!AE6*Исх!$C$18</f>
        <v>1530</v>
      </c>
      <c r="AF10" s="29">
        <f>'2-ф2'!AF6*Исх!$C$18</f>
        <v>1530</v>
      </c>
      <c r="AG10" s="29">
        <f>'2-ф2'!AG6*Исх!$C$18</f>
        <v>1530</v>
      </c>
      <c r="AH10" s="29">
        <f>'2-ф2'!AH6*Исх!$C$18</f>
        <v>1530</v>
      </c>
      <c r="AI10" s="29">
        <f>'2-ф2'!AI6*Исх!$C$18</f>
        <v>1530</v>
      </c>
    </row>
    <row r="11" spans="1:35" ht="12.75">
      <c r="A11" s="28" t="str">
        <f>'2-ф2'!A7</f>
        <v>Хризантемы</v>
      </c>
      <c r="B11" s="27">
        <f t="shared" si="6"/>
        <v>7350</v>
      </c>
      <c r="C11" s="27"/>
      <c r="D11" s="29">
        <f>'2-ф2'!D7*Исх!$C$18</f>
        <v>0</v>
      </c>
      <c r="E11" s="29">
        <f>'2-ф2'!E7*Исх!$C$18</f>
        <v>0</v>
      </c>
      <c r="F11" s="29">
        <f>'2-ф2'!F7*Исх!$C$18</f>
        <v>0</v>
      </c>
      <c r="G11" s="29">
        <f>'2-ф2'!G7*Исх!$C$18</f>
        <v>0</v>
      </c>
      <c r="H11" s="29">
        <f>'2-ф2'!H7*Исх!$C$18</f>
        <v>0</v>
      </c>
      <c r="I11" s="29">
        <f>'2-ф2'!I7*Исх!$C$18</f>
        <v>0</v>
      </c>
      <c r="J11" s="29">
        <f>'2-ф2'!J7*Исх!$C$18</f>
        <v>0</v>
      </c>
      <c r="K11" s="29">
        <f>'2-ф2'!K7*Исх!$C$18</f>
        <v>0</v>
      </c>
      <c r="L11" s="29">
        <f>'2-ф2'!L7*Исх!$C$18</f>
        <v>0</v>
      </c>
      <c r="M11" s="29">
        <f>'2-ф2'!M7*Исх!$C$18</f>
        <v>0</v>
      </c>
      <c r="N11" s="29">
        <f>'2-ф2'!N7*Исх!$C$18</f>
        <v>0</v>
      </c>
      <c r="O11" s="29">
        <f>'2-ф2'!O7*Исх!$C$18</f>
        <v>0</v>
      </c>
      <c r="P11" s="27">
        <f>SUM(D11:O11)</f>
        <v>0</v>
      </c>
      <c r="Q11" s="29">
        <f>'2-ф2'!Q7*Исх!$C$18</f>
        <v>0</v>
      </c>
      <c r="R11" s="29">
        <f>'2-ф2'!R7*Исх!$C$18</f>
        <v>0</v>
      </c>
      <c r="S11" s="29">
        <f>'2-ф2'!S7*Исх!$C$18</f>
        <v>0</v>
      </c>
      <c r="T11" s="29">
        <f>'2-ф2'!T7*Исх!$C$18</f>
        <v>0</v>
      </c>
      <c r="U11" s="29">
        <f>'2-ф2'!U7*Исх!$C$18</f>
        <v>0</v>
      </c>
      <c r="V11" s="29">
        <f>'2-ф2'!V7*Исх!$C$18</f>
        <v>350</v>
      </c>
      <c r="W11" s="29">
        <f>'2-ф2'!W7*Исх!$C$18</f>
        <v>350</v>
      </c>
      <c r="X11" s="29">
        <f>'2-ф2'!X7*Исх!$C$18</f>
        <v>350</v>
      </c>
      <c r="Y11" s="29">
        <f>'2-ф2'!Y7*Исх!$C$18</f>
        <v>0</v>
      </c>
      <c r="Z11" s="29">
        <f>'2-ф2'!Z7*Исх!$C$18</f>
        <v>0</v>
      </c>
      <c r="AA11" s="29">
        <f>'2-ф2'!AA7*Исх!$C$18</f>
        <v>0</v>
      </c>
      <c r="AB11" s="29">
        <f>'2-ф2'!AB7*Исх!$C$18</f>
        <v>0</v>
      </c>
      <c r="AC11" s="27">
        <f>SUM(Q11:AB11)</f>
        <v>1050</v>
      </c>
      <c r="AD11" s="29">
        <f>'2-ф2'!AD7*Исх!$C$18</f>
        <v>1050</v>
      </c>
      <c r="AE11" s="29">
        <f>'2-ф2'!AE7*Исх!$C$18</f>
        <v>1050</v>
      </c>
      <c r="AF11" s="29">
        <f>'2-ф2'!AF7*Исх!$C$18</f>
        <v>1050</v>
      </c>
      <c r="AG11" s="29">
        <f>'2-ф2'!AG7*Исх!$C$18</f>
        <v>1050</v>
      </c>
      <c r="AH11" s="29">
        <f>'2-ф2'!AH7*Исх!$C$18</f>
        <v>1050</v>
      </c>
      <c r="AI11" s="29">
        <f>'2-ф2'!AI7*Исх!$C$18</f>
        <v>1050</v>
      </c>
    </row>
    <row r="12" spans="1:35" s="21" customFormat="1" ht="12.75">
      <c r="A12" s="30" t="s">
        <v>4</v>
      </c>
      <c r="B12" s="27">
        <f>SUM(B13:B18)</f>
        <v>13714.420221126611</v>
      </c>
      <c r="C12" s="27"/>
      <c r="D12" s="31">
        <f aca="true" t="shared" si="7" ref="D12:AI12">SUM(D13:D18)</f>
        <v>0</v>
      </c>
      <c r="E12" s="31">
        <f t="shared" si="7"/>
        <v>0</v>
      </c>
      <c r="F12" s="31">
        <f t="shared" si="7"/>
        <v>0</v>
      </c>
      <c r="G12" s="31">
        <f t="shared" si="7"/>
        <v>0</v>
      </c>
      <c r="H12" s="31">
        <f t="shared" si="7"/>
        <v>0</v>
      </c>
      <c r="I12" s="31">
        <f t="shared" si="7"/>
        <v>0</v>
      </c>
      <c r="J12" s="31">
        <f t="shared" si="7"/>
        <v>0</v>
      </c>
      <c r="K12" s="31">
        <f t="shared" si="7"/>
        <v>0</v>
      </c>
      <c r="L12" s="31">
        <f t="shared" si="7"/>
        <v>0</v>
      </c>
      <c r="M12" s="31">
        <f t="shared" si="7"/>
        <v>0</v>
      </c>
      <c r="N12" s="31">
        <f t="shared" si="7"/>
        <v>147.68421</v>
      </c>
      <c r="O12" s="31">
        <f t="shared" si="7"/>
        <v>147.68421</v>
      </c>
      <c r="P12" s="31">
        <f t="shared" si="7"/>
        <v>295.36842</v>
      </c>
      <c r="Q12" s="31">
        <f t="shared" si="7"/>
        <v>409.90156320000006</v>
      </c>
      <c r="R12" s="31">
        <f t="shared" si="7"/>
        <v>147.69491995200002</v>
      </c>
      <c r="S12" s="31">
        <f t="shared" si="7"/>
        <v>433.91816980000004</v>
      </c>
      <c r="T12" s="31">
        <f t="shared" si="7"/>
        <v>152.90310585586113</v>
      </c>
      <c r="U12" s="31">
        <f t="shared" si="7"/>
        <v>152.6682093885</v>
      </c>
      <c r="V12" s="31">
        <f t="shared" si="7"/>
        <v>162.1774499451389</v>
      </c>
      <c r="W12" s="31">
        <f t="shared" si="7"/>
        <v>161.94255347777778</v>
      </c>
      <c r="X12" s="31">
        <f t="shared" si="7"/>
        <v>161.70765701041668</v>
      </c>
      <c r="Y12" s="31">
        <f t="shared" si="7"/>
        <v>150.97276054305556</v>
      </c>
      <c r="Z12" s="31">
        <f t="shared" si="7"/>
        <v>3.053654075694444</v>
      </c>
      <c r="AA12" s="31">
        <f t="shared" si="7"/>
        <v>2.8187576083333323</v>
      </c>
      <c r="AB12" s="31">
        <f t="shared" si="7"/>
        <v>2.5838611409722216</v>
      </c>
      <c r="AC12" s="31">
        <f t="shared" si="7"/>
        <v>1942.3426619977502</v>
      </c>
      <c r="AD12" s="31">
        <f t="shared" si="7"/>
        <v>1923.550944608861</v>
      </c>
      <c r="AE12" s="31">
        <f t="shared" si="7"/>
        <v>1910.631638904</v>
      </c>
      <c r="AF12" s="31">
        <f t="shared" si="7"/>
        <v>1910.631638904</v>
      </c>
      <c r="AG12" s="31">
        <f t="shared" si="7"/>
        <v>1910.631638904</v>
      </c>
      <c r="AH12" s="31">
        <f t="shared" si="7"/>
        <v>1910.631638904</v>
      </c>
      <c r="AI12" s="31">
        <f t="shared" si="7"/>
        <v>1910.631638904</v>
      </c>
    </row>
    <row r="13" spans="1:35" ht="12.75">
      <c r="A13" s="28" t="str">
        <f>'2-ф2'!A9</f>
        <v>Посадочный материал</v>
      </c>
      <c r="B13" s="27">
        <f>P13+AC13+AD13+AE13+AF13+AG13+AH13+AI13</f>
        <v>3487.5802500000004</v>
      </c>
      <c r="C13" s="32"/>
      <c r="D13" s="29"/>
      <c r="E13" s="29"/>
      <c r="F13" s="29"/>
      <c r="G13" s="29">
        <f>'Расх перем'!F19</f>
        <v>0</v>
      </c>
      <c r="H13" s="29">
        <f>'Расх перем'!G19</f>
        <v>0</v>
      </c>
      <c r="I13" s="29">
        <f>'Расх перем'!H19</f>
        <v>0</v>
      </c>
      <c r="J13" s="29">
        <f>'Расх перем'!I19</f>
        <v>0</v>
      </c>
      <c r="K13" s="29">
        <f>'Расх перем'!J19</f>
        <v>0</v>
      </c>
      <c r="L13" s="29">
        <f>'Расх перем'!K19</f>
        <v>0</v>
      </c>
      <c r="M13" s="29">
        <f>'Расх перем'!L19</f>
        <v>0</v>
      </c>
      <c r="N13" s="29">
        <f>'Расх перем'!M19</f>
        <v>0</v>
      </c>
      <c r="O13" s="29">
        <f>'Расх перем'!N19</f>
        <v>0</v>
      </c>
      <c r="P13" s="27">
        <f aca="true" t="shared" si="8" ref="P13:P18">SUM(D13:O13)</f>
        <v>0</v>
      </c>
      <c r="Q13" s="29">
        <f>'Расх перем'!C19</f>
        <v>258.62100000000004</v>
      </c>
      <c r="R13" s="29">
        <f>'Расх перем'!D19</f>
        <v>0</v>
      </c>
      <c r="S13" s="29">
        <f>'Расх перем'!E19</f>
        <v>239.60475000000005</v>
      </c>
      <c r="T13" s="29">
        <f>'Расх перем'!F19</f>
        <v>0</v>
      </c>
      <c r="U13" s="29">
        <f>'Расх перем'!G19</f>
        <v>0</v>
      </c>
      <c r="V13" s="29">
        <f>'Расх перем'!H19</f>
        <v>0</v>
      </c>
      <c r="W13" s="29">
        <f>'Расх перем'!I19</f>
        <v>0</v>
      </c>
      <c r="X13" s="29">
        <f>'Расх перем'!J19</f>
        <v>0</v>
      </c>
      <c r="Y13" s="29">
        <f>'Расх перем'!K19</f>
        <v>0</v>
      </c>
      <c r="Z13" s="29">
        <f>'Расх перем'!L19</f>
        <v>0</v>
      </c>
      <c r="AA13" s="29">
        <f>'Расх перем'!M19</f>
        <v>0</v>
      </c>
      <c r="AB13" s="29">
        <f>'Расх перем'!N19</f>
        <v>0</v>
      </c>
      <c r="AC13" s="27">
        <f aca="true" t="shared" si="9" ref="AC13:AC18">SUM(Q13:AB13)</f>
        <v>498.22575000000006</v>
      </c>
      <c r="AD13" s="29">
        <f aca="true" t="shared" si="10" ref="AD13:AI14">AC13</f>
        <v>498.22575000000006</v>
      </c>
      <c r="AE13" s="29">
        <f t="shared" si="10"/>
        <v>498.22575000000006</v>
      </c>
      <c r="AF13" s="29">
        <f t="shared" si="10"/>
        <v>498.22575000000006</v>
      </c>
      <c r="AG13" s="29">
        <f t="shared" si="10"/>
        <v>498.22575000000006</v>
      </c>
      <c r="AH13" s="29">
        <f t="shared" si="10"/>
        <v>498.22575000000006</v>
      </c>
      <c r="AI13" s="29">
        <f t="shared" si="10"/>
        <v>498.22575000000006</v>
      </c>
    </row>
    <row r="14" spans="1:35" ht="12.75">
      <c r="A14" s="28" t="str">
        <f>'2-ф2'!A10</f>
        <v>Удобрения и хим.препараты</v>
      </c>
      <c r="B14" s="27">
        <f t="shared" si="6"/>
        <v>40.935992328</v>
      </c>
      <c r="C14" s="32"/>
      <c r="D14" s="29">
        <f>'2-ф2'!D10*Исх!$C$18</f>
        <v>0</v>
      </c>
      <c r="E14" s="29">
        <f>'2-ф2'!E10*Исх!$C$18</f>
        <v>0</v>
      </c>
      <c r="F14" s="29">
        <f>'2-ф2'!F10*Исх!$C$18</f>
        <v>0</v>
      </c>
      <c r="G14" s="29">
        <f>'2-ф2'!G10*Исх!$C$18</f>
        <v>0</v>
      </c>
      <c r="H14" s="29">
        <f>'2-ф2'!H10*Исх!$C$18</f>
        <v>0</v>
      </c>
      <c r="I14" s="29">
        <f>'2-ф2'!I10*Исх!$C$18</f>
        <v>0</v>
      </c>
      <c r="J14" s="29">
        <f>'2-ф2'!J10*Исх!$C$18</f>
        <v>0</v>
      </c>
      <c r="K14" s="29">
        <f>'Расх перем'!J21</f>
        <v>0</v>
      </c>
      <c r="L14" s="29">
        <f>'Расх перем'!K21</f>
        <v>0</v>
      </c>
      <c r="M14" s="29">
        <f>'Расх перем'!L21</f>
        <v>0</v>
      </c>
      <c r="N14" s="29">
        <f>'Расх перем'!M21</f>
        <v>0</v>
      </c>
      <c r="O14" s="29">
        <f>'Расх перем'!N21</f>
        <v>0</v>
      </c>
      <c r="P14" s="27">
        <f t="shared" si="8"/>
        <v>0</v>
      </c>
      <c r="Q14" s="29">
        <f>'Расх перем'!C20+'Расх перем'!C21</f>
        <v>3.5963532000000002</v>
      </c>
      <c r="R14" s="29">
        <f>'Расх перем'!D20+'Расх перем'!D21</f>
        <v>0.010709952000000002</v>
      </c>
      <c r="S14" s="29">
        <f>'Расх перем'!E20+'Расх перем'!E21</f>
        <v>0.7292098</v>
      </c>
      <c r="T14" s="29">
        <f>'Расх перем'!F20+'Расх перем'!F21</f>
        <v>0.755862976</v>
      </c>
      <c r="U14" s="29">
        <f>'Расх перем'!G20+'Расх перем'!G21</f>
        <v>0.755862976</v>
      </c>
      <c r="V14" s="29">
        <f>'Расх перем'!H20+'Расх перем'!H21</f>
        <v>0</v>
      </c>
      <c r="W14" s="29">
        <f>'Расх перем'!I20+'Расх перем'!I21</f>
        <v>0</v>
      </c>
      <c r="X14" s="29">
        <f>'Расх перем'!J20+'Расх перем'!J21</f>
        <v>0</v>
      </c>
      <c r="Y14" s="29">
        <f>'Расх перем'!K20+'Расх перем'!K21</f>
        <v>0</v>
      </c>
      <c r="Z14" s="29">
        <f>'Расх перем'!L20+'Расх перем'!L21</f>
        <v>0</v>
      </c>
      <c r="AA14" s="29">
        <f>'Расх перем'!M20+'Расх перем'!M21</f>
        <v>0</v>
      </c>
      <c r="AB14" s="29">
        <f>'Расх перем'!N20+'Расх перем'!N21</f>
        <v>0</v>
      </c>
      <c r="AC14" s="27">
        <f t="shared" si="9"/>
        <v>5.847998903999999</v>
      </c>
      <c r="AD14" s="29">
        <f t="shared" si="10"/>
        <v>5.847998903999999</v>
      </c>
      <c r="AE14" s="29">
        <f t="shared" si="10"/>
        <v>5.847998903999999</v>
      </c>
      <c r="AF14" s="29">
        <f t="shared" si="10"/>
        <v>5.847998903999999</v>
      </c>
      <c r="AG14" s="29">
        <f t="shared" si="10"/>
        <v>5.847998903999999</v>
      </c>
      <c r="AH14" s="29">
        <f t="shared" si="10"/>
        <v>5.847998903999999</v>
      </c>
      <c r="AI14" s="29">
        <f t="shared" si="10"/>
        <v>5.847998903999999</v>
      </c>
    </row>
    <row r="15" spans="1:35" ht="12.75">
      <c r="A15" s="28" t="s">
        <v>146</v>
      </c>
      <c r="B15" s="27">
        <f t="shared" si="6"/>
        <v>9599.473650000002</v>
      </c>
      <c r="C15" s="27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f>(Пост!$C$14-Пост!$C$6)*Исх!$C$18+Пост!$C$6+Пост!$C$16+Пост!$C$19</f>
        <v>147.68421</v>
      </c>
      <c r="O15" s="29">
        <f>(Пост!$C$14-Пост!$C$6)*Исх!$C$18+Пост!$C$6+Пост!$C$16+Пост!$C$19</f>
        <v>147.68421</v>
      </c>
      <c r="P15" s="27">
        <f t="shared" si="8"/>
        <v>295.36842</v>
      </c>
      <c r="Q15" s="29">
        <f>(Пост!$D$14-Пост!$D$6)*Исх!$C$18+Пост!$D$6+Пост!$D$16+Пост!$D$19</f>
        <v>147.68421</v>
      </c>
      <c r="R15" s="29">
        <f>(Пост!$D$14-Пост!$D$6)*Исх!$C$18+Пост!$D$6+Пост!$D$16+Пост!$D$19</f>
        <v>147.68421</v>
      </c>
      <c r="S15" s="29">
        <f>(Пост!$D$14-Пост!$D$6)*Исх!$C$18+Пост!$D$6+Пост!$D$16+Пост!$D$19</f>
        <v>147.68421</v>
      </c>
      <c r="T15" s="29">
        <f>(Пост!$D$14-Пост!$D$6)*Исх!$C$18+Пост!$D$6+Пост!$D$16+Пост!$D$19</f>
        <v>147.68421</v>
      </c>
      <c r="U15" s="29">
        <f>(Пост!$D$14-Пост!$D$6)*Исх!$C$18+Пост!$D$6+Пост!$D$16+Пост!$D$19</f>
        <v>147.68421</v>
      </c>
      <c r="V15" s="29">
        <f>(Пост!$D$14-Пост!$D$6)*Исх!$C$18+Пост!$D$6+Пост!$D$16+Пост!$D$19</f>
        <v>147.68421</v>
      </c>
      <c r="W15" s="29">
        <f>(Пост!$D$14-Пост!$D$6)*Исх!$C$18+Пост!$D$6+Пост!$D$16+Пост!$D$19</f>
        <v>147.68421</v>
      </c>
      <c r="X15" s="29">
        <f>(Пост!$D$14-Пост!$D$6)*Исх!$C$18+Пост!$D$6+Пост!$D$16+Пост!$D$19</f>
        <v>147.68421</v>
      </c>
      <c r="Y15" s="29">
        <f>(Пост!$D$14-Пост!$D$6)*Исх!$C$18+Пост!$D$6+Пост!$D$16+Пост!$D$19</f>
        <v>147.68421</v>
      </c>
      <c r="Z15" s="29"/>
      <c r="AA15" s="29"/>
      <c r="AB15" s="29"/>
      <c r="AC15" s="27">
        <f t="shared" si="9"/>
        <v>1329.15789</v>
      </c>
      <c r="AD15" s="29">
        <f>((Пост!E14-Пост!E6)*Исх!$C$18+Пост!E6+Пост!E16+Пост!E19)*9</f>
        <v>1329.15789</v>
      </c>
      <c r="AE15" s="29">
        <f>((Пост!F14-Пост!F6)*Исх!$C$18+Пост!F6+Пост!F16+Пост!F19)*9</f>
        <v>1329.15789</v>
      </c>
      <c r="AF15" s="29">
        <f>((Пост!G14-Пост!G6)*Исх!$C$18+Пост!G6+Пост!G16+Пост!G19)*9</f>
        <v>1329.15789</v>
      </c>
      <c r="AG15" s="29">
        <f>((Пост!H14-Пост!H6)*Исх!$C$18+Пост!H6+Пост!H16+Пост!H19)*9</f>
        <v>1329.15789</v>
      </c>
      <c r="AH15" s="29">
        <f>((Пост!I14-Пост!I6)*Исх!$C$18+Пост!I6+Пост!I16+Пост!I19)*9</f>
        <v>1329.15789</v>
      </c>
      <c r="AI15" s="29">
        <f>((Пост!J14-Пост!J6)*Исх!$C$18+Пост!J6+Пост!J16+Пост!J19)*9</f>
        <v>1329.15789</v>
      </c>
    </row>
    <row r="16" spans="1:35" ht="12.75">
      <c r="A16" s="28" t="s">
        <v>52</v>
      </c>
      <c r="B16" s="27">
        <f t="shared" si="6"/>
        <v>44.630328798611025</v>
      </c>
      <c r="C16" s="27"/>
      <c r="D16" s="29">
        <f>кр!C11</f>
        <v>0</v>
      </c>
      <c r="E16" s="29">
        <f>кр!D11</f>
        <v>0</v>
      </c>
      <c r="F16" s="29">
        <f>кр!E11</f>
        <v>0</v>
      </c>
      <c r="G16" s="29">
        <f>кр!F11</f>
        <v>0</v>
      </c>
      <c r="H16" s="29">
        <f>кр!G11</f>
        <v>0</v>
      </c>
      <c r="I16" s="29">
        <f>кр!H11</f>
        <v>0</v>
      </c>
      <c r="J16" s="29">
        <f>кр!I11</f>
        <v>0</v>
      </c>
      <c r="K16" s="29">
        <f>кр!J11</f>
        <v>0</v>
      </c>
      <c r="L16" s="29">
        <f>кр!K11</f>
        <v>0</v>
      </c>
      <c r="M16" s="29">
        <f>кр!L11</f>
        <v>0</v>
      </c>
      <c r="N16" s="29">
        <f>кр!M11</f>
        <v>0</v>
      </c>
      <c r="O16" s="29">
        <f>кр!N11</f>
        <v>0</v>
      </c>
      <c r="P16" s="27">
        <f t="shared" si="8"/>
        <v>0</v>
      </c>
      <c r="Q16" s="29">
        <f>кр!P11</f>
        <v>0</v>
      </c>
      <c r="R16" s="29">
        <f>кр!Q11</f>
        <v>0</v>
      </c>
      <c r="S16" s="29">
        <f>кр!R11</f>
        <v>0</v>
      </c>
      <c r="T16" s="29">
        <f>кр!S11</f>
        <v>4.463032879861112</v>
      </c>
      <c r="U16" s="29">
        <f>кр!T11</f>
        <v>4.228136412500001</v>
      </c>
      <c r="V16" s="29">
        <f>кр!U11</f>
        <v>3.9932399451388894</v>
      </c>
      <c r="W16" s="29">
        <f>кр!V11</f>
        <v>3.758343477777778</v>
      </c>
      <c r="X16" s="29">
        <f>кр!W11</f>
        <v>3.523447010416667</v>
      </c>
      <c r="Y16" s="29">
        <f>кр!X11</f>
        <v>3.288550543055555</v>
      </c>
      <c r="Z16" s="29">
        <f>кр!Y11</f>
        <v>3.053654075694444</v>
      </c>
      <c r="AA16" s="29">
        <f>кр!Z11</f>
        <v>2.8187576083333323</v>
      </c>
      <c r="AB16" s="29">
        <f>кр!AA11</f>
        <v>2.5838611409722216</v>
      </c>
      <c r="AC16" s="27">
        <f t="shared" si="9"/>
        <v>31.711023093749997</v>
      </c>
      <c r="AD16" s="33">
        <f>кр!AO11</f>
        <v>12.9193057048611</v>
      </c>
      <c r="AE16" s="33">
        <f>кр!BB11</f>
        <v>-1.1937117960769687E-14</v>
      </c>
      <c r="AF16" s="33">
        <f>кр!BO11</f>
        <v>-1.1937117960769687E-14</v>
      </c>
      <c r="AG16" s="33">
        <f>кр!CB11</f>
        <v>-1.1937117960769687E-14</v>
      </c>
      <c r="AH16" s="33">
        <f>кр!CO11</f>
        <v>-1.1937117960769687E-14</v>
      </c>
      <c r="AI16" s="33">
        <f>кр!DB11</f>
        <v>-1.1937117960769687E-14</v>
      </c>
    </row>
    <row r="17" spans="1:35" ht="12.75">
      <c r="A17" s="28" t="s">
        <v>204</v>
      </c>
      <c r="B17" s="27">
        <f t="shared" si="6"/>
        <v>541.8</v>
      </c>
      <c r="C17" s="27"/>
      <c r="D17" s="29">
        <f>'2-ф2'!D16</f>
        <v>0</v>
      </c>
      <c r="E17" s="29">
        <f>'2-ф2'!E16</f>
        <v>0</v>
      </c>
      <c r="F17" s="29">
        <f>'2-ф2'!F16</f>
        <v>0</v>
      </c>
      <c r="G17" s="29">
        <f>'2-ф2'!G16</f>
        <v>0</v>
      </c>
      <c r="H17" s="29">
        <f>'2-ф2'!H16</f>
        <v>0</v>
      </c>
      <c r="I17" s="29">
        <f>'2-ф2'!I16</f>
        <v>0</v>
      </c>
      <c r="J17" s="29">
        <f>'2-ф2'!J16</f>
        <v>0</v>
      </c>
      <c r="K17" s="29">
        <f>'2-ф2'!K16</f>
        <v>0</v>
      </c>
      <c r="L17" s="29">
        <f>'2-ф2'!L16</f>
        <v>0</v>
      </c>
      <c r="M17" s="29">
        <f>'2-ф2'!M16</f>
        <v>0</v>
      </c>
      <c r="N17" s="29">
        <f>'2-ф2'!N16</f>
        <v>0</v>
      </c>
      <c r="O17" s="29">
        <f>'2-ф2'!O16</f>
        <v>0</v>
      </c>
      <c r="P17" s="27">
        <f t="shared" si="8"/>
        <v>0</v>
      </c>
      <c r="Q17" s="29">
        <f>'2-ф2'!Q16</f>
        <v>0</v>
      </c>
      <c r="R17" s="29">
        <f>'2-ф2'!R16</f>
        <v>0</v>
      </c>
      <c r="S17" s="29">
        <f>'2-ф2'!S16</f>
        <v>45.9</v>
      </c>
      <c r="T17" s="29">
        <f>'2-ф2'!T16</f>
        <v>0</v>
      </c>
      <c r="U17" s="29">
        <f>'2-ф2'!U16</f>
        <v>0</v>
      </c>
      <c r="V17" s="29">
        <f>'2-ф2'!V16</f>
        <v>10.5</v>
      </c>
      <c r="W17" s="29">
        <f>'2-ф2'!W16</f>
        <v>10.5</v>
      </c>
      <c r="X17" s="29">
        <f>'2-ф2'!X16</f>
        <v>10.5</v>
      </c>
      <c r="Y17" s="29">
        <f>'2-ф2'!Y16</f>
        <v>0</v>
      </c>
      <c r="Z17" s="29">
        <f>'2-ф2'!Z16</f>
        <v>0</v>
      </c>
      <c r="AA17" s="29">
        <f>'2-ф2'!AA16</f>
        <v>0</v>
      </c>
      <c r="AB17" s="29">
        <f>'2-ф2'!AB16</f>
        <v>0</v>
      </c>
      <c r="AC17" s="27">
        <f t="shared" si="9"/>
        <v>77.4</v>
      </c>
      <c r="AD17" s="29">
        <f>'2-ф2'!AD16</f>
        <v>77.39999999999999</v>
      </c>
      <c r="AE17" s="29">
        <f>'2-ф2'!AE16</f>
        <v>77.39999999999999</v>
      </c>
      <c r="AF17" s="29">
        <f>'2-ф2'!AF16</f>
        <v>77.39999999999999</v>
      </c>
      <c r="AG17" s="29">
        <f>'2-ф2'!AG16</f>
        <v>77.39999999999999</v>
      </c>
      <c r="AH17" s="29">
        <f>'2-ф2'!AH16</f>
        <v>77.39999999999999</v>
      </c>
      <c r="AI17" s="29">
        <f>'2-ф2'!AI16</f>
        <v>77.39999999999999</v>
      </c>
    </row>
    <row r="18" spans="1:35" ht="12.75">
      <c r="A18" s="28" t="s">
        <v>31</v>
      </c>
      <c r="B18" s="27">
        <f t="shared" si="6"/>
        <v>0</v>
      </c>
      <c r="C18" s="27"/>
      <c r="D18" s="29">
        <f>'2-ф2'!D31</f>
        <v>0</v>
      </c>
      <c r="E18" s="29">
        <f>'2-ф2'!E31</f>
        <v>0</v>
      </c>
      <c r="F18" s="29">
        <f>'2-ф2'!F31</f>
        <v>0</v>
      </c>
      <c r="G18" s="29">
        <f>'2-ф2'!G31</f>
        <v>0</v>
      </c>
      <c r="H18" s="29">
        <f>'2-ф2'!H31</f>
        <v>0</v>
      </c>
      <c r="I18" s="29">
        <f>'2-ф2'!I31</f>
        <v>0</v>
      </c>
      <c r="J18" s="29">
        <f>'2-ф2'!J31</f>
        <v>0</v>
      </c>
      <c r="K18" s="29">
        <f>'2-ф2'!K31</f>
        <v>0</v>
      </c>
      <c r="L18" s="29">
        <f>'2-ф2'!L31</f>
        <v>0</v>
      </c>
      <c r="M18" s="29">
        <f>'2-ф2'!M31</f>
        <v>0</v>
      </c>
      <c r="N18" s="29">
        <f>'2-ф2'!N31</f>
        <v>0</v>
      </c>
      <c r="O18" s="29">
        <f>'2-ф2'!O31</f>
        <v>0</v>
      </c>
      <c r="P18" s="27">
        <f t="shared" si="8"/>
        <v>0</v>
      </c>
      <c r="Q18" s="29">
        <f>'2-ф2'!Q31</f>
        <v>0</v>
      </c>
      <c r="R18" s="29">
        <f>'2-ф2'!R31</f>
        <v>0</v>
      </c>
      <c r="S18" s="29">
        <f>'2-ф2'!S31</f>
        <v>0</v>
      </c>
      <c r="T18" s="29">
        <f>'2-ф2'!T31</f>
        <v>0</v>
      </c>
      <c r="U18" s="29">
        <f>'2-ф2'!U31</f>
        <v>0</v>
      </c>
      <c r="V18" s="29">
        <f>'2-ф2'!V31</f>
        <v>0</v>
      </c>
      <c r="W18" s="29">
        <f>'2-ф2'!W31</f>
        <v>0</v>
      </c>
      <c r="X18" s="29">
        <f>'2-ф2'!X31</f>
        <v>0</v>
      </c>
      <c r="Y18" s="29">
        <f>'2-ф2'!Y31</f>
        <v>0</v>
      </c>
      <c r="Z18" s="29">
        <f>'2-ф2'!Z31</f>
        <v>0</v>
      </c>
      <c r="AA18" s="29">
        <f>'2-ф2'!AA31</f>
        <v>0</v>
      </c>
      <c r="AB18" s="29">
        <f>'2-ф2'!AB31</f>
        <v>0</v>
      </c>
      <c r="AC18" s="27">
        <f t="shared" si="9"/>
        <v>0</v>
      </c>
      <c r="AD18" s="29">
        <f>'2-ф2'!AD31</f>
        <v>0</v>
      </c>
      <c r="AE18" s="29">
        <f>'2-ф2'!AE31</f>
        <v>0</v>
      </c>
      <c r="AF18" s="29">
        <f>'2-ф2'!AF31</f>
        <v>0</v>
      </c>
      <c r="AG18" s="29">
        <f>'2-ф2'!AG31</f>
        <v>0</v>
      </c>
      <c r="AH18" s="29">
        <f>'2-ф2'!AH31</f>
        <v>0</v>
      </c>
      <c r="AI18" s="29">
        <f>'2-ф2'!AI31</f>
        <v>0</v>
      </c>
    </row>
    <row r="19" spans="1:35" s="21" customFormat="1" ht="25.5">
      <c r="A19" s="34" t="s">
        <v>17</v>
      </c>
      <c r="B19" s="18">
        <f>B9-B12</f>
        <v>4345.579778873389</v>
      </c>
      <c r="C19" s="18"/>
      <c r="D19" s="18">
        <f aca="true" t="shared" si="11" ref="D19:AI19">D9-D12</f>
        <v>0</v>
      </c>
      <c r="E19" s="18">
        <f t="shared" si="11"/>
        <v>0</v>
      </c>
      <c r="F19" s="18">
        <f t="shared" si="11"/>
        <v>0</v>
      </c>
      <c r="G19" s="18">
        <f t="shared" si="11"/>
        <v>0</v>
      </c>
      <c r="H19" s="18">
        <f t="shared" si="11"/>
        <v>0</v>
      </c>
      <c r="I19" s="18">
        <f t="shared" si="11"/>
        <v>0</v>
      </c>
      <c r="J19" s="18">
        <f t="shared" si="11"/>
        <v>0</v>
      </c>
      <c r="K19" s="18">
        <f t="shared" si="11"/>
        <v>0</v>
      </c>
      <c r="L19" s="18">
        <f t="shared" si="11"/>
        <v>0</v>
      </c>
      <c r="M19" s="18">
        <f t="shared" si="11"/>
        <v>0</v>
      </c>
      <c r="N19" s="18">
        <f t="shared" si="11"/>
        <v>-147.68421</v>
      </c>
      <c r="O19" s="18">
        <f t="shared" si="11"/>
        <v>-147.68421</v>
      </c>
      <c r="P19" s="18">
        <f t="shared" si="11"/>
        <v>-295.36842</v>
      </c>
      <c r="Q19" s="18">
        <f t="shared" si="11"/>
        <v>-409.90156320000006</v>
      </c>
      <c r="R19" s="18">
        <f t="shared" si="11"/>
        <v>-147.69491995200002</v>
      </c>
      <c r="S19" s="18">
        <f t="shared" si="11"/>
        <v>1096.0818302</v>
      </c>
      <c r="T19" s="18">
        <f t="shared" si="11"/>
        <v>-152.90310585586113</v>
      </c>
      <c r="U19" s="18">
        <f t="shared" si="11"/>
        <v>-152.6682093885</v>
      </c>
      <c r="V19" s="18">
        <f t="shared" si="11"/>
        <v>187.8225500548611</v>
      </c>
      <c r="W19" s="18">
        <f t="shared" si="11"/>
        <v>188.05744652222222</v>
      </c>
      <c r="X19" s="18">
        <f t="shared" si="11"/>
        <v>188.29234298958332</v>
      </c>
      <c r="Y19" s="18">
        <f t="shared" si="11"/>
        <v>-150.97276054305556</v>
      </c>
      <c r="Z19" s="18">
        <f t="shared" si="11"/>
        <v>-3.053654075694444</v>
      </c>
      <c r="AA19" s="18">
        <f t="shared" si="11"/>
        <v>-2.8187576083333323</v>
      </c>
      <c r="AB19" s="18">
        <f t="shared" si="11"/>
        <v>-2.5838611409722216</v>
      </c>
      <c r="AC19" s="18">
        <f t="shared" si="11"/>
        <v>637.6573380022498</v>
      </c>
      <c r="AD19" s="18">
        <f t="shared" si="11"/>
        <v>656.4490553911389</v>
      </c>
      <c r="AE19" s="18">
        <f t="shared" si="11"/>
        <v>669.368361096</v>
      </c>
      <c r="AF19" s="18">
        <f t="shared" si="11"/>
        <v>669.368361096</v>
      </c>
      <c r="AG19" s="18">
        <f t="shared" si="11"/>
        <v>669.368361096</v>
      </c>
      <c r="AH19" s="18">
        <f t="shared" si="11"/>
        <v>669.368361096</v>
      </c>
      <c r="AI19" s="18">
        <f t="shared" si="11"/>
        <v>669.368361096</v>
      </c>
    </row>
    <row r="20" spans="1:35" s="21" customFormat="1" ht="12.75">
      <c r="A20" s="22" t="s">
        <v>18</v>
      </c>
      <c r="B20" s="23"/>
      <c r="C20" s="23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3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35"/>
      <c r="AD20" s="35"/>
      <c r="AE20" s="35"/>
      <c r="AF20" s="35"/>
      <c r="AG20" s="35"/>
      <c r="AH20" s="35"/>
      <c r="AI20" s="35"/>
    </row>
    <row r="21" spans="1:35" s="21" customFormat="1" ht="12.75">
      <c r="A21" s="26" t="s">
        <v>5</v>
      </c>
      <c r="B21" s="27"/>
      <c r="C21" s="27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27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27"/>
      <c r="AD21" s="27"/>
      <c r="AE21" s="27"/>
      <c r="AF21" s="27"/>
      <c r="AG21" s="27"/>
      <c r="AH21" s="27"/>
      <c r="AI21" s="27"/>
    </row>
    <row r="22" spans="1:35" s="21" customFormat="1" ht="12.75">
      <c r="A22" s="26" t="s">
        <v>6</v>
      </c>
      <c r="B22" s="27">
        <f>SUM(B23:B24)</f>
        <v>743.4086000000001</v>
      </c>
      <c r="C22" s="27"/>
      <c r="D22" s="27">
        <f aca="true" t="shared" si="12" ref="D22:AC22">SUM(D23:D24)</f>
        <v>0</v>
      </c>
      <c r="E22" s="27">
        <f t="shared" si="12"/>
        <v>0</v>
      </c>
      <c r="F22" s="27">
        <f t="shared" si="12"/>
        <v>0</v>
      </c>
      <c r="G22" s="27">
        <f t="shared" si="12"/>
        <v>0</v>
      </c>
      <c r="H22" s="27">
        <f>SUM(H23:H24)</f>
        <v>0</v>
      </c>
      <c r="I22" s="27">
        <f t="shared" si="12"/>
        <v>0</v>
      </c>
      <c r="J22" s="27">
        <f t="shared" si="12"/>
        <v>0</v>
      </c>
      <c r="K22" s="27">
        <f t="shared" si="12"/>
        <v>0</v>
      </c>
      <c r="L22" s="27">
        <f t="shared" si="12"/>
        <v>0</v>
      </c>
      <c r="M22" s="27">
        <f t="shared" si="12"/>
        <v>743.4086000000001</v>
      </c>
      <c r="N22" s="27">
        <f t="shared" si="12"/>
        <v>0</v>
      </c>
      <c r="O22" s="27">
        <f t="shared" si="12"/>
        <v>0</v>
      </c>
      <c r="P22" s="27">
        <f t="shared" si="12"/>
        <v>743.4086000000001</v>
      </c>
      <c r="Q22" s="27">
        <f t="shared" si="12"/>
        <v>0</v>
      </c>
      <c r="R22" s="27">
        <f t="shared" si="12"/>
        <v>0</v>
      </c>
      <c r="S22" s="27">
        <f t="shared" si="12"/>
        <v>0</v>
      </c>
      <c r="T22" s="27">
        <f t="shared" si="12"/>
        <v>0</v>
      </c>
      <c r="U22" s="27">
        <f t="shared" si="12"/>
        <v>0</v>
      </c>
      <c r="V22" s="27">
        <f t="shared" si="12"/>
        <v>0</v>
      </c>
      <c r="W22" s="27">
        <f t="shared" si="12"/>
        <v>0</v>
      </c>
      <c r="X22" s="27">
        <f t="shared" si="12"/>
        <v>0</v>
      </c>
      <c r="Y22" s="27">
        <f t="shared" si="12"/>
        <v>0</v>
      </c>
      <c r="Z22" s="27">
        <f t="shared" si="12"/>
        <v>0</v>
      </c>
      <c r="AA22" s="27">
        <f t="shared" si="12"/>
        <v>0</v>
      </c>
      <c r="AB22" s="27">
        <f t="shared" si="12"/>
        <v>0</v>
      </c>
      <c r="AC22" s="27">
        <f t="shared" si="12"/>
        <v>0</v>
      </c>
      <c r="AD22" s="27">
        <f aca="true" t="shared" si="13" ref="AD22:AI22">SUM(AD23:AD24)</f>
        <v>0</v>
      </c>
      <c r="AE22" s="27">
        <f t="shared" si="13"/>
        <v>0</v>
      </c>
      <c r="AF22" s="27">
        <f t="shared" si="13"/>
        <v>0</v>
      </c>
      <c r="AG22" s="27">
        <f t="shared" si="13"/>
        <v>0</v>
      </c>
      <c r="AH22" s="27">
        <f t="shared" si="13"/>
        <v>0</v>
      </c>
      <c r="AI22" s="27">
        <f t="shared" si="13"/>
        <v>0</v>
      </c>
    </row>
    <row r="23" spans="1:35" ht="12.75">
      <c r="A23" s="37" t="s">
        <v>19</v>
      </c>
      <c r="B23" s="27">
        <f>P23+AC23+AD23+AE23+AF23+AG23+AH23+AI23</f>
        <v>743.4086000000001</v>
      </c>
      <c r="C23" s="27"/>
      <c r="D23" s="29">
        <f>Инв!E15</f>
        <v>0</v>
      </c>
      <c r="E23" s="29">
        <f>Инв!F15</f>
        <v>0</v>
      </c>
      <c r="F23" s="29">
        <f>Инв!G15</f>
        <v>0</v>
      </c>
      <c r="G23" s="29">
        <f>Инв!H15</f>
        <v>0</v>
      </c>
      <c r="H23" s="29">
        <f>Инв!I15</f>
        <v>0</v>
      </c>
      <c r="I23" s="29">
        <f>Инв!J15</f>
        <v>0</v>
      </c>
      <c r="J23" s="29">
        <f>Инв!K15</f>
        <v>0</v>
      </c>
      <c r="K23" s="29"/>
      <c r="L23" s="29">
        <f>Инв!M15</f>
        <v>0</v>
      </c>
      <c r="M23" s="29">
        <f>Инв!N15</f>
        <v>743.4086000000001</v>
      </c>
      <c r="N23" s="29">
        <f>Инв!O15</f>
        <v>0</v>
      </c>
      <c r="O23" s="29">
        <f>Инв!P15</f>
        <v>0</v>
      </c>
      <c r="P23" s="27">
        <f>SUM(D23:O23)</f>
        <v>743.4086000000001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7">
        <f>SUM(Q23:AB23)</f>
        <v>0</v>
      </c>
      <c r="AD23" s="27"/>
      <c r="AE23" s="27"/>
      <c r="AF23" s="27"/>
      <c r="AG23" s="27"/>
      <c r="AH23" s="27"/>
      <c r="AI23" s="27"/>
    </row>
    <row r="24" spans="1:35" ht="12.75" outlineLevel="1">
      <c r="A24" s="37"/>
      <c r="B24" s="27">
        <f>P24+AC24+AD24+AE24+AF24+AG24+AH24+AI24</f>
        <v>0</v>
      </c>
      <c r="C24" s="27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7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7"/>
      <c r="AD24" s="27"/>
      <c r="AE24" s="27"/>
      <c r="AF24" s="27"/>
      <c r="AG24" s="27"/>
      <c r="AH24" s="27"/>
      <c r="AI24" s="27"/>
    </row>
    <row r="25" spans="1:35" s="21" customFormat="1" ht="25.5">
      <c r="A25" s="38" t="s">
        <v>20</v>
      </c>
      <c r="B25" s="18">
        <f>B21-B22</f>
        <v>-743.4086000000001</v>
      </c>
      <c r="C25" s="18"/>
      <c r="D25" s="18">
        <f>D21-D22</f>
        <v>0</v>
      </c>
      <c r="E25" s="18">
        <f aca="true" t="shared" si="14" ref="E25:O25">E21-E22</f>
        <v>0</v>
      </c>
      <c r="F25" s="18">
        <f t="shared" si="14"/>
        <v>0</v>
      </c>
      <c r="G25" s="18">
        <f t="shared" si="14"/>
        <v>0</v>
      </c>
      <c r="H25" s="18">
        <f t="shared" si="14"/>
        <v>0</v>
      </c>
      <c r="I25" s="18">
        <f t="shared" si="14"/>
        <v>0</v>
      </c>
      <c r="J25" s="18">
        <f>J21-J22</f>
        <v>0</v>
      </c>
      <c r="K25" s="18">
        <f t="shared" si="14"/>
        <v>0</v>
      </c>
      <c r="L25" s="18">
        <f t="shared" si="14"/>
        <v>0</v>
      </c>
      <c r="M25" s="18">
        <f t="shared" si="14"/>
        <v>-743.4086000000001</v>
      </c>
      <c r="N25" s="18">
        <f t="shared" si="14"/>
        <v>0</v>
      </c>
      <c r="O25" s="18">
        <f t="shared" si="14"/>
        <v>0</v>
      </c>
      <c r="P25" s="18">
        <f>SUM(D25:O25)</f>
        <v>-743.4086000000001</v>
      </c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</row>
    <row r="26" spans="1:35" s="42" customFormat="1" ht="12.75">
      <c r="A26" s="39" t="s">
        <v>21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1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1"/>
      <c r="AD26" s="41"/>
      <c r="AE26" s="41"/>
      <c r="AF26" s="41"/>
      <c r="AG26" s="41"/>
      <c r="AH26" s="41"/>
      <c r="AI26" s="41"/>
    </row>
    <row r="27" spans="1:35" s="21" customFormat="1" ht="12.75">
      <c r="A27" s="22" t="s">
        <v>22</v>
      </c>
      <c r="B27" s="23"/>
      <c r="C27" s="23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3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35"/>
      <c r="AD27" s="35"/>
      <c r="AE27" s="35"/>
      <c r="AF27" s="35"/>
      <c r="AG27" s="35"/>
      <c r="AH27" s="35"/>
      <c r="AI27" s="35"/>
    </row>
    <row r="28" spans="1:35" s="21" customFormat="1" ht="12.75">
      <c r="A28" s="26" t="s">
        <v>5</v>
      </c>
      <c r="B28" s="27">
        <f>SUM(B29:B30)</f>
        <v>1596.373503152</v>
      </c>
      <c r="C28" s="27"/>
      <c r="D28" s="27">
        <f>SUM(D29:D30)</f>
        <v>0</v>
      </c>
      <c r="E28" s="27">
        <f aca="true" t="shared" si="15" ref="E28:O28">SUM(E29:E30)</f>
        <v>0</v>
      </c>
      <c r="F28" s="27">
        <f t="shared" si="15"/>
        <v>0</v>
      </c>
      <c r="G28" s="27">
        <f t="shared" si="15"/>
        <v>0</v>
      </c>
      <c r="H28" s="27">
        <f t="shared" si="15"/>
        <v>0</v>
      </c>
      <c r="I28" s="27">
        <f t="shared" si="15"/>
        <v>0</v>
      </c>
      <c r="J28" s="27">
        <f t="shared" si="15"/>
        <v>0</v>
      </c>
      <c r="K28" s="27">
        <f t="shared" si="15"/>
        <v>0</v>
      </c>
      <c r="L28" s="27">
        <f t="shared" si="15"/>
        <v>0</v>
      </c>
      <c r="M28" s="27">
        <f t="shared" si="15"/>
        <v>743.4086000000001</v>
      </c>
      <c r="N28" s="27">
        <f t="shared" si="15"/>
        <v>147.68421</v>
      </c>
      <c r="O28" s="27">
        <f t="shared" si="15"/>
        <v>147.68421</v>
      </c>
      <c r="P28" s="27">
        <f aca="true" t="shared" si="16" ref="P28:AD28">SUM(P29:P30)</f>
        <v>1038.77702</v>
      </c>
      <c r="Q28" s="27">
        <f t="shared" si="16"/>
        <v>409.90156320000006</v>
      </c>
      <c r="R28" s="27">
        <f t="shared" si="16"/>
        <v>147.69491995200002</v>
      </c>
      <c r="S28" s="27">
        <f t="shared" si="16"/>
        <v>0</v>
      </c>
      <c r="T28" s="27">
        <f t="shared" si="16"/>
        <v>0</v>
      </c>
      <c r="U28" s="27">
        <f t="shared" si="16"/>
        <v>0</v>
      </c>
      <c r="V28" s="27">
        <f t="shared" si="16"/>
        <v>0</v>
      </c>
      <c r="W28" s="27">
        <f t="shared" si="16"/>
        <v>0</v>
      </c>
      <c r="X28" s="27">
        <f t="shared" si="16"/>
        <v>0</v>
      </c>
      <c r="Y28" s="27">
        <f t="shared" si="16"/>
        <v>0</v>
      </c>
      <c r="Z28" s="27">
        <f t="shared" si="16"/>
        <v>0</v>
      </c>
      <c r="AA28" s="27">
        <f t="shared" si="16"/>
        <v>0</v>
      </c>
      <c r="AB28" s="27">
        <f t="shared" si="16"/>
        <v>0</v>
      </c>
      <c r="AC28" s="27">
        <f t="shared" si="16"/>
        <v>557.596483152</v>
      </c>
      <c r="AD28" s="27">
        <f t="shared" si="16"/>
        <v>0</v>
      </c>
      <c r="AE28" s="27">
        <f>SUM(AE29:AE30)</f>
        <v>0</v>
      </c>
      <c r="AF28" s="27">
        <f>SUM(AF29:AF30)</f>
        <v>0</v>
      </c>
      <c r="AG28" s="27">
        <f>SUM(AG29:AG30)</f>
        <v>0</v>
      </c>
      <c r="AH28" s="27">
        <f>SUM(AH29:AH30)</f>
        <v>0</v>
      </c>
      <c r="AI28" s="27">
        <f>SUM(AI29:AI30)</f>
        <v>0</v>
      </c>
    </row>
    <row r="29" spans="1:35" ht="12.75" customHeight="1">
      <c r="A29" s="37" t="s">
        <v>54</v>
      </c>
      <c r="B29" s="27">
        <f>P29+AC29+AD29+AE29+AF29+AG29+AH29+AI29</f>
        <v>852.964903152</v>
      </c>
      <c r="C29" s="27"/>
      <c r="D29" s="29">
        <f>(-D19-D25)*Исх!$C$8</f>
        <v>0</v>
      </c>
      <c r="E29" s="29">
        <f>(-E19-E25)*Исх!$C$8</f>
        <v>0</v>
      </c>
      <c r="F29" s="29">
        <f>(-F19-F25)*Исх!$C$8</f>
        <v>0</v>
      </c>
      <c r="G29" s="29"/>
      <c r="H29" s="29"/>
      <c r="I29" s="29"/>
      <c r="J29" s="29"/>
      <c r="K29" s="29">
        <f>Инв!L5*Исх!$C$19</f>
        <v>0</v>
      </c>
      <c r="L29" s="29">
        <f>Инв!M5*Исх!$C$19</f>
        <v>0</v>
      </c>
      <c r="M29" s="29">
        <f>Инв!N5*Исх!$C$8</f>
        <v>0</v>
      </c>
      <c r="N29" s="29">
        <f>N15</f>
        <v>147.68421</v>
      </c>
      <c r="O29" s="29">
        <f>O15</f>
        <v>147.68421</v>
      </c>
      <c r="P29" s="27">
        <f>SUM(D29:O29)</f>
        <v>295.36842</v>
      </c>
      <c r="Q29" s="29">
        <f>Q13+Q14+Q15</f>
        <v>409.90156320000006</v>
      </c>
      <c r="R29" s="29">
        <f>R13+R14+R15</f>
        <v>147.69491995200002</v>
      </c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7">
        <f>SUM(Q29:AB29)</f>
        <v>557.596483152</v>
      </c>
      <c r="AD29" s="27"/>
      <c r="AE29" s="27"/>
      <c r="AF29" s="27"/>
      <c r="AG29" s="27"/>
      <c r="AH29" s="27"/>
      <c r="AI29" s="27"/>
    </row>
    <row r="30" spans="1:35" ht="12.75">
      <c r="A30" s="43" t="s">
        <v>161</v>
      </c>
      <c r="B30" s="27">
        <f>P30+AC30+AD30+AE30+AF30+AG30+AH30+AI30</f>
        <v>743.4086000000001</v>
      </c>
      <c r="C30" s="27"/>
      <c r="D30" s="44">
        <f>(-D19-D25)-D29</f>
        <v>0</v>
      </c>
      <c r="E30" s="44">
        <f>(-E19-E25)-E29</f>
        <v>0</v>
      </c>
      <c r="F30" s="44">
        <f>(-F19-F25)-F29</f>
        <v>0</v>
      </c>
      <c r="G30" s="44"/>
      <c r="H30" s="44"/>
      <c r="I30" s="44"/>
      <c r="J30" s="44">
        <f>Инв!K15</f>
        <v>0</v>
      </c>
      <c r="K30" s="44">
        <f>Инв!L15-'1-Ф3'!K29</f>
        <v>0</v>
      </c>
      <c r="L30" s="44">
        <f>Инв!M15-'1-Ф3'!L29</f>
        <v>0</v>
      </c>
      <c r="M30" s="44">
        <f>Инв!N15-'1-Ф3'!M29</f>
        <v>743.4086000000001</v>
      </c>
      <c r="N30" s="44"/>
      <c r="O30" s="44"/>
      <c r="P30" s="27">
        <f>SUM(D30:O30)</f>
        <v>743.4086000000001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27">
        <f>SUM(Q30:AB30)</f>
        <v>0</v>
      </c>
      <c r="AD30" s="27"/>
      <c r="AE30" s="27"/>
      <c r="AF30" s="27"/>
      <c r="AG30" s="27"/>
      <c r="AH30" s="27"/>
      <c r="AI30" s="27"/>
    </row>
    <row r="31" spans="1:35" s="21" customFormat="1" ht="12.75">
      <c r="A31" s="26" t="s">
        <v>6</v>
      </c>
      <c r="B31" s="27">
        <f>SUM(B32:B33)</f>
        <v>765.0913508333333</v>
      </c>
      <c r="C31" s="27"/>
      <c r="D31" s="27">
        <f>SUM(D32:D33)</f>
        <v>0</v>
      </c>
      <c r="E31" s="27">
        <f aca="true" t="shared" si="17" ref="E31:AF31">SUM(E32:E33)</f>
        <v>0</v>
      </c>
      <c r="F31" s="27">
        <f t="shared" si="17"/>
        <v>0</v>
      </c>
      <c r="G31" s="27">
        <f t="shared" si="17"/>
        <v>0</v>
      </c>
      <c r="H31" s="27">
        <f t="shared" si="17"/>
        <v>0</v>
      </c>
      <c r="I31" s="27">
        <f>SUM(I32:I33)</f>
        <v>0</v>
      </c>
      <c r="J31" s="27">
        <f t="shared" si="17"/>
        <v>0</v>
      </c>
      <c r="K31" s="27">
        <f t="shared" si="17"/>
        <v>0</v>
      </c>
      <c r="L31" s="27">
        <f t="shared" si="17"/>
        <v>0</v>
      </c>
      <c r="M31" s="27">
        <f t="shared" si="17"/>
        <v>0</v>
      </c>
      <c r="N31" s="27">
        <f t="shared" si="17"/>
        <v>0</v>
      </c>
      <c r="O31" s="27">
        <f t="shared" si="17"/>
        <v>0</v>
      </c>
      <c r="P31" s="27">
        <f t="shared" si="17"/>
        <v>0</v>
      </c>
      <c r="Q31" s="27">
        <f t="shared" si="17"/>
        <v>0</v>
      </c>
      <c r="R31" s="27">
        <f t="shared" si="17"/>
        <v>0</v>
      </c>
      <c r="S31" s="27">
        <f t="shared" si="17"/>
        <v>0</v>
      </c>
      <c r="T31" s="27">
        <f t="shared" si="17"/>
        <v>40.267965833333335</v>
      </c>
      <c r="U31" s="27">
        <f t="shared" si="17"/>
        <v>40.267965833333335</v>
      </c>
      <c r="V31" s="27">
        <f t="shared" si="17"/>
        <v>40.267965833333335</v>
      </c>
      <c r="W31" s="27">
        <f t="shared" si="17"/>
        <v>40.267965833333335</v>
      </c>
      <c r="X31" s="27">
        <f t="shared" si="17"/>
        <v>40.267965833333335</v>
      </c>
      <c r="Y31" s="27">
        <f t="shared" si="17"/>
        <v>40.267965833333335</v>
      </c>
      <c r="Z31" s="27">
        <f t="shared" si="17"/>
        <v>40.267965833333335</v>
      </c>
      <c r="AA31" s="27">
        <f t="shared" si="17"/>
        <v>40.267965833333335</v>
      </c>
      <c r="AB31" s="27">
        <f t="shared" si="17"/>
        <v>40.267965833333335</v>
      </c>
      <c r="AC31" s="27">
        <f t="shared" si="17"/>
        <v>362.4116925</v>
      </c>
      <c r="AD31" s="27">
        <f t="shared" si="17"/>
        <v>402.67965833333335</v>
      </c>
      <c r="AE31" s="27">
        <f t="shared" si="17"/>
        <v>0</v>
      </c>
      <c r="AF31" s="27">
        <f t="shared" si="17"/>
        <v>0</v>
      </c>
      <c r="AG31" s="27">
        <f>SUM(AG32:AG33)</f>
        <v>0</v>
      </c>
      <c r="AH31" s="27">
        <f>SUM(AH32:AH33)</f>
        <v>0</v>
      </c>
      <c r="AI31" s="27">
        <f>SUM(AI32:AI33)</f>
        <v>0</v>
      </c>
    </row>
    <row r="32" spans="1:35" ht="12.75">
      <c r="A32" s="28" t="s">
        <v>30</v>
      </c>
      <c r="B32" s="27">
        <f>P32+AC32+AD32+AE32+AF32+AG32+AH32+AI32</f>
        <v>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27">
        <f>SUM(D32:O32)</f>
        <v>0</v>
      </c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27">
        <f>SUM(Q32:AB32)</f>
        <v>0</v>
      </c>
      <c r="AD32" s="33"/>
      <c r="AE32" s="27"/>
      <c r="AF32" s="27"/>
      <c r="AG32" s="27"/>
      <c r="AH32" s="27"/>
      <c r="AI32" s="27"/>
    </row>
    <row r="33" spans="1:35" ht="13.5" customHeight="1">
      <c r="A33" s="37" t="s">
        <v>160</v>
      </c>
      <c r="B33" s="27">
        <f>P33+AC33+AD33+AE33+AF33+AG33+AH33+AI33</f>
        <v>765.0913508333333</v>
      </c>
      <c r="C33" s="27"/>
      <c r="D33" s="33">
        <f>кр!C10</f>
        <v>0</v>
      </c>
      <c r="E33" s="33">
        <f>кр!D10</f>
        <v>0</v>
      </c>
      <c r="F33" s="33">
        <f>кр!E10</f>
        <v>0</v>
      </c>
      <c r="G33" s="33">
        <f>кр!F10</f>
        <v>0</v>
      </c>
      <c r="H33" s="33">
        <f>кр!G10</f>
        <v>0</v>
      </c>
      <c r="I33" s="33">
        <f>кр!H10</f>
        <v>0</v>
      </c>
      <c r="J33" s="33">
        <f>кр!I10</f>
        <v>0</v>
      </c>
      <c r="K33" s="33">
        <f>кр!J10</f>
        <v>0</v>
      </c>
      <c r="L33" s="33">
        <f>кр!K10</f>
        <v>0</v>
      </c>
      <c r="M33" s="33">
        <f>кр!L10</f>
        <v>0</v>
      </c>
      <c r="N33" s="33">
        <f>кр!M10</f>
        <v>0</v>
      </c>
      <c r="O33" s="33">
        <f>кр!N10</f>
        <v>0</v>
      </c>
      <c r="P33" s="27">
        <f>SUM(D33:O33)</f>
        <v>0</v>
      </c>
      <c r="Q33" s="33">
        <f>кр!P10</f>
        <v>0</v>
      </c>
      <c r="R33" s="33">
        <f>кр!Q10</f>
        <v>0</v>
      </c>
      <c r="S33" s="33">
        <f>кр!R10</f>
        <v>0</v>
      </c>
      <c r="T33" s="33">
        <f>кр!S10</f>
        <v>40.267965833333335</v>
      </c>
      <c r="U33" s="33">
        <f>кр!T10</f>
        <v>40.267965833333335</v>
      </c>
      <c r="V33" s="33">
        <f>кр!U10</f>
        <v>40.267965833333335</v>
      </c>
      <c r="W33" s="33">
        <f>кр!V10</f>
        <v>40.267965833333335</v>
      </c>
      <c r="X33" s="33">
        <f>кр!W10</f>
        <v>40.267965833333335</v>
      </c>
      <c r="Y33" s="33">
        <f>кр!X10</f>
        <v>40.267965833333335</v>
      </c>
      <c r="Z33" s="33">
        <f>кр!Y10</f>
        <v>40.267965833333335</v>
      </c>
      <c r="AA33" s="33">
        <f>кр!Z10</f>
        <v>40.267965833333335</v>
      </c>
      <c r="AB33" s="33">
        <f>кр!AA10</f>
        <v>40.267965833333335</v>
      </c>
      <c r="AC33" s="27">
        <f>SUM(Q33:AB33)</f>
        <v>362.4116925</v>
      </c>
      <c r="AD33" s="33">
        <f>кр!AO10</f>
        <v>402.67965833333335</v>
      </c>
      <c r="AE33" s="33">
        <f>кр!BB10</f>
        <v>0</v>
      </c>
      <c r="AF33" s="33">
        <f>кр!BO10</f>
        <v>0</v>
      </c>
      <c r="AG33" s="33">
        <f>кр!CB10</f>
        <v>0</v>
      </c>
      <c r="AH33" s="33">
        <f>кр!CO10</f>
        <v>0</v>
      </c>
      <c r="AI33" s="33">
        <f>кр!DB10</f>
        <v>0</v>
      </c>
    </row>
    <row r="34" spans="1:35" s="21" customFormat="1" ht="25.5">
      <c r="A34" s="38" t="s">
        <v>23</v>
      </c>
      <c r="B34" s="18">
        <f>B28-B31</f>
        <v>831.2821523186667</v>
      </c>
      <c r="C34" s="18"/>
      <c r="D34" s="18">
        <f>D28-D31</f>
        <v>0</v>
      </c>
      <c r="E34" s="18">
        <f aca="true" t="shared" si="18" ref="E34:AF34">E28-E31</f>
        <v>0</v>
      </c>
      <c r="F34" s="18">
        <f t="shared" si="18"/>
        <v>0</v>
      </c>
      <c r="G34" s="18">
        <f t="shared" si="18"/>
        <v>0</v>
      </c>
      <c r="H34" s="18">
        <f t="shared" si="18"/>
        <v>0</v>
      </c>
      <c r="I34" s="18">
        <f t="shared" si="18"/>
        <v>0</v>
      </c>
      <c r="J34" s="18">
        <f t="shared" si="18"/>
        <v>0</v>
      </c>
      <c r="K34" s="18">
        <f t="shared" si="18"/>
        <v>0</v>
      </c>
      <c r="L34" s="18">
        <f t="shared" si="18"/>
        <v>0</v>
      </c>
      <c r="M34" s="18">
        <f t="shared" si="18"/>
        <v>743.4086000000001</v>
      </c>
      <c r="N34" s="18">
        <f t="shared" si="18"/>
        <v>147.68421</v>
      </c>
      <c r="O34" s="18">
        <f t="shared" si="18"/>
        <v>147.68421</v>
      </c>
      <c r="P34" s="18">
        <f t="shared" si="18"/>
        <v>1038.77702</v>
      </c>
      <c r="Q34" s="18">
        <f t="shared" si="18"/>
        <v>409.90156320000006</v>
      </c>
      <c r="R34" s="18">
        <f t="shared" si="18"/>
        <v>147.69491995200002</v>
      </c>
      <c r="S34" s="18">
        <f t="shared" si="18"/>
        <v>0</v>
      </c>
      <c r="T34" s="18">
        <f t="shared" si="18"/>
        <v>-40.267965833333335</v>
      </c>
      <c r="U34" s="18">
        <f t="shared" si="18"/>
        <v>-40.267965833333335</v>
      </c>
      <c r="V34" s="18">
        <f t="shared" si="18"/>
        <v>-40.267965833333335</v>
      </c>
      <c r="W34" s="18">
        <f t="shared" si="18"/>
        <v>-40.267965833333335</v>
      </c>
      <c r="X34" s="18">
        <f t="shared" si="18"/>
        <v>-40.267965833333335</v>
      </c>
      <c r="Y34" s="18">
        <f t="shared" si="18"/>
        <v>-40.267965833333335</v>
      </c>
      <c r="Z34" s="18">
        <f t="shared" si="18"/>
        <v>-40.267965833333335</v>
      </c>
      <c r="AA34" s="18">
        <f t="shared" si="18"/>
        <v>-40.267965833333335</v>
      </c>
      <c r="AB34" s="18">
        <f t="shared" si="18"/>
        <v>-40.267965833333335</v>
      </c>
      <c r="AC34" s="18">
        <f t="shared" si="18"/>
        <v>195.184790652</v>
      </c>
      <c r="AD34" s="18">
        <f t="shared" si="18"/>
        <v>-402.67965833333335</v>
      </c>
      <c r="AE34" s="18">
        <f t="shared" si="18"/>
        <v>0</v>
      </c>
      <c r="AF34" s="18">
        <f t="shared" si="18"/>
        <v>0</v>
      </c>
      <c r="AG34" s="18">
        <f>AG28-AG31</f>
        <v>0</v>
      </c>
      <c r="AH34" s="18">
        <f>AH28-AH31</f>
        <v>0</v>
      </c>
      <c r="AI34" s="18">
        <f>AI28-AI31</f>
        <v>0</v>
      </c>
    </row>
    <row r="35" spans="1:35" s="47" customFormat="1" ht="12.75">
      <c r="A35" s="45" t="s">
        <v>24</v>
      </c>
      <c r="B35" s="46">
        <f>B19+B25+B34</f>
        <v>4433.453331192055</v>
      </c>
      <c r="C35" s="27"/>
      <c r="D35" s="46">
        <f>D19+D25+D34</f>
        <v>0</v>
      </c>
      <c r="E35" s="46">
        <f aca="true" t="shared" si="19" ref="E35:AF35">E19+E25+E34</f>
        <v>0</v>
      </c>
      <c r="F35" s="46">
        <f t="shared" si="19"/>
        <v>0</v>
      </c>
      <c r="G35" s="46">
        <f t="shared" si="19"/>
        <v>0</v>
      </c>
      <c r="H35" s="46">
        <f t="shared" si="19"/>
        <v>0</v>
      </c>
      <c r="I35" s="46">
        <f t="shared" si="19"/>
        <v>0</v>
      </c>
      <c r="J35" s="46">
        <f t="shared" si="19"/>
        <v>0</v>
      </c>
      <c r="K35" s="46">
        <f t="shared" si="19"/>
        <v>0</v>
      </c>
      <c r="L35" s="46">
        <f t="shared" si="19"/>
        <v>0</v>
      </c>
      <c r="M35" s="46">
        <f t="shared" si="19"/>
        <v>0</v>
      </c>
      <c r="N35" s="46">
        <f t="shared" si="19"/>
        <v>0</v>
      </c>
      <c r="O35" s="46">
        <f t="shared" si="19"/>
        <v>0</v>
      </c>
      <c r="P35" s="46">
        <f t="shared" si="19"/>
        <v>0</v>
      </c>
      <c r="Q35" s="46">
        <f t="shared" si="19"/>
        <v>0</v>
      </c>
      <c r="R35" s="46">
        <f t="shared" si="19"/>
        <v>0</v>
      </c>
      <c r="S35" s="46">
        <f t="shared" si="19"/>
        <v>1096.0818302</v>
      </c>
      <c r="T35" s="46">
        <f t="shared" si="19"/>
        <v>-193.17107168919446</v>
      </c>
      <c r="U35" s="46">
        <f t="shared" si="19"/>
        <v>-192.93617522183334</v>
      </c>
      <c r="V35" s="46">
        <f t="shared" si="19"/>
        <v>147.55458422152776</v>
      </c>
      <c r="W35" s="46">
        <f t="shared" si="19"/>
        <v>147.7894806888889</v>
      </c>
      <c r="X35" s="46">
        <f t="shared" si="19"/>
        <v>148.02437715624998</v>
      </c>
      <c r="Y35" s="46">
        <f t="shared" si="19"/>
        <v>-191.2407263763889</v>
      </c>
      <c r="Z35" s="46">
        <f t="shared" si="19"/>
        <v>-43.32161990902778</v>
      </c>
      <c r="AA35" s="46">
        <f t="shared" si="19"/>
        <v>-43.08672344166667</v>
      </c>
      <c r="AB35" s="46">
        <f t="shared" si="19"/>
        <v>-42.85182697430556</v>
      </c>
      <c r="AC35" s="46">
        <f>AC19+AC25+AC34</f>
        <v>832.8421286542498</v>
      </c>
      <c r="AD35" s="46">
        <f t="shared" si="19"/>
        <v>253.76939705780558</v>
      </c>
      <c r="AE35" s="46">
        <f t="shared" si="19"/>
        <v>669.368361096</v>
      </c>
      <c r="AF35" s="46">
        <f t="shared" si="19"/>
        <v>669.368361096</v>
      </c>
      <c r="AG35" s="46">
        <f>AG19+AG25+AG34</f>
        <v>669.368361096</v>
      </c>
      <c r="AH35" s="46">
        <f>AH19+AH25+AH34</f>
        <v>669.368361096</v>
      </c>
      <c r="AI35" s="46">
        <f>AI19+AI25+AI34</f>
        <v>669.368361096</v>
      </c>
    </row>
    <row r="36" spans="1:46" s="21" customFormat="1" ht="12.75">
      <c r="A36" s="48" t="s">
        <v>53</v>
      </c>
      <c r="B36" s="27">
        <f>B7+B19+B25+B34</f>
        <v>4433.453331192055</v>
      </c>
      <c r="C36" s="49"/>
      <c r="D36" s="50">
        <f aca="true" t="shared" si="20" ref="D36:O36">D7+D19+D25+D34</f>
        <v>0</v>
      </c>
      <c r="E36" s="50">
        <f t="shared" si="20"/>
        <v>0</v>
      </c>
      <c r="F36" s="50">
        <f t="shared" si="20"/>
        <v>0</v>
      </c>
      <c r="G36" s="50">
        <f t="shared" si="20"/>
        <v>0</v>
      </c>
      <c r="H36" s="50">
        <f t="shared" si="20"/>
        <v>0</v>
      </c>
      <c r="I36" s="50">
        <f t="shared" si="20"/>
        <v>0</v>
      </c>
      <c r="J36" s="50">
        <f t="shared" si="20"/>
        <v>0</v>
      </c>
      <c r="K36" s="50">
        <f t="shared" si="20"/>
        <v>0</v>
      </c>
      <c r="L36" s="50">
        <f t="shared" si="20"/>
        <v>0</v>
      </c>
      <c r="M36" s="50">
        <f t="shared" si="20"/>
        <v>0</v>
      </c>
      <c r="N36" s="50">
        <f t="shared" si="20"/>
        <v>0</v>
      </c>
      <c r="O36" s="50">
        <f t="shared" si="20"/>
        <v>0</v>
      </c>
      <c r="P36" s="51">
        <f>O36</f>
        <v>0</v>
      </c>
      <c r="Q36" s="50">
        <f>P36+Q19+Q25+Q34</f>
        <v>0</v>
      </c>
      <c r="R36" s="50">
        <f aca="true" t="shared" si="21" ref="R36:AB36">Q36+R19+R25+R34</f>
        <v>0</v>
      </c>
      <c r="S36" s="50">
        <f t="shared" si="21"/>
        <v>1096.0818302</v>
      </c>
      <c r="T36" s="50">
        <f t="shared" si="21"/>
        <v>902.9107585108056</v>
      </c>
      <c r="U36" s="50">
        <f t="shared" si="21"/>
        <v>709.9745832889723</v>
      </c>
      <c r="V36" s="50">
        <f t="shared" si="21"/>
        <v>857.5291675105</v>
      </c>
      <c r="W36" s="50">
        <f t="shared" si="21"/>
        <v>1005.3186481993887</v>
      </c>
      <c r="X36" s="50">
        <f t="shared" si="21"/>
        <v>1153.3430253556387</v>
      </c>
      <c r="Y36" s="50">
        <f t="shared" si="21"/>
        <v>962.1022989792498</v>
      </c>
      <c r="Z36" s="50">
        <f t="shared" si="21"/>
        <v>918.780679070222</v>
      </c>
      <c r="AA36" s="50">
        <f t="shared" si="21"/>
        <v>875.6939556285554</v>
      </c>
      <c r="AB36" s="50">
        <f t="shared" si="21"/>
        <v>832.8421286542498</v>
      </c>
      <c r="AC36" s="50">
        <f>AB36</f>
        <v>832.8421286542498</v>
      </c>
      <c r="AD36" s="50">
        <f aca="true" t="shared" si="22" ref="AD36:AI36">AC36+AD19+AD25+AD34</f>
        <v>1086.6115257120555</v>
      </c>
      <c r="AE36" s="50">
        <f t="shared" si="22"/>
        <v>1755.9798868080554</v>
      </c>
      <c r="AF36" s="50">
        <f t="shared" si="22"/>
        <v>2425.3482479040554</v>
      </c>
      <c r="AG36" s="50">
        <f t="shared" si="22"/>
        <v>3094.7166090000555</v>
      </c>
      <c r="AH36" s="50">
        <f t="shared" si="22"/>
        <v>3764.0849700960553</v>
      </c>
      <c r="AI36" s="50">
        <f t="shared" si="22"/>
        <v>4433.453331192055</v>
      </c>
      <c r="AJ36" s="7">
        <v>2013</v>
      </c>
      <c r="AK36" s="7">
        <f aca="true" t="shared" si="23" ref="AK36:AN37">AJ36+1</f>
        <v>2014</v>
      </c>
      <c r="AL36" s="7">
        <f t="shared" si="23"/>
        <v>2015</v>
      </c>
      <c r="AM36" s="7">
        <f t="shared" si="23"/>
        <v>2016</v>
      </c>
      <c r="AN36" s="7">
        <f t="shared" si="23"/>
        <v>2017</v>
      </c>
      <c r="AO36" s="7">
        <f aca="true" t="shared" si="24" ref="AO36:AT37">AN36+1</f>
        <v>2018</v>
      </c>
      <c r="AP36" s="7">
        <f t="shared" si="24"/>
        <v>2019</v>
      </c>
      <c r="AQ36" s="7">
        <f t="shared" si="24"/>
        <v>2020</v>
      </c>
      <c r="AR36" s="7">
        <f t="shared" si="24"/>
        <v>2021</v>
      </c>
      <c r="AS36" s="7">
        <f t="shared" si="24"/>
        <v>2022</v>
      </c>
      <c r="AT36" s="7">
        <f t="shared" si="24"/>
        <v>2023</v>
      </c>
    </row>
    <row r="37" spans="1:46" ht="12.75">
      <c r="A37" s="52"/>
      <c r="B37" s="53">
        <f>AI36</f>
        <v>4433.453331192055</v>
      </c>
      <c r="C37" s="54"/>
      <c r="D37" s="55">
        <f aca="true" t="shared" si="25" ref="D37:AI37">D7+D35-D36</f>
        <v>0</v>
      </c>
      <c r="E37" s="55">
        <f t="shared" si="25"/>
        <v>0</v>
      </c>
      <c r="F37" s="55">
        <f t="shared" si="25"/>
        <v>0</v>
      </c>
      <c r="G37" s="55">
        <f t="shared" si="25"/>
        <v>0</v>
      </c>
      <c r="H37" s="55">
        <f t="shared" si="25"/>
        <v>0</v>
      </c>
      <c r="I37" s="55">
        <f t="shared" si="25"/>
        <v>0</v>
      </c>
      <c r="J37" s="55">
        <f t="shared" si="25"/>
        <v>0</v>
      </c>
      <c r="K37" s="55">
        <f t="shared" si="25"/>
        <v>0</v>
      </c>
      <c r="L37" s="55">
        <f t="shared" si="25"/>
        <v>0</v>
      </c>
      <c r="M37" s="55">
        <f t="shared" si="25"/>
        <v>0</v>
      </c>
      <c r="N37" s="55">
        <f t="shared" si="25"/>
        <v>0</v>
      </c>
      <c r="O37" s="55">
        <f t="shared" si="25"/>
        <v>0</v>
      </c>
      <c r="P37" s="55">
        <f t="shared" si="25"/>
        <v>0</v>
      </c>
      <c r="Q37" s="55">
        <f t="shared" si="25"/>
        <v>0</v>
      </c>
      <c r="R37" s="55">
        <f t="shared" si="25"/>
        <v>0</v>
      </c>
      <c r="S37" s="55">
        <f t="shared" si="25"/>
        <v>0</v>
      </c>
      <c r="T37" s="55">
        <f t="shared" si="25"/>
        <v>0</v>
      </c>
      <c r="U37" s="55">
        <f t="shared" si="25"/>
        <v>0</v>
      </c>
      <c r="V37" s="55">
        <f t="shared" si="25"/>
        <v>0</v>
      </c>
      <c r="W37" s="55">
        <f t="shared" si="25"/>
        <v>0</v>
      </c>
      <c r="X37" s="55">
        <f t="shared" si="25"/>
        <v>0</v>
      </c>
      <c r="Y37" s="55">
        <f t="shared" si="25"/>
        <v>0</v>
      </c>
      <c r="Z37" s="55">
        <f t="shared" si="25"/>
        <v>0</v>
      </c>
      <c r="AA37" s="55">
        <f t="shared" si="25"/>
        <v>0</v>
      </c>
      <c r="AB37" s="55">
        <f t="shared" si="25"/>
        <v>0</v>
      </c>
      <c r="AC37" s="55">
        <f t="shared" si="25"/>
        <v>0</v>
      </c>
      <c r="AD37" s="55">
        <f t="shared" si="25"/>
        <v>0</v>
      </c>
      <c r="AE37" s="55">
        <f t="shared" si="25"/>
        <v>0</v>
      </c>
      <c r="AF37" s="55">
        <f t="shared" si="25"/>
        <v>0</v>
      </c>
      <c r="AG37" s="55">
        <f t="shared" si="25"/>
        <v>0</v>
      </c>
      <c r="AH37" s="55">
        <f t="shared" si="25"/>
        <v>0</v>
      </c>
      <c r="AI37" s="55">
        <f t="shared" si="25"/>
        <v>0</v>
      </c>
      <c r="AJ37" s="62">
        <v>0</v>
      </c>
      <c r="AK37" s="62">
        <f t="shared" si="23"/>
        <v>1</v>
      </c>
      <c r="AL37" s="62">
        <f t="shared" si="23"/>
        <v>2</v>
      </c>
      <c r="AM37" s="62">
        <f t="shared" si="23"/>
        <v>3</v>
      </c>
      <c r="AN37" s="62">
        <f t="shared" si="23"/>
        <v>4</v>
      </c>
      <c r="AO37" s="62">
        <f t="shared" si="24"/>
        <v>5</v>
      </c>
      <c r="AP37" s="62">
        <f t="shared" si="24"/>
        <v>6</v>
      </c>
      <c r="AQ37" s="62">
        <f t="shared" si="24"/>
        <v>7</v>
      </c>
      <c r="AR37" s="62">
        <f t="shared" si="24"/>
        <v>8</v>
      </c>
      <c r="AS37" s="62">
        <f t="shared" si="24"/>
        <v>9</v>
      </c>
      <c r="AT37" s="62">
        <f t="shared" si="24"/>
        <v>10</v>
      </c>
    </row>
    <row r="38" spans="1:46" ht="12.75">
      <c r="A38" s="52" t="s">
        <v>59</v>
      </c>
      <c r="B38" s="63">
        <f>B36-B37</f>
        <v>0</v>
      </c>
      <c r="C38" s="54"/>
      <c r="Q38" s="57"/>
      <c r="AJ38" s="57">
        <f>P35</f>
        <v>0</v>
      </c>
      <c r="AK38" s="57">
        <f aca="true" t="shared" si="26" ref="AK38:AP38">AC35</f>
        <v>832.8421286542498</v>
      </c>
      <c r="AL38" s="57">
        <f t="shared" si="26"/>
        <v>253.76939705780558</v>
      </c>
      <c r="AM38" s="57">
        <f t="shared" si="26"/>
        <v>669.368361096</v>
      </c>
      <c r="AN38" s="57">
        <f t="shared" si="26"/>
        <v>669.368361096</v>
      </c>
      <c r="AO38" s="57">
        <f t="shared" si="26"/>
        <v>669.368361096</v>
      </c>
      <c r="AP38" s="57">
        <f t="shared" si="26"/>
        <v>669.368361096</v>
      </c>
      <c r="AQ38" s="57">
        <f>AP38+AH33+AH16</f>
        <v>669.368361096</v>
      </c>
      <c r="AR38" s="57">
        <f>AQ38</f>
        <v>669.368361096</v>
      </c>
      <c r="AS38" s="57">
        <f>AR38</f>
        <v>669.368361096</v>
      </c>
      <c r="AT38" s="57">
        <f>AS38</f>
        <v>669.368361096</v>
      </c>
    </row>
    <row r="39" spans="1:46" ht="12.75">
      <c r="A39" s="52" t="s">
        <v>60</v>
      </c>
      <c r="B39" s="54"/>
      <c r="C39" s="54"/>
      <c r="AJ39" s="57">
        <f>AJ38+P33+P32+P16</f>
        <v>0</v>
      </c>
      <c r="AK39" s="57">
        <f aca="true" t="shared" si="27" ref="AK39:AP39">AK38+AC33+AC32+AC16</f>
        <v>1226.964844248</v>
      </c>
      <c r="AL39" s="57">
        <f t="shared" si="27"/>
        <v>669.3683610960001</v>
      </c>
      <c r="AM39" s="57">
        <f t="shared" si="27"/>
        <v>669.368361096</v>
      </c>
      <c r="AN39" s="57">
        <f t="shared" si="27"/>
        <v>669.368361096</v>
      </c>
      <c r="AO39" s="57">
        <f t="shared" si="27"/>
        <v>669.368361096</v>
      </c>
      <c r="AP39" s="57">
        <f t="shared" si="27"/>
        <v>669.368361096</v>
      </c>
      <c r="AQ39" s="57">
        <f>AQ38+AJ33+AJ32+AJ16</f>
        <v>669.368361096</v>
      </c>
      <c r="AR39" s="57">
        <f>AR38+AK33+AK32+AK16</f>
        <v>669.368361096</v>
      </c>
      <c r="AS39" s="57">
        <f>AS38+AL33+AL32+AL16</f>
        <v>669.368361096</v>
      </c>
      <c r="AT39" s="57">
        <f>AT38+AM33+AM32+AM16</f>
        <v>669.368361096</v>
      </c>
    </row>
    <row r="40" spans="1:46" ht="12.75">
      <c r="A40" s="52" t="s">
        <v>61</v>
      </c>
      <c r="B40" s="54"/>
      <c r="C40" s="54"/>
      <c r="V40" s="57"/>
      <c r="AJ40" s="57">
        <f>P28</f>
        <v>1038.77702</v>
      </c>
      <c r="AK40" s="57">
        <f>AC28</f>
        <v>557.596483152</v>
      </c>
      <c r="AL40" s="57"/>
      <c r="AM40" s="57"/>
      <c r="AN40" s="57"/>
      <c r="AO40" s="57"/>
      <c r="AP40" s="57"/>
      <c r="AQ40" s="57"/>
      <c r="AR40" s="57"/>
      <c r="AS40" s="57"/>
      <c r="AT40" s="57"/>
    </row>
    <row r="41" spans="1:46" ht="12.75">
      <c r="A41" s="64" t="s">
        <v>62</v>
      </c>
      <c r="B41" s="54"/>
      <c r="C41" s="54"/>
      <c r="AJ41" s="65">
        <f aca="true" t="shared" si="28" ref="AJ41:AP41">AJ39-AJ40</f>
        <v>-1038.77702</v>
      </c>
      <c r="AK41" s="65">
        <f t="shared" si="28"/>
        <v>669.368361096</v>
      </c>
      <c r="AL41" s="65">
        <f t="shared" si="28"/>
        <v>669.3683610960001</v>
      </c>
      <c r="AM41" s="65">
        <f t="shared" si="28"/>
        <v>669.368361096</v>
      </c>
      <c r="AN41" s="65">
        <f t="shared" si="28"/>
        <v>669.368361096</v>
      </c>
      <c r="AO41" s="65">
        <f t="shared" si="28"/>
        <v>669.368361096</v>
      </c>
      <c r="AP41" s="65">
        <f t="shared" si="28"/>
        <v>669.368361096</v>
      </c>
      <c r="AQ41" s="65">
        <f>AQ39-AQ40</f>
        <v>669.368361096</v>
      </c>
      <c r="AR41" s="65">
        <f>AR39-AR40</f>
        <v>669.368361096</v>
      </c>
      <c r="AS41" s="65">
        <f>AS39-AS40</f>
        <v>669.368361096</v>
      </c>
      <c r="AT41" s="65">
        <f>AT39-AT40</f>
        <v>669.368361096</v>
      </c>
    </row>
    <row r="42" spans="1:46" ht="12.75">
      <c r="A42" s="66" t="s">
        <v>63</v>
      </c>
      <c r="B42" s="54"/>
      <c r="C42" s="54"/>
      <c r="AJ42" s="67">
        <f>AJ41/(1+Исх!$C$7)^'1-Ф3'!AJ37</f>
        <v>-1038.77702</v>
      </c>
      <c r="AK42" s="67">
        <f>AK41/(1+Исх!$C$7)^'1-Ф3'!AK37</f>
        <v>625.5779075663551</v>
      </c>
      <c r="AL42" s="67">
        <f>AL41/(1+Исх!$C$7)^'1-Ф3'!AL37</f>
        <v>584.6522500620142</v>
      </c>
      <c r="AM42" s="67">
        <f>AM41/(1+Исх!$C$7)^'1-Ф3'!AM37</f>
        <v>546.4039720205739</v>
      </c>
      <c r="AN42" s="67">
        <f>AN41/(1+Исх!$C$7)^'1-Ф3'!AN37</f>
        <v>510.6579177762373</v>
      </c>
      <c r="AO42" s="67">
        <f>AO41/(1+Исх!$C$7)^'1-Ф3'!AO37</f>
        <v>477.25039044508156</v>
      </c>
      <c r="AP42" s="67">
        <f>AP41/(1+Исх!$C$7)^'1-Ф3'!AP37</f>
        <v>446.028402285123</v>
      </c>
      <c r="AQ42" s="67">
        <f>AQ41/(1+Исх!$C$7)^'1-Ф3'!AQ37</f>
        <v>416.8489740982457</v>
      </c>
      <c r="AR42" s="67">
        <f>AR41/(1+Исх!$C$7)^'1-Ф3'!AR37</f>
        <v>389.5784804656502</v>
      </c>
      <c r="AS42" s="67">
        <f>AS41/(1+Исх!$C$7)^'1-Ф3'!AS37</f>
        <v>364.09203781836464</v>
      </c>
      <c r="AT42" s="67">
        <f>AT41/(1+Исх!$C$7)^'1-Ф3'!AT37</f>
        <v>340.27293254052773</v>
      </c>
    </row>
    <row r="43" spans="1:46" ht="12.75">
      <c r="A43" s="64" t="s">
        <v>64</v>
      </c>
      <c r="B43" s="54"/>
      <c r="C43" s="54"/>
      <c r="AJ43" s="65">
        <f>AJ41</f>
        <v>-1038.77702</v>
      </c>
      <c r="AK43" s="65">
        <f aca="true" t="shared" si="29" ref="AK43:AN44">AJ43+AK41</f>
        <v>-369.40865890400005</v>
      </c>
      <c r="AL43" s="65">
        <f t="shared" si="29"/>
        <v>299.959702192</v>
      </c>
      <c r="AM43" s="65">
        <f t="shared" si="29"/>
        <v>969.328063288</v>
      </c>
      <c r="AN43" s="65">
        <f t="shared" si="29"/>
        <v>1638.6964243839998</v>
      </c>
      <c r="AO43" s="65">
        <f aca="true" t="shared" si="30" ref="AO43:AT44">AN43+AO41</f>
        <v>2308.06478548</v>
      </c>
      <c r="AP43" s="65">
        <f t="shared" si="30"/>
        <v>2977.4331465759997</v>
      </c>
      <c r="AQ43" s="65">
        <f t="shared" si="30"/>
        <v>3646.8015076719994</v>
      </c>
      <c r="AR43" s="65">
        <f t="shared" si="30"/>
        <v>4316.169868767999</v>
      </c>
      <c r="AS43" s="65">
        <f t="shared" si="30"/>
        <v>4985.538229863999</v>
      </c>
      <c r="AT43" s="65">
        <f t="shared" si="30"/>
        <v>5654.9065909599985</v>
      </c>
    </row>
    <row r="44" spans="1:46" ht="12.75">
      <c r="A44" s="66" t="s">
        <v>65</v>
      </c>
      <c r="B44" s="54"/>
      <c r="C44" s="54"/>
      <c r="AJ44" s="67">
        <f>AJ42</f>
        <v>-1038.77702</v>
      </c>
      <c r="AK44" s="67">
        <f t="shared" si="29"/>
        <v>-413.1991124336449</v>
      </c>
      <c r="AL44" s="67">
        <f t="shared" si="29"/>
        <v>171.4531376283693</v>
      </c>
      <c r="AM44" s="67">
        <f t="shared" si="29"/>
        <v>717.8571096489432</v>
      </c>
      <c r="AN44" s="67">
        <f t="shared" si="29"/>
        <v>1228.5150274251805</v>
      </c>
      <c r="AO44" s="67">
        <f t="shared" si="30"/>
        <v>1705.7654178702621</v>
      </c>
      <c r="AP44" s="67">
        <f t="shared" si="30"/>
        <v>2151.793820155385</v>
      </c>
      <c r="AQ44" s="67">
        <f t="shared" si="30"/>
        <v>2568.642794253631</v>
      </c>
      <c r="AR44" s="67">
        <f t="shared" si="30"/>
        <v>2958.221274719281</v>
      </c>
      <c r="AS44" s="67">
        <f t="shared" si="30"/>
        <v>3322.3133125376457</v>
      </c>
      <c r="AT44" s="67">
        <f t="shared" si="30"/>
        <v>3662.5862450781733</v>
      </c>
    </row>
    <row r="45" spans="1:46" ht="12.75">
      <c r="A45" s="52" t="s">
        <v>66</v>
      </c>
      <c r="B45" s="54"/>
      <c r="C45" s="54"/>
      <c r="AJ45" s="57">
        <f>NPV(Исх!$C$7,'1-Ф3'!$AJ39:AJ39)</f>
        <v>0</v>
      </c>
      <c r="AK45" s="57">
        <f>NPV(Исх!$C$7,'1-Ф3'!$AJ39:AK39)</f>
        <v>1071.6786131959122</v>
      </c>
      <c r="AL45" s="57">
        <f>NPV(Исх!$C$7,'1-Ф3'!$AJ39:AL39)</f>
        <v>1618.0825852164862</v>
      </c>
      <c r="AM45" s="57">
        <f>NPV(Исх!$C$7,'1-Ф3'!$AJ39:AM39)</f>
        <v>2128.740502992723</v>
      </c>
      <c r="AN45" s="57">
        <f>NPV(Исх!$C$7,'1-Ф3'!$AJ39:AN39)</f>
        <v>2605.990893437805</v>
      </c>
      <c r="AO45" s="57">
        <f>NPV(Исх!$C$7,'1-Ф3'!$AJ39:AO39)</f>
        <v>3052.019295722928</v>
      </c>
      <c r="AP45" s="57">
        <f>NPV(Исх!$C$7,'1-Ф3'!$AJ39:AP39)</f>
        <v>3468.8682698211733</v>
      </c>
      <c r="AQ45" s="57">
        <f>NPV(Исх!$C$7,'1-Ф3'!$AJ39:AQ39)</f>
        <v>3858.4467502868238</v>
      </c>
      <c r="AR45" s="57">
        <f>NPV(Исх!$C$7,'1-Ф3'!$AJ39:AR39)</f>
        <v>4222.538788105188</v>
      </c>
      <c r="AS45" s="57">
        <f>NPV(Исх!$C$7,'1-Ф3'!$AJ39:AS39)</f>
        <v>4562.811720645716</v>
      </c>
      <c r="AT45" s="57">
        <f>NPV(Исх!$C$7,'1-Ф3'!$AJ39:AT39)</f>
        <v>4880.823807132191</v>
      </c>
    </row>
    <row r="46" spans="1:46" ht="12.75">
      <c r="A46" s="52" t="s">
        <v>67</v>
      </c>
      <c r="B46" s="54"/>
      <c r="C46" s="54"/>
      <c r="AJ46" s="57">
        <f>NPV(Исх!$C$7,'1-Ф3'!$AJ40:AJ40)</f>
        <v>970.819644859813</v>
      </c>
      <c r="AK46" s="57">
        <f>NPV(Исх!$C$7,'1-Ф3'!$AJ40:AK40)</f>
        <v>1457.846007993711</v>
      </c>
      <c r="AL46" s="57">
        <f>NPV(Исх!$C$7,'1-Ф3'!$AJ40:AL40)</f>
        <v>1457.846007993711</v>
      </c>
      <c r="AM46" s="57">
        <f>NPV(Исх!$C$7,'1-Ф3'!$AJ40:AM40)</f>
        <v>1457.846007993711</v>
      </c>
      <c r="AN46" s="57">
        <f>NPV(Исх!$C$7,'1-Ф3'!$AJ40:AN40)</f>
        <v>1457.846007993711</v>
      </c>
      <c r="AO46" s="57">
        <f>NPV(Исх!$C$7,'1-Ф3'!$AJ40:AO40)</f>
        <v>1457.846007993711</v>
      </c>
      <c r="AP46" s="57">
        <f>NPV(Исх!$C$7,'1-Ф3'!$AJ40:AP40)</f>
        <v>1457.846007993711</v>
      </c>
      <c r="AQ46" s="57">
        <f>NPV(Исх!$C$7,'1-Ф3'!$AJ40:AQ40)</f>
        <v>1457.846007993711</v>
      </c>
      <c r="AR46" s="57">
        <f>NPV(Исх!$C$7,'1-Ф3'!$AJ40:AR40)</f>
        <v>1457.846007993711</v>
      </c>
      <c r="AS46" s="57">
        <f>NPV(Исх!$C$7,'1-Ф3'!$AJ40:AS40)</f>
        <v>1457.846007993711</v>
      </c>
      <c r="AT46" s="57">
        <f>NPV(Исх!$C$7,'1-Ф3'!$AJ40:AT40)</f>
        <v>1457.846007993711</v>
      </c>
    </row>
    <row r="47" spans="1:46" ht="12.75">
      <c r="A47" s="52" t="s">
        <v>68</v>
      </c>
      <c r="B47" s="54"/>
      <c r="C47" s="54"/>
      <c r="AJ47" s="57">
        <f aca="true" t="shared" si="31" ref="AJ47:AP47">AJ45-AJ46</f>
        <v>-970.819644859813</v>
      </c>
      <c r="AK47" s="57">
        <f t="shared" si="31"/>
        <v>-386.1673947977988</v>
      </c>
      <c r="AL47" s="57">
        <f t="shared" si="31"/>
        <v>160.23657722277517</v>
      </c>
      <c r="AM47" s="57">
        <f t="shared" si="31"/>
        <v>670.8944949990121</v>
      </c>
      <c r="AN47" s="57">
        <f t="shared" si="31"/>
        <v>1148.144885444094</v>
      </c>
      <c r="AO47" s="57">
        <f t="shared" si="31"/>
        <v>1594.1732877292168</v>
      </c>
      <c r="AP47" s="57">
        <f t="shared" si="31"/>
        <v>2011.0222618274622</v>
      </c>
      <c r="AQ47" s="57">
        <f>AQ45-AQ46</f>
        <v>2400.6007422931125</v>
      </c>
      <c r="AR47" s="57">
        <f>AR45-AR46</f>
        <v>2764.692780111477</v>
      </c>
      <c r="AS47" s="57">
        <f>AS45-AS46</f>
        <v>3104.965712652005</v>
      </c>
      <c r="AT47" s="57">
        <f>AT45-AT46</f>
        <v>3422.97779913848</v>
      </c>
    </row>
    <row r="48" spans="1:46" ht="12.75">
      <c r="A48" s="52" t="s">
        <v>69</v>
      </c>
      <c r="B48" s="54"/>
      <c r="C48" s="54"/>
      <c r="AJ48" s="68">
        <f aca="true" t="shared" si="32" ref="AJ48:AP48">AJ45/AJ46</f>
        <v>0</v>
      </c>
      <c r="AK48" s="68">
        <f t="shared" si="32"/>
        <v>0.7351109838210946</v>
      </c>
      <c r="AL48" s="68">
        <f t="shared" si="32"/>
        <v>1.1099132393573536</v>
      </c>
      <c r="AM48" s="68">
        <f t="shared" si="32"/>
        <v>1.4601957211669412</v>
      </c>
      <c r="AN48" s="68">
        <f t="shared" si="32"/>
        <v>1.7875625265964625</v>
      </c>
      <c r="AO48" s="68">
        <f t="shared" si="32"/>
        <v>2.0935128120446134</v>
      </c>
      <c r="AP48" s="68">
        <f t="shared" si="32"/>
        <v>2.379447658257838</v>
      </c>
      <c r="AQ48" s="68">
        <f>AQ45/AQ46</f>
        <v>2.646676486494497</v>
      </c>
      <c r="AR48" s="68">
        <f>AR45/AR46</f>
        <v>2.8964230549399725</v>
      </c>
      <c r="AS48" s="68">
        <f>AS45/AS46</f>
        <v>3.129831062832941</v>
      </c>
      <c r="AT48" s="68">
        <f>AT45/AT46</f>
        <v>3.3479693879665557</v>
      </c>
    </row>
    <row r="49" spans="1:46" ht="12.75">
      <c r="A49" s="52" t="s">
        <v>70</v>
      </c>
      <c r="B49" s="54"/>
      <c r="C49" s="54"/>
      <c r="AG49" s="69" t="str">
        <f>IF(ISERROR(IRR($AJ41:AJ$41))," ",IF(IRR($AJ41:AJ$41)&lt;0," ",IRR($AJ41:AJ$41)))</f>
        <v> </v>
      </c>
      <c r="AH49" s="69"/>
      <c r="AI49" s="69"/>
      <c r="AJ49" s="69" t="str">
        <f>IF(ISERROR(IRR($AJ41:AJ$41))," ",IF(IRR($AJ41:AJ$41)&lt;0," ",IRR($AJ41:AJ$41)))</f>
        <v> </v>
      </c>
      <c r="AK49" s="69" t="str">
        <f>IF(ISERROR(IRR($AJ41:AK$41))," ",IF(IRR($AJ41:AK$41)&lt;0," ",IRR($AJ41:AK$41)))</f>
        <v> </v>
      </c>
      <c r="AL49" s="69">
        <f>IF(ISERROR(IRR($AJ41:AL$41))," ",IF(IRR($AJ41:AL$41)&lt;0," ",IRR($AJ41:AL$41)))</f>
        <v>0.18716917619819173</v>
      </c>
      <c r="AM49" s="69">
        <f>IF(ISERROR(IRR($AJ41:AM$41))," ",IF(IRR($AJ41:AM$41)&lt;0," ",IRR($AJ41:AM$41)))</f>
        <v>0.4187240541951365</v>
      </c>
      <c r="AN49" s="69">
        <f>IF(ISERROR(IRR($AJ41:AN$41))," ",IF(IRR($AJ41:AN$41)&lt;0," ",IRR($AJ41:AN$41)))</f>
        <v>0.5253483720603938</v>
      </c>
      <c r="AO49" s="69">
        <f>IF(ISERROR(IRR($AJ41:AO$41))," ",IF(IRR($AJ41:AO$41)&lt;0," ",IRR($AJ41:AO$41)))</f>
        <v>0.578661055848708</v>
      </c>
      <c r="AP49" s="69">
        <f>IF(ISERROR(IRR($AJ41:AP$41))," ",IF(IRR($AJ41:AP$41)&lt;0," ",IRR($AJ41:AP$41)))</f>
        <v>0.6069605029020464</v>
      </c>
      <c r="AQ49" s="69">
        <f>IF(ISERROR(IRR($AJ41:AQ$41))," ",IF(IRR($AJ41:AQ$41)&lt;0," ",IRR($AJ41:AQ$41)))</f>
        <v>0.6226231711573258</v>
      </c>
      <c r="AR49" s="69">
        <f>IF(ISERROR(IRR($AJ41:AR$41))," ",IF(IRR($AJ41:AR$41)&lt;0," ",IRR($AJ41:AR$41)))</f>
        <v>0.6315476926656101</v>
      </c>
      <c r="AS49" s="69">
        <f>IF(ISERROR(IRR($AJ41:AS$41))," ",IF(IRR($AJ41:AS$41)&lt;0," ",IRR($AJ41:AS$41)))</f>
        <v>0.6367369653653427</v>
      </c>
      <c r="AT49" s="69">
        <f>IF(ISERROR(IRR($AJ41:AT$41))," ",IF(IRR($AJ41:AT$41)&lt;0," ",IRR($AJ41:AT$41)))</f>
        <v>0.6397972130105012</v>
      </c>
    </row>
    <row r="50" spans="1:3" ht="12.75">
      <c r="A50" s="70" t="s">
        <v>32</v>
      </c>
      <c r="B50" s="58">
        <f>AJ37-AJ43/AK41</f>
        <v>1.5518764859144873</v>
      </c>
      <c r="C50" s="54"/>
    </row>
    <row r="51" spans="1:3" ht="12.75">
      <c r="A51" s="70" t="s">
        <v>27</v>
      </c>
      <c r="B51" s="58">
        <f>AJ37-AJ44/AK42</f>
        <v>1.6605078399285014</v>
      </c>
      <c r="C51" s="54"/>
    </row>
    <row r="52" spans="1:3" ht="12.75">
      <c r="A52" s="52"/>
      <c r="B52" s="54"/>
      <c r="C52" s="54"/>
    </row>
    <row r="53" spans="1:3" ht="12.75">
      <c r="A53" s="52"/>
      <c r="B53" s="54"/>
      <c r="C53" s="54"/>
    </row>
    <row r="54" spans="1:3" ht="12.75">
      <c r="A54" s="52"/>
      <c r="B54" s="54"/>
      <c r="C54" s="54"/>
    </row>
    <row r="55" spans="1:3" ht="12.75">
      <c r="A55" s="52"/>
      <c r="B55" s="54"/>
      <c r="C55" s="54"/>
    </row>
    <row r="56" spans="1:3" ht="12.75">
      <c r="A56" s="52"/>
      <c r="B56" s="54"/>
      <c r="C56" s="54"/>
    </row>
    <row r="57" spans="1:3" ht="12.75">
      <c r="A57" s="52"/>
      <c r="B57" s="54"/>
      <c r="C57" s="54"/>
    </row>
    <row r="58" spans="1:3" ht="12.75">
      <c r="A58" s="52"/>
      <c r="B58" s="54"/>
      <c r="C58" s="54"/>
    </row>
    <row r="59" spans="1:3" ht="12.75">
      <c r="A59" s="52"/>
      <c r="B59" s="54"/>
      <c r="C59" s="54"/>
    </row>
    <row r="60" spans="1:3" ht="12.75">
      <c r="A60" s="52"/>
      <c r="B60" s="54"/>
      <c r="C60" s="54"/>
    </row>
    <row r="61" spans="1:3" ht="12.75">
      <c r="A61" s="52"/>
      <c r="B61" s="54"/>
      <c r="C61" s="54"/>
    </row>
    <row r="62" spans="1:3" ht="12.75">
      <c r="A62" s="52"/>
      <c r="B62" s="54"/>
      <c r="C62" s="54"/>
    </row>
    <row r="63" spans="1:3" ht="12.75">
      <c r="A63" s="52"/>
      <c r="B63" s="54"/>
      <c r="C63" s="54"/>
    </row>
    <row r="64" spans="1:3" ht="12.75">
      <c r="A64" s="52"/>
      <c r="B64" s="54"/>
      <c r="C64" s="54"/>
    </row>
    <row r="65" spans="1:3" ht="12.75">
      <c r="A65" s="52"/>
      <c r="B65" s="54"/>
      <c r="C65" s="54"/>
    </row>
    <row r="66" spans="1:3" ht="12.75">
      <c r="A66" s="52"/>
      <c r="B66" s="54"/>
      <c r="C66" s="54"/>
    </row>
    <row r="67" spans="1:3" ht="12.75">
      <c r="A67" s="52"/>
      <c r="B67" s="54"/>
      <c r="C67" s="54"/>
    </row>
    <row r="68" spans="1:3" ht="12.75">
      <c r="A68" s="52"/>
      <c r="B68" s="54"/>
      <c r="C68" s="54"/>
    </row>
    <row r="69" spans="1:3" ht="12.75">
      <c r="A69" s="52"/>
      <c r="B69" s="54"/>
      <c r="C69" s="54"/>
    </row>
    <row r="70" spans="1:3" ht="12.75">
      <c r="A70" s="52"/>
      <c r="B70" s="54"/>
      <c r="C70" s="54"/>
    </row>
    <row r="71" spans="1:3" ht="12.75">
      <c r="A71" s="52"/>
      <c r="B71" s="54"/>
      <c r="C71" s="54"/>
    </row>
    <row r="72" spans="1:3" ht="12.75">
      <c r="A72" s="52"/>
      <c r="B72" s="54"/>
      <c r="C72" s="54"/>
    </row>
    <row r="73" spans="1:3" ht="12.75">
      <c r="A73" s="52"/>
      <c r="B73" s="54"/>
      <c r="C73" s="54"/>
    </row>
    <row r="74" spans="1:3" ht="12.75">
      <c r="A74" s="52"/>
      <c r="B74" s="54"/>
      <c r="C74" s="54"/>
    </row>
    <row r="75" spans="1:3" ht="12.75">
      <c r="A75" s="52"/>
      <c r="B75" s="54"/>
      <c r="C75" s="54"/>
    </row>
    <row r="76" spans="1:3" ht="12.75">
      <c r="A76" s="52"/>
      <c r="B76" s="54"/>
      <c r="C76" s="54"/>
    </row>
    <row r="77" spans="1:3" ht="12.75">
      <c r="A77" s="52"/>
      <c r="B77" s="54"/>
      <c r="C77" s="54"/>
    </row>
    <row r="78" spans="1:3" ht="12.75">
      <c r="A78" s="52"/>
      <c r="B78" s="54"/>
      <c r="C78" s="54"/>
    </row>
    <row r="79" spans="1:3" ht="12.75">
      <c r="A79" s="52"/>
      <c r="B79" s="54"/>
      <c r="C79" s="54"/>
    </row>
    <row r="80" spans="1:3" ht="12.75">
      <c r="A80" s="52"/>
      <c r="B80" s="54"/>
      <c r="C80" s="54"/>
    </row>
    <row r="81" spans="1:3" ht="12.75">
      <c r="A81" s="52"/>
      <c r="B81" s="54"/>
      <c r="C81" s="54"/>
    </row>
    <row r="82" spans="1:3" ht="12.75">
      <c r="A82" s="52"/>
      <c r="B82" s="54"/>
      <c r="C82" s="54"/>
    </row>
    <row r="83" spans="1:3" ht="12.75">
      <c r="A83" s="52"/>
      <c r="B83" s="54"/>
      <c r="C83" s="54"/>
    </row>
    <row r="84" spans="1:3" ht="12.75">
      <c r="A84" s="52"/>
      <c r="B84" s="54"/>
      <c r="C84" s="54"/>
    </row>
    <row r="85" spans="1:3" ht="12.75">
      <c r="A85" s="52"/>
      <c r="B85" s="54"/>
      <c r="C85" s="54"/>
    </row>
    <row r="86" spans="1:3" ht="12.75">
      <c r="A86" s="52"/>
      <c r="B86" s="54"/>
      <c r="C86" s="54"/>
    </row>
    <row r="87" spans="1:3" ht="12.75">
      <c r="A87" s="52"/>
      <c r="B87" s="54"/>
      <c r="C87" s="54"/>
    </row>
    <row r="88" spans="1:3" ht="12.75">
      <c r="A88" s="52"/>
      <c r="B88" s="54"/>
      <c r="C88" s="54"/>
    </row>
    <row r="89" spans="1:3" ht="12.75">
      <c r="A89" s="52"/>
      <c r="B89" s="54"/>
      <c r="C89" s="54"/>
    </row>
    <row r="90" spans="1:3" ht="12.75">
      <c r="A90" s="52"/>
      <c r="B90" s="54"/>
      <c r="C90" s="54"/>
    </row>
    <row r="91" spans="1:3" ht="12.75">
      <c r="A91" s="52"/>
      <c r="B91" s="54"/>
      <c r="C91" s="54"/>
    </row>
    <row r="92" spans="1:3" ht="12.75">
      <c r="A92" s="52"/>
      <c r="B92" s="54"/>
      <c r="C92" s="54"/>
    </row>
    <row r="93" spans="1:3" ht="12.75">
      <c r="A93" s="52"/>
      <c r="B93" s="54"/>
      <c r="C93" s="54"/>
    </row>
    <row r="94" spans="1:3" ht="12.75">
      <c r="A94" s="52"/>
      <c r="B94" s="54"/>
      <c r="C94" s="54"/>
    </row>
    <row r="95" spans="1:3" ht="12.75">
      <c r="A95" s="52"/>
      <c r="B95" s="54"/>
      <c r="C95" s="54"/>
    </row>
    <row r="96" spans="1:3" ht="12.75">
      <c r="A96" s="52"/>
      <c r="B96" s="54"/>
      <c r="C96" s="54"/>
    </row>
    <row r="97" spans="1:3" ht="12.75">
      <c r="A97" s="52"/>
      <c r="B97" s="54"/>
      <c r="C97" s="54"/>
    </row>
    <row r="98" spans="1:3" ht="12.75">
      <c r="A98" s="52"/>
      <c r="B98" s="54"/>
      <c r="C98" s="54"/>
    </row>
    <row r="99" spans="1:3" ht="12.75">
      <c r="A99" s="52"/>
      <c r="B99" s="54"/>
      <c r="C99" s="54"/>
    </row>
    <row r="100" spans="1:3" ht="12.75">
      <c r="A100" s="52"/>
      <c r="B100" s="54"/>
      <c r="C100" s="54"/>
    </row>
    <row r="101" spans="1:3" ht="12.75">
      <c r="A101" s="52"/>
      <c r="B101" s="54"/>
      <c r="C101" s="54"/>
    </row>
    <row r="102" spans="1:3" ht="12.75">
      <c r="A102" s="52"/>
      <c r="B102" s="54"/>
      <c r="C102" s="54"/>
    </row>
    <row r="103" spans="1:3" ht="12.75">
      <c r="A103" s="52"/>
      <c r="B103" s="54"/>
      <c r="C103" s="54"/>
    </row>
    <row r="104" spans="1:3" ht="12.75">
      <c r="A104" s="52"/>
      <c r="B104" s="54"/>
      <c r="C104" s="54"/>
    </row>
    <row r="105" spans="1:3" ht="12.75">
      <c r="A105" s="52"/>
      <c r="B105" s="54"/>
      <c r="C105" s="54"/>
    </row>
    <row r="106" spans="1:3" ht="12.75">
      <c r="A106" s="52"/>
      <c r="B106" s="54"/>
      <c r="C106" s="54"/>
    </row>
    <row r="107" spans="1:3" ht="12.75">
      <c r="A107" s="52"/>
      <c r="B107" s="54"/>
      <c r="C107" s="54"/>
    </row>
    <row r="108" spans="1:3" ht="12.75">
      <c r="A108" s="52"/>
      <c r="B108" s="54"/>
      <c r="C108" s="54"/>
    </row>
    <row r="109" spans="1:3" ht="12.75">
      <c r="A109" s="52"/>
      <c r="B109" s="54"/>
      <c r="C109" s="54"/>
    </row>
    <row r="110" spans="1:3" ht="12.75">
      <c r="A110" s="52"/>
      <c r="B110" s="54"/>
      <c r="C110" s="54"/>
    </row>
    <row r="111" spans="1:3" ht="12.75">
      <c r="A111" s="52"/>
      <c r="B111" s="54"/>
      <c r="C111" s="54"/>
    </row>
    <row r="112" spans="1:3" ht="12.75">
      <c r="A112" s="52"/>
      <c r="B112" s="54"/>
      <c r="C112" s="54"/>
    </row>
    <row r="113" spans="1:3" ht="12.75">
      <c r="A113" s="52"/>
      <c r="B113" s="54"/>
      <c r="C113" s="54"/>
    </row>
    <row r="114" spans="1:3" ht="12.75">
      <c r="A114" s="52"/>
      <c r="B114" s="54"/>
      <c r="C114" s="54"/>
    </row>
    <row r="115" spans="1:3" ht="12.75">
      <c r="A115" s="52"/>
      <c r="B115" s="54"/>
      <c r="C115" s="54"/>
    </row>
    <row r="116" spans="1:3" ht="12.75">
      <c r="A116" s="52"/>
      <c r="B116" s="54"/>
      <c r="C116" s="54"/>
    </row>
    <row r="117" spans="1:3" ht="12.75">
      <c r="A117" s="52"/>
      <c r="B117" s="54"/>
      <c r="C117" s="54"/>
    </row>
    <row r="118" spans="1:3" ht="12.75">
      <c r="A118" s="52"/>
      <c r="B118" s="54"/>
      <c r="C118" s="54"/>
    </row>
    <row r="119" spans="1:3" ht="12.75">
      <c r="A119" s="52"/>
      <c r="B119" s="54"/>
      <c r="C119" s="54"/>
    </row>
    <row r="120" spans="1:3" ht="12.75">
      <c r="A120" s="52"/>
      <c r="B120" s="54"/>
      <c r="C120" s="54"/>
    </row>
    <row r="121" spans="1:3" ht="12.75">
      <c r="A121" s="52"/>
      <c r="B121" s="54"/>
      <c r="C121" s="54"/>
    </row>
    <row r="122" spans="1:3" ht="12.75">
      <c r="A122" s="52"/>
      <c r="B122" s="54"/>
      <c r="C122" s="54"/>
    </row>
    <row r="123" spans="1:3" ht="12.75">
      <c r="A123" s="52"/>
      <c r="B123" s="54"/>
      <c r="C123" s="54"/>
    </row>
    <row r="124" spans="1:3" ht="12.75">
      <c r="A124" s="52"/>
      <c r="B124" s="54"/>
      <c r="C124" s="54"/>
    </row>
    <row r="125" spans="1:3" ht="12.75">
      <c r="A125" s="52"/>
      <c r="B125" s="54"/>
      <c r="C125" s="54"/>
    </row>
    <row r="126" spans="1:3" ht="12.75">
      <c r="A126" s="52"/>
      <c r="B126" s="54"/>
      <c r="C126" s="54"/>
    </row>
    <row r="127" spans="1:3" ht="12.75">
      <c r="A127" s="52"/>
      <c r="B127" s="54"/>
      <c r="C127" s="54"/>
    </row>
    <row r="128" spans="1:3" ht="12.75">
      <c r="A128" s="52"/>
      <c r="B128" s="54"/>
      <c r="C128" s="54"/>
    </row>
    <row r="129" spans="1:3" ht="12.75">
      <c r="A129" s="52"/>
      <c r="B129" s="54"/>
      <c r="C129" s="54"/>
    </row>
    <row r="130" spans="1:3" ht="12.75">
      <c r="A130" s="52"/>
      <c r="B130" s="54"/>
      <c r="C130" s="54"/>
    </row>
    <row r="131" spans="1:3" ht="12.75">
      <c r="A131" s="52"/>
      <c r="B131" s="54"/>
      <c r="C131" s="54"/>
    </row>
    <row r="132" spans="1:3" ht="12.75">
      <c r="A132" s="52"/>
      <c r="B132" s="54"/>
      <c r="C132" s="54"/>
    </row>
    <row r="133" spans="1:3" ht="12.75">
      <c r="A133" s="52"/>
      <c r="B133" s="54"/>
      <c r="C133" s="54"/>
    </row>
    <row r="134" spans="1:3" ht="12.75">
      <c r="A134" s="52"/>
      <c r="B134" s="54"/>
      <c r="C134" s="54"/>
    </row>
    <row r="135" spans="1:3" ht="12.75">
      <c r="A135" s="52"/>
      <c r="B135" s="54"/>
      <c r="C135" s="54"/>
    </row>
    <row r="136" spans="1:3" ht="12.75">
      <c r="A136" s="52"/>
      <c r="B136" s="54"/>
      <c r="C136" s="54"/>
    </row>
    <row r="137" spans="1:3" ht="12.75">
      <c r="A137" s="52"/>
      <c r="B137" s="54"/>
      <c r="C137" s="54"/>
    </row>
    <row r="138" spans="1:3" ht="12.75">
      <c r="A138" s="52"/>
      <c r="B138" s="54"/>
      <c r="C138" s="54"/>
    </row>
    <row r="139" spans="1:3" ht="12.75">
      <c r="A139" s="52"/>
      <c r="B139" s="54"/>
      <c r="C139" s="54"/>
    </row>
    <row r="140" spans="1:3" ht="12.75">
      <c r="A140" s="52"/>
      <c r="B140" s="54"/>
      <c r="C140" s="54"/>
    </row>
    <row r="141" spans="1:3" ht="12.75">
      <c r="A141" s="52"/>
      <c r="B141" s="54"/>
      <c r="C141" s="54"/>
    </row>
    <row r="142" spans="1:3" ht="12.75">
      <c r="A142" s="52"/>
      <c r="B142" s="54"/>
      <c r="C142" s="54"/>
    </row>
    <row r="143" spans="1:3" ht="12.75">
      <c r="A143" s="52"/>
      <c r="B143" s="54"/>
      <c r="C143" s="54"/>
    </row>
  </sheetData>
  <sheetProtection/>
  <mergeCells count="4">
    <mergeCell ref="A5:A6"/>
    <mergeCell ref="B5:B6"/>
    <mergeCell ref="D5:P5"/>
    <mergeCell ref="Q5:AC5"/>
  </mergeCells>
  <printOptions/>
  <pageMargins left="0.4330708661417323" right="0.2755905511811024" top="0.7086614173228347" bottom="0.35433070866141736" header="0.4330708661417323" footer="0.2362204724409449"/>
  <pageSetup horizontalDpi="600" verticalDpi="600" orientation="landscape" paperSize="9" r:id="rId1"/>
  <headerFooter alignWithMargins="0">
    <oddHeader>&amp;RПриложение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2:DC17"/>
  <sheetViews>
    <sheetView showGridLines="0" zoomScalePageLayoutView="0" workbookViewId="0" topLeftCell="A1">
      <pane xSplit="2" ySplit="6" topLeftCell="O7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O18" sqref="AO18"/>
    </sheetView>
  </sheetViews>
  <sheetFormatPr defaultColWidth="9.00390625" defaultRowHeight="12.75" outlineLevelRow="1" outlineLevelCol="1"/>
  <cols>
    <col min="1" max="1" width="23.25390625" style="172" customWidth="1"/>
    <col min="2" max="2" width="12.125" style="172" customWidth="1"/>
    <col min="3" max="14" width="9.125" style="172" hidden="1" customWidth="1" outlineLevel="1"/>
    <col min="15" max="15" width="10.125" style="173" bestFit="1" customWidth="1" collapsed="1"/>
    <col min="16" max="27" width="9.125" style="172" hidden="1" customWidth="1" outlineLevel="1"/>
    <col min="28" max="28" width="10.125" style="173" bestFit="1" customWidth="1" collapsed="1"/>
    <col min="29" max="40" width="9.125" style="172" hidden="1" customWidth="1" outlineLevel="1"/>
    <col min="41" max="41" width="10.125" style="173" bestFit="1" customWidth="1" collapsed="1"/>
    <col min="42" max="47" width="9.125" style="172" hidden="1" customWidth="1" outlineLevel="1"/>
    <col min="48" max="48" width="9.25390625" style="172" hidden="1" customWidth="1" outlineLevel="1"/>
    <col min="49" max="53" width="8.75390625" style="172" hidden="1" customWidth="1" outlineLevel="1"/>
    <col min="54" max="54" width="10.125" style="173" hidden="1" customWidth="1" collapsed="1"/>
    <col min="55" max="66" width="8.75390625" style="172" hidden="1" customWidth="1" outlineLevel="1"/>
    <col min="67" max="67" width="10.125" style="173" hidden="1" customWidth="1" collapsed="1"/>
    <col min="68" max="79" width="8.75390625" style="172" hidden="1" customWidth="1" outlineLevel="1"/>
    <col min="80" max="80" width="10.125" style="173" hidden="1" customWidth="1" collapsed="1"/>
    <col min="81" max="92" width="8.75390625" style="172" hidden="1" customWidth="1" outlineLevel="1"/>
    <col min="93" max="93" width="10.125" style="173" hidden="1" customWidth="1" collapsed="1"/>
    <col min="94" max="105" width="8.75390625" style="172" hidden="1" customWidth="1" outlineLevel="1"/>
    <col min="106" max="106" width="10.125" style="173" hidden="1" customWidth="1" collapsed="1"/>
    <col min="107" max="16384" width="9.125" style="172" customWidth="1"/>
  </cols>
  <sheetData>
    <row r="1" ht="9.75" customHeight="1"/>
    <row r="2" spans="1:15" ht="18.75" customHeight="1">
      <c r="A2" s="173" t="s">
        <v>98</v>
      </c>
      <c r="B2" s="174"/>
      <c r="D2" s="175"/>
      <c r="E2" s="175"/>
      <c r="F2" s="176"/>
      <c r="G2" s="175"/>
      <c r="O2" s="177"/>
    </row>
    <row r="3" spans="1:15" ht="13.5" customHeight="1">
      <c r="A3" s="178"/>
      <c r="B3" s="174"/>
      <c r="D3" s="175"/>
      <c r="E3" s="175"/>
      <c r="F3" s="176"/>
      <c r="G3" s="175"/>
      <c r="O3" s="177"/>
    </row>
    <row r="4" spans="1:2" ht="12.75">
      <c r="A4" s="297"/>
      <c r="B4" s="298"/>
    </row>
    <row r="5" spans="1:106" ht="15.75" customHeight="1">
      <c r="A5" s="179" t="s">
        <v>10</v>
      </c>
      <c r="B5" s="299">
        <f>Исх!C42</f>
        <v>0.07</v>
      </c>
      <c r="C5" s="333">
        <v>2013</v>
      </c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>
        <v>2014</v>
      </c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>
        <v>2015</v>
      </c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>
        <v>2016</v>
      </c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>
        <v>2017</v>
      </c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>
        <v>2018</v>
      </c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>
        <v>2019</v>
      </c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>
        <v>2020</v>
      </c>
      <c r="CQ5" s="333"/>
      <c r="CR5" s="333"/>
      <c r="CS5" s="333"/>
      <c r="CT5" s="333"/>
      <c r="CU5" s="333"/>
      <c r="CV5" s="333"/>
      <c r="CW5" s="333"/>
      <c r="CX5" s="333"/>
      <c r="CY5" s="333"/>
      <c r="CZ5" s="333"/>
      <c r="DA5" s="333"/>
      <c r="DB5" s="333"/>
    </row>
    <row r="6" spans="1:106" s="184" customFormat="1" ht="15" customHeight="1">
      <c r="A6" s="180" t="s">
        <v>8</v>
      </c>
      <c r="B6" s="181" t="s">
        <v>86</v>
      </c>
      <c r="C6" s="182">
        <v>1</v>
      </c>
      <c r="D6" s="182">
        <v>2</v>
      </c>
      <c r="E6" s="182">
        <f>D6+1</f>
        <v>3</v>
      </c>
      <c r="F6" s="182">
        <f aca="true" t="shared" si="0" ref="F6:N6">E6+1</f>
        <v>4</v>
      </c>
      <c r="G6" s="182">
        <f t="shared" si="0"/>
        <v>5</v>
      </c>
      <c r="H6" s="182">
        <f t="shared" si="0"/>
        <v>6</v>
      </c>
      <c r="I6" s="182">
        <f t="shared" si="0"/>
        <v>7</v>
      </c>
      <c r="J6" s="182">
        <f t="shared" si="0"/>
        <v>8</v>
      </c>
      <c r="K6" s="182">
        <f t="shared" si="0"/>
        <v>9</v>
      </c>
      <c r="L6" s="182">
        <f t="shared" si="0"/>
        <v>10</v>
      </c>
      <c r="M6" s="182">
        <f t="shared" si="0"/>
        <v>11</v>
      </c>
      <c r="N6" s="182">
        <f t="shared" si="0"/>
        <v>12</v>
      </c>
      <c r="O6" s="183" t="s">
        <v>0</v>
      </c>
      <c r="P6" s="182">
        <v>1</v>
      </c>
      <c r="Q6" s="182">
        <v>2</v>
      </c>
      <c r="R6" s="182">
        <f>Q6+1</f>
        <v>3</v>
      </c>
      <c r="S6" s="182">
        <f aca="true" t="shared" si="1" ref="S6:AA6">R6+1</f>
        <v>4</v>
      </c>
      <c r="T6" s="182">
        <f t="shared" si="1"/>
        <v>5</v>
      </c>
      <c r="U6" s="182">
        <f t="shared" si="1"/>
        <v>6</v>
      </c>
      <c r="V6" s="182">
        <f t="shared" si="1"/>
        <v>7</v>
      </c>
      <c r="W6" s="182">
        <f t="shared" si="1"/>
        <v>8</v>
      </c>
      <c r="X6" s="182">
        <f t="shared" si="1"/>
        <v>9</v>
      </c>
      <c r="Y6" s="182">
        <f t="shared" si="1"/>
        <v>10</v>
      </c>
      <c r="Z6" s="182">
        <f t="shared" si="1"/>
        <v>11</v>
      </c>
      <c r="AA6" s="182">
        <f t="shared" si="1"/>
        <v>12</v>
      </c>
      <c r="AB6" s="183" t="s">
        <v>0</v>
      </c>
      <c r="AC6" s="182">
        <v>1</v>
      </c>
      <c r="AD6" s="182">
        <v>2</v>
      </c>
      <c r="AE6" s="182">
        <f aca="true" t="shared" si="2" ref="AE6:BN6">AD6+1</f>
        <v>3</v>
      </c>
      <c r="AF6" s="182">
        <f t="shared" si="2"/>
        <v>4</v>
      </c>
      <c r="AG6" s="182">
        <f t="shared" si="2"/>
        <v>5</v>
      </c>
      <c r="AH6" s="182">
        <f t="shared" si="2"/>
        <v>6</v>
      </c>
      <c r="AI6" s="182">
        <f t="shared" si="2"/>
        <v>7</v>
      </c>
      <c r="AJ6" s="182">
        <f t="shared" si="2"/>
        <v>8</v>
      </c>
      <c r="AK6" s="182">
        <f t="shared" si="2"/>
        <v>9</v>
      </c>
      <c r="AL6" s="182">
        <f t="shared" si="2"/>
        <v>10</v>
      </c>
      <c r="AM6" s="182">
        <f t="shared" si="2"/>
        <v>11</v>
      </c>
      <c r="AN6" s="182">
        <f t="shared" si="2"/>
        <v>12</v>
      </c>
      <c r="AO6" s="183" t="s">
        <v>0</v>
      </c>
      <c r="AP6" s="182">
        <v>1</v>
      </c>
      <c r="AQ6" s="182">
        <v>2</v>
      </c>
      <c r="AR6" s="182">
        <f>AQ6+1</f>
        <v>3</v>
      </c>
      <c r="AS6" s="182">
        <f t="shared" si="2"/>
        <v>4</v>
      </c>
      <c r="AT6" s="182">
        <f t="shared" si="2"/>
        <v>5</v>
      </c>
      <c r="AU6" s="182">
        <f t="shared" si="2"/>
        <v>6</v>
      </c>
      <c r="AV6" s="182">
        <f t="shared" si="2"/>
        <v>7</v>
      </c>
      <c r="AW6" s="182">
        <f t="shared" si="2"/>
        <v>8</v>
      </c>
      <c r="AX6" s="182">
        <f t="shared" si="2"/>
        <v>9</v>
      </c>
      <c r="AY6" s="182">
        <f t="shared" si="2"/>
        <v>10</v>
      </c>
      <c r="AZ6" s="182">
        <f t="shared" si="2"/>
        <v>11</v>
      </c>
      <c r="BA6" s="182">
        <f t="shared" si="2"/>
        <v>12</v>
      </c>
      <c r="BB6" s="183" t="s">
        <v>0</v>
      </c>
      <c r="BC6" s="182">
        <v>1</v>
      </c>
      <c r="BD6" s="182">
        <v>2</v>
      </c>
      <c r="BE6" s="182">
        <f>BD6+1</f>
        <v>3</v>
      </c>
      <c r="BF6" s="182">
        <f t="shared" si="2"/>
        <v>4</v>
      </c>
      <c r="BG6" s="182">
        <f t="shared" si="2"/>
        <v>5</v>
      </c>
      <c r="BH6" s="182">
        <f t="shared" si="2"/>
        <v>6</v>
      </c>
      <c r="BI6" s="182">
        <f t="shared" si="2"/>
        <v>7</v>
      </c>
      <c r="BJ6" s="182">
        <f t="shared" si="2"/>
        <v>8</v>
      </c>
      <c r="BK6" s="182">
        <f t="shared" si="2"/>
        <v>9</v>
      </c>
      <c r="BL6" s="182">
        <f t="shared" si="2"/>
        <v>10</v>
      </c>
      <c r="BM6" s="182">
        <f t="shared" si="2"/>
        <v>11</v>
      </c>
      <c r="BN6" s="182">
        <f t="shared" si="2"/>
        <v>12</v>
      </c>
      <c r="BO6" s="183" t="s">
        <v>0</v>
      </c>
      <c r="BP6" s="182">
        <v>1</v>
      </c>
      <c r="BQ6" s="182">
        <v>2</v>
      </c>
      <c r="BR6" s="182">
        <f aca="true" t="shared" si="3" ref="BR6:CA6">BQ6+1</f>
        <v>3</v>
      </c>
      <c r="BS6" s="182">
        <f t="shared" si="3"/>
        <v>4</v>
      </c>
      <c r="BT6" s="182">
        <f t="shared" si="3"/>
        <v>5</v>
      </c>
      <c r="BU6" s="182">
        <f t="shared" si="3"/>
        <v>6</v>
      </c>
      <c r="BV6" s="182">
        <f t="shared" si="3"/>
        <v>7</v>
      </c>
      <c r="BW6" s="182">
        <f t="shared" si="3"/>
        <v>8</v>
      </c>
      <c r="BX6" s="182">
        <f t="shared" si="3"/>
        <v>9</v>
      </c>
      <c r="BY6" s="182">
        <f t="shared" si="3"/>
        <v>10</v>
      </c>
      <c r="BZ6" s="182">
        <f t="shared" si="3"/>
        <v>11</v>
      </c>
      <c r="CA6" s="182">
        <f t="shared" si="3"/>
        <v>12</v>
      </c>
      <c r="CB6" s="183" t="s">
        <v>0</v>
      </c>
      <c r="CC6" s="182">
        <v>1</v>
      </c>
      <c r="CD6" s="182">
        <v>2</v>
      </c>
      <c r="CE6" s="182">
        <f aca="true" t="shared" si="4" ref="CE6:CN6">CD6+1</f>
        <v>3</v>
      </c>
      <c r="CF6" s="182">
        <f t="shared" si="4"/>
        <v>4</v>
      </c>
      <c r="CG6" s="182">
        <f t="shared" si="4"/>
        <v>5</v>
      </c>
      <c r="CH6" s="182">
        <f t="shared" si="4"/>
        <v>6</v>
      </c>
      <c r="CI6" s="182">
        <f t="shared" si="4"/>
        <v>7</v>
      </c>
      <c r="CJ6" s="182">
        <f t="shared" si="4"/>
        <v>8</v>
      </c>
      <c r="CK6" s="182">
        <f t="shared" si="4"/>
        <v>9</v>
      </c>
      <c r="CL6" s="182">
        <f t="shared" si="4"/>
        <v>10</v>
      </c>
      <c r="CM6" s="182">
        <f t="shared" si="4"/>
        <v>11</v>
      </c>
      <c r="CN6" s="182">
        <f t="shared" si="4"/>
        <v>12</v>
      </c>
      <c r="CO6" s="183" t="s">
        <v>0</v>
      </c>
      <c r="CP6" s="182">
        <v>1</v>
      </c>
      <c r="CQ6" s="182">
        <v>2</v>
      </c>
      <c r="CR6" s="182">
        <f aca="true" t="shared" si="5" ref="CR6:DA6">CQ6+1</f>
        <v>3</v>
      </c>
      <c r="CS6" s="182">
        <f t="shared" si="5"/>
        <v>4</v>
      </c>
      <c r="CT6" s="182">
        <f t="shared" si="5"/>
        <v>5</v>
      </c>
      <c r="CU6" s="182">
        <f t="shared" si="5"/>
        <v>6</v>
      </c>
      <c r="CV6" s="182">
        <f t="shared" si="5"/>
        <v>7</v>
      </c>
      <c r="CW6" s="182">
        <f t="shared" si="5"/>
        <v>8</v>
      </c>
      <c r="CX6" s="182">
        <f t="shared" si="5"/>
        <v>9</v>
      </c>
      <c r="CY6" s="182">
        <f t="shared" si="5"/>
        <v>10</v>
      </c>
      <c r="CZ6" s="182">
        <f t="shared" si="5"/>
        <v>11</v>
      </c>
      <c r="DA6" s="182">
        <f t="shared" si="5"/>
        <v>12</v>
      </c>
      <c r="DB6" s="183" t="s">
        <v>0</v>
      </c>
    </row>
    <row r="7" spans="1:107" ht="12.75">
      <c r="A7" s="180" t="s">
        <v>106</v>
      </c>
      <c r="B7" s="185">
        <f>O7+AB7+AO7+BB7+BO7+CB7+CO7+DB7</f>
        <v>743.4086000000001</v>
      </c>
      <c r="C7" s="186"/>
      <c r="D7" s="186"/>
      <c r="E7" s="186"/>
      <c r="F7" s="186"/>
      <c r="G7" s="186"/>
      <c r="H7" s="186"/>
      <c r="I7" s="186"/>
      <c r="J7" s="186"/>
      <c r="K7" s="186"/>
      <c r="L7" s="186">
        <f>'1-Ф3'!M30</f>
        <v>743.4086000000001</v>
      </c>
      <c r="M7" s="186"/>
      <c r="N7" s="186"/>
      <c r="O7" s="187">
        <f>SUM(C7:N7)</f>
        <v>743.4086000000001</v>
      </c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7">
        <f>SUM(P7:AA7)</f>
        <v>0</v>
      </c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8"/>
    </row>
    <row r="8" spans="1:106" s="189" customFormat="1" ht="20.25" customHeight="1">
      <c r="A8" s="180" t="s">
        <v>29</v>
      </c>
      <c r="B8" s="185">
        <f>O8+AB8+AO8+BB8+BO8+CB8+CO8+DB8</f>
        <v>21.68275083333334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7">
        <f>SUM(C8:N8)</f>
        <v>0</v>
      </c>
      <c r="P8" s="186"/>
      <c r="Q8" s="186"/>
      <c r="R8" s="186">
        <f>SUM(O9:R9)</f>
        <v>21.68275083333334</v>
      </c>
      <c r="S8" s="186"/>
      <c r="T8" s="186"/>
      <c r="U8" s="186"/>
      <c r="V8" s="186"/>
      <c r="W8" s="186"/>
      <c r="X8" s="186"/>
      <c r="Y8" s="186"/>
      <c r="Z8" s="186"/>
      <c r="AA8" s="186"/>
      <c r="AB8" s="187">
        <f>SUM(P8:AA8)</f>
        <v>21.68275083333334</v>
      </c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7">
        <f>SUM(AC8:AN8)</f>
        <v>0</v>
      </c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7">
        <f>SUM(AP8:BA8)</f>
        <v>0</v>
      </c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7">
        <f>SUM(BC8:BN8)</f>
        <v>0</v>
      </c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7">
        <f>SUM(BP8:CA8)</f>
        <v>0</v>
      </c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7">
        <f>SUM(CC8:CN8)</f>
        <v>0</v>
      </c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7">
        <f>SUM(CP8:DA8)</f>
        <v>0</v>
      </c>
    </row>
    <row r="9" spans="1:106" s="189" customFormat="1" ht="12.75">
      <c r="A9" s="190" t="s">
        <v>11</v>
      </c>
      <c r="B9" s="185">
        <f>O9+AB9+AO9+BB9+BO9+CB9+CO9+DB9</f>
        <v>66.31307963194438</v>
      </c>
      <c r="C9" s="186"/>
      <c r="D9" s="186">
        <f>C12*$B$5/12</f>
        <v>0</v>
      </c>
      <c r="E9" s="186">
        <f>D12*$B$5/12</f>
        <v>0</v>
      </c>
      <c r="F9" s="186">
        <f>E12*$B$5/12</f>
        <v>0</v>
      </c>
      <c r="G9" s="186">
        <f>F12*$B$5/12</f>
        <v>0</v>
      </c>
      <c r="H9" s="186">
        <f>G12*$B$5/12</f>
        <v>0</v>
      </c>
      <c r="I9" s="186">
        <f aca="true" t="shared" si="6" ref="I9:AA9">H12*$B$5/12</f>
        <v>0</v>
      </c>
      <c r="J9" s="186">
        <f t="shared" si="6"/>
        <v>0</v>
      </c>
      <c r="K9" s="186">
        <f t="shared" si="6"/>
        <v>0</v>
      </c>
      <c r="L9" s="186">
        <f>K12*$B$5/12</f>
        <v>0</v>
      </c>
      <c r="M9" s="186">
        <f t="shared" si="6"/>
        <v>4.336550166666668</v>
      </c>
      <c r="N9" s="186">
        <f t="shared" si="6"/>
        <v>4.336550166666668</v>
      </c>
      <c r="O9" s="187">
        <f>SUM(C9:N9)</f>
        <v>8.673100333333336</v>
      </c>
      <c r="P9" s="186">
        <f t="shared" si="6"/>
        <v>4.336550166666668</v>
      </c>
      <c r="Q9" s="186">
        <f t="shared" si="6"/>
        <v>4.336550166666668</v>
      </c>
      <c r="R9" s="186">
        <f t="shared" si="6"/>
        <v>4.336550166666668</v>
      </c>
      <c r="S9" s="186">
        <f t="shared" si="6"/>
        <v>4.463032879861112</v>
      </c>
      <c r="T9" s="186">
        <f t="shared" si="6"/>
        <v>4.228136412500001</v>
      </c>
      <c r="U9" s="186">
        <f t="shared" si="6"/>
        <v>3.9932399451388894</v>
      </c>
      <c r="V9" s="186">
        <f t="shared" si="6"/>
        <v>3.758343477777778</v>
      </c>
      <c r="W9" s="186">
        <f t="shared" si="6"/>
        <v>3.523447010416667</v>
      </c>
      <c r="X9" s="186">
        <f t="shared" si="6"/>
        <v>3.288550543055555</v>
      </c>
      <c r="Y9" s="186">
        <f t="shared" si="6"/>
        <v>3.053654075694444</v>
      </c>
      <c r="Z9" s="186">
        <f t="shared" si="6"/>
        <v>2.8187576083333323</v>
      </c>
      <c r="AA9" s="186">
        <f t="shared" si="6"/>
        <v>2.5838611409722216</v>
      </c>
      <c r="AB9" s="187">
        <f>SUM(P9:AA9)</f>
        <v>44.720673593750014</v>
      </c>
      <c r="AC9" s="186">
        <f aca="true" t="shared" si="7" ref="AC9:AN9">AB12*$B$5/12</f>
        <v>2.3489646736111105</v>
      </c>
      <c r="AD9" s="186">
        <f t="shared" si="7"/>
        <v>2.1140682062499994</v>
      </c>
      <c r="AE9" s="186">
        <f t="shared" si="7"/>
        <v>1.8791717388888882</v>
      </c>
      <c r="AF9" s="186">
        <f t="shared" si="7"/>
        <v>1.6442752715277769</v>
      </c>
      <c r="AG9" s="186">
        <f t="shared" si="7"/>
        <v>1.409378804166666</v>
      </c>
      <c r="AH9" s="186">
        <f t="shared" si="7"/>
        <v>1.1744823368055546</v>
      </c>
      <c r="AI9" s="186">
        <f t="shared" si="7"/>
        <v>0.9395858694444436</v>
      </c>
      <c r="AJ9" s="186">
        <f t="shared" si="7"/>
        <v>0.7046894020833324</v>
      </c>
      <c r="AK9" s="186">
        <f t="shared" si="7"/>
        <v>0.46979293472222133</v>
      </c>
      <c r="AL9" s="186">
        <f t="shared" si="7"/>
        <v>0.23489646736111014</v>
      </c>
      <c r="AM9" s="186">
        <f t="shared" si="7"/>
        <v>-9.947598300641404E-16</v>
      </c>
      <c r="AN9" s="186">
        <f t="shared" si="7"/>
        <v>-9.947598300641404E-16</v>
      </c>
      <c r="AO9" s="187">
        <f>SUM(AC9:AN9)</f>
        <v>12.9193057048611</v>
      </c>
      <c r="AP9" s="186">
        <f aca="true" t="shared" si="8" ref="AP9:BA9">AO12*$B$5/12</f>
        <v>-9.947598300641404E-16</v>
      </c>
      <c r="AQ9" s="186">
        <f t="shared" si="8"/>
        <v>-9.947598300641404E-16</v>
      </c>
      <c r="AR9" s="186">
        <f t="shared" si="8"/>
        <v>-9.947598300641404E-16</v>
      </c>
      <c r="AS9" s="186">
        <f t="shared" si="8"/>
        <v>-9.947598300641404E-16</v>
      </c>
      <c r="AT9" s="186">
        <f t="shared" si="8"/>
        <v>-9.947598300641404E-16</v>
      </c>
      <c r="AU9" s="186">
        <f t="shared" si="8"/>
        <v>-9.947598300641404E-16</v>
      </c>
      <c r="AV9" s="186">
        <f t="shared" si="8"/>
        <v>-9.947598300641404E-16</v>
      </c>
      <c r="AW9" s="186">
        <f t="shared" si="8"/>
        <v>-9.947598300641404E-16</v>
      </c>
      <c r="AX9" s="186">
        <f t="shared" si="8"/>
        <v>-9.947598300641404E-16</v>
      </c>
      <c r="AY9" s="186">
        <f t="shared" si="8"/>
        <v>-9.947598300641404E-16</v>
      </c>
      <c r="AZ9" s="186">
        <f t="shared" si="8"/>
        <v>-9.947598300641404E-16</v>
      </c>
      <c r="BA9" s="186">
        <f t="shared" si="8"/>
        <v>-9.947598300641404E-16</v>
      </c>
      <c r="BB9" s="187">
        <f>SUM(AP9:BA9)</f>
        <v>-1.1937117960769687E-14</v>
      </c>
      <c r="BC9" s="186">
        <f aca="true" t="shared" si="9" ref="BC9:BN9">BB12*$B$5/12</f>
        <v>-9.947598300641404E-16</v>
      </c>
      <c r="BD9" s="186">
        <f t="shared" si="9"/>
        <v>-9.947598300641404E-16</v>
      </c>
      <c r="BE9" s="186">
        <f t="shared" si="9"/>
        <v>-9.947598300641404E-16</v>
      </c>
      <c r="BF9" s="186">
        <f t="shared" si="9"/>
        <v>-9.947598300641404E-16</v>
      </c>
      <c r="BG9" s="186">
        <f t="shared" si="9"/>
        <v>-9.947598300641404E-16</v>
      </c>
      <c r="BH9" s="186">
        <f t="shared" si="9"/>
        <v>-9.947598300641404E-16</v>
      </c>
      <c r="BI9" s="186">
        <f t="shared" si="9"/>
        <v>-9.947598300641404E-16</v>
      </c>
      <c r="BJ9" s="186">
        <f t="shared" si="9"/>
        <v>-9.947598300641404E-16</v>
      </c>
      <c r="BK9" s="186">
        <f t="shared" si="9"/>
        <v>-9.947598300641404E-16</v>
      </c>
      <c r="BL9" s="186">
        <f t="shared" si="9"/>
        <v>-9.947598300641404E-16</v>
      </c>
      <c r="BM9" s="186">
        <f t="shared" si="9"/>
        <v>-9.947598300641404E-16</v>
      </c>
      <c r="BN9" s="186">
        <f t="shared" si="9"/>
        <v>-9.947598300641404E-16</v>
      </c>
      <c r="BO9" s="187">
        <f>SUM(BC9:BN9)</f>
        <v>-1.1937117960769687E-14</v>
      </c>
      <c r="BP9" s="186">
        <f aca="true" t="shared" si="10" ref="BP9:CA9">BO12*$B$5/12</f>
        <v>-9.947598300641404E-16</v>
      </c>
      <c r="BQ9" s="186">
        <f t="shared" si="10"/>
        <v>-9.947598300641404E-16</v>
      </c>
      <c r="BR9" s="186">
        <f t="shared" si="10"/>
        <v>-9.947598300641404E-16</v>
      </c>
      <c r="BS9" s="186">
        <f t="shared" si="10"/>
        <v>-9.947598300641404E-16</v>
      </c>
      <c r="BT9" s="186">
        <f t="shared" si="10"/>
        <v>-9.947598300641404E-16</v>
      </c>
      <c r="BU9" s="186">
        <f t="shared" si="10"/>
        <v>-9.947598300641404E-16</v>
      </c>
      <c r="BV9" s="186">
        <f t="shared" si="10"/>
        <v>-9.947598300641404E-16</v>
      </c>
      <c r="BW9" s="186">
        <f t="shared" si="10"/>
        <v>-9.947598300641404E-16</v>
      </c>
      <c r="BX9" s="186">
        <f t="shared" si="10"/>
        <v>-9.947598300641404E-16</v>
      </c>
      <c r="BY9" s="186">
        <f t="shared" si="10"/>
        <v>-9.947598300641404E-16</v>
      </c>
      <c r="BZ9" s="186">
        <f t="shared" si="10"/>
        <v>-9.947598300641404E-16</v>
      </c>
      <c r="CA9" s="186">
        <f t="shared" si="10"/>
        <v>-9.947598300641404E-16</v>
      </c>
      <c r="CB9" s="187">
        <f>SUM(BP9:CA9)</f>
        <v>-1.1937117960769687E-14</v>
      </c>
      <c r="CC9" s="186">
        <f aca="true" t="shared" si="11" ref="CC9:CN9">CB12*$B$5/12</f>
        <v>-9.947598300641404E-16</v>
      </c>
      <c r="CD9" s="186">
        <f t="shared" si="11"/>
        <v>-9.947598300641404E-16</v>
      </c>
      <c r="CE9" s="186">
        <f t="shared" si="11"/>
        <v>-9.947598300641404E-16</v>
      </c>
      <c r="CF9" s="186">
        <f t="shared" si="11"/>
        <v>-9.947598300641404E-16</v>
      </c>
      <c r="CG9" s="186">
        <f t="shared" si="11"/>
        <v>-9.947598300641404E-16</v>
      </c>
      <c r="CH9" s="186">
        <f t="shared" si="11"/>
        <v>-9.947598300641404E-16</v>
      </c>
      <c r="CI9" s="186">
        <f t="shared" si="11"/>
        <v>-9.947598300641404E-16</v>
      </c>
      <c r="CJ9" s="186">
        <f t="shared" si="11"/>
        <v>-9.947598300641404E-16</v>
      </c>
      <c r="CK9" s="186">
        <f t="shared" si="11"/>
        <v>-9.947598300641404E-16</v>
      </c>
      <c r="CL9" s="186">
        <f t="shared" si="11"/>
        <v>-9.947598300641404E-16</v>
      </c>
      <c r="CM9" s="186">
        <f t="shared" si="11"/>
        <v>-9.947598300641404E-16</v>
      </c>
      <c r="CN9" s="186">
        <f t="shared" si="11"/>
        <v>-9.947598300641404E-16</v>
      </c>
      <c r="CO9" s="187">
        <f>SUM(CC9:CN9)</f>
        <v>-1.1937117960769687E-14</v>
      </c>
      <c r="CP9" s="186">
        <f aca="true" t="shared" si="12" ref="CP9:DA9">CO12*$B$5/12</f>
        <v>-9.947598300641404E-16</v>
      </c>
      <c r="CQ9" s="186">
        <f t="shared" si="12"/>
        <v>-9.947598300641404E-16</v>
      </c>
      <c r="CR9" s="186">
        <f t="shared" si="12"/>
        <v>-9.947598300641404E-16</v>
      </c>
      <c r="CS9" s="186">
        <f t="shared" si="12"/>
        <v>-9.947598300641404E-16</v>
      </c>
      <c r="CT9" s="186">
        <f t="shared" si="12"/>
        <v>-9.947598300641404E-16</v>
      </c>
      <c r="CU9" s="186">
        <f t="shared" si="12"/>
        <v>-9.947598300641404E-16</v>
      </c>
      <c r="CV9" s="186">
        <f t="shared" si="12"/>
        <v>-9.947598300641404E-16</v>
      </c>
      <c r="CW9" s="186">
        <f t="shared" si="12"/>
        <v>-9.947598300641404E-16</v>
      </c>
      <c r="CX9" s="186">
        <f t="shared" si="12"/>
        <v>-9.947598300641404E-16</v>
      </c>
      <c r="CY9" s="186">
        <f t="shared" si="12"/>
        <v>-9.947598300641404E-16</v>
      </c>
      <c r="CZ9" s="186">
        <f t="shared" si="12"/>
        <v>-9.947598300641404E-16</v>
      </c>
      <c r="DA9" s="186">
        <f t="shared" si="12"/>
        <v>-9.947598300641404E-16</v>
      </c>
      <c r="DB9" s="187">
        <f>SUM(CP9:DA9)</f>
        <v>-1.1937117960769687E-14</v>
      </c>
    </row>
    <row r="10" spans="1:107" ht="12.75">
      <c r="A10" s="180" t="s">
        <v>12</v>
      </c>
      <c r="B10" s="185">
        <f>O10+AB10+AO10+BB10+BO10+CB10+CO10+DB10</f>
        <v>765.0913508333333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91"/>
      <c r="N10" s="191"/>
      <c r="O10" s="187">
        <f>SUM(C10:N10)</f>
        <v>0</v>
      </c>
      <c r="P10" s="191"/>
      <c r="Q10" s="191"/>
      <c r="R10" s="191"/>
      <c r="S10" s="186">
        <f aca="true" t="shared" si="13" ref="S10:AA10">$R$12/$B$13</f>
        <v>40.267965833333335</v>
      </c>
      <c r="T10" s="186">
        <f t="shared" si="13"/>
        <v>40.267965833333335</v>
      </c>
      <c r="U10" s="186">
        <f t="shared" si="13"/>
        <v>40.267965833333335</v>
      </c>
      <c r="V10" s="186">
        <f t="shared" si="13"/>
        <v>40.267965833333335</v>
      </c>
      <c r="W10" s="186">
        <f t="shared" si="13"/>
        <v>40.267965833333335</v>
      </c>
      <c r="X10" s="186">
        <f t="shared" si="13"/>
        <v>40.267965833333335</v>
      </c>
      <c r="Y10" s="186">
        <f t="shared" si="13"/>
        <v>40.267965833333335</v>
      </c>
      <c r="Z10" s="186">
        <f t="shared" si="13"/>
        <v>40.267965833333335</v>
      </c>
      <c r="AA10" s="186">
        <f t="shared" si="13"/>
        <v>40.267965833333335</v>
      </c>
      <c r="AB10" s="187">
        <f>SUM(P10:AA10)</f>
        <v>362.4116925</v>
      </c>
      <c r="AC10" s="186">
        <f aca="true" t="shared" si="14" ref="AC10:AL10">$R$12/$B$13</f>
        <v>40.267965833333335</v>
      </c>
      <c r="AD10" s="186">
        <f t="shared" si="14"/>
        <v>40.267965833333335</v>
      </c>
      <c r="AE10" s="186">
        <f t="shared" si="14"/>
        <v>40.267965833333335</v>
      </c>
      <c r="AF10" s="186">
        <f t="shared" si="14"/>
        <v>40.267965833333335</v>
      </c>
      <c r="AG10" s="186">
        <f t="shared" si="14"/>
        <v>40.267965833333335</v>
      </c>
      <c r="AH10" s="186">
        <f t="shared" si="14"/>
        <v>40.267965833333335</v>
      </c>
      <c r="AI10" s="186">
        <f t="shared" si="14"/>
        <v>40.267965833333335</v>
      </c>
      <c r="AJ10" s="186">
        <f t="shared" si="14"/>
        <v>40.267965833333335</v>
      </c>
      <c r="AK10" s="186">
        <f t="shared" si="14"/>
        <v>40.267965833333335</v>
      </c>
      <c r="AL10" s="186">
        <f t="shared" si="14"/>
        <v>40.267965833333335</v>
      </c>
      <c r="AM10" s="186"/>
      <c r="AN10" s="186"/>
      <c r="AO10" s="187">
        <f>SUM(AC10:AN10)</f>
        <v>402.67965833333335</v>
      </c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7">
        <f>SUM(AP10:BA10)</f>
        <v>0</v>
      </c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7">
        <f>SUM(BC10:BN10)</f>
        <v>0</v>
      </c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7">
        <f>SUM(BP10:CA10)</f>
        <v>0</v>
      </c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7">
        <f>SUM(CC10:CN10)</f>
        <v>0</v>
      </c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7">
        <f>SUM(CP10:DA10)</f>
        <v>0</v>
      </c>
      <c r="DC10" s="188"/>
    </row>
    <row r="11" spans="1:107" ht="12.75">
      <c r="A11" s="180" t="s">
        <v>13</v>
      </c>
      <c r="B11" s="185">
        <f>O11+AB11+AO11+BB11+BO11+CB11+CO11+DB11</f>
        <v>44.630328798611025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91"/>
      <c r="N11" s="191"/>
      <c r="O11" s="187">
        <f>SUM(C11:N11)</f>
        <v>0</v>
      </c>
      <c r="P11" s="191"/>
      <c r="Q11" s="191"/>
      <c r="R11" s="191"/>
      <c r="S11" s="186">
        <f>S9</f>
        <v>4.463032879861112</v>
      </c>
      <c r="T11" s="186">
        <f aca="true" t="shared" si="15" ref="T11:BN11">T9</f>
        <v>4.228136412500001</v>
      </c>
      <c r="U11" s="186">
        <f t="shared" si="15"/>
        <v>3.9932399451388894</v>
      </c>
      <c r="V11" s="186">
        <f t="shared" si="15"/>
        <v>3.758343477777778</v>
      </c>
      <c r="W11" s="186">
        <f t="shared" si="15"/>
        <v>3.523447010416667</v>
      </c>
      <c r="X11" s="186">
        <f t="shared" si="15"/>
        <v>3.288550543055555</v>
      </c>
      <c r="Y11" s="186">
        <f t="shared" si="15"/>
        <v>3.053654075694444</v>
      </c>
      <c r="Z11" s="186">
        <f t="shared" si="15"/>
        <v>2.8187576083333323</v>
      </c>
      <c r="AA11" s="186">
        <f t="shared" si="15"/>
        <v>2.5838611409722216</v>
      </c>
      <c r="AB11" s="187">
        <f>SUM(P11:AA11)</f>
        <v>31.711023093749997</v>
      </c>
      <c r="AC11" s="186">
        <f t="shared" si="15"/>
        <v>2.3489646736111105</v>
      </c>
      <c r="AD11" s="186">
        <f t="shared" si="15"/>
        <v>2.1140682062499994</v>
      </c>
      <c r="AE11" s="186">
        <f t="shared" si="15"/>
        <v>1.8791717388888882</v>
      </c>
      <c r="AF11" s="186">
        <f t="shared" si="15"/>
        <v>1.6442752715277769</v>
      </c>
      <c r="AG11" s="186">
        <f t="shared" si="15"/>
        <v>1.409378804166666</v>
      </c>
      <c r="AH11" s="186">
        <f t="shared" si="15"/>
        <v>1.1744823368055546</v>
      </c>
      <c r="AI11" s="186">
        <f t="shared" si="15"/>
        <v>0.9395858694444436</v>
      </c>
      <c r="AJ11" s="186">
        <f t="shared" si="15"/>
        <v>0.7046894020833324</v>
      </c>
      <c r="AK11" s="186">
        <f t="shared" si="15"/>
        <v>0.46979293472222133</v>
      </c>
      <c r="AL11" s="186">
        <f t="shared" si="15"/>
        <v>0.23489646736111014</v>
      </c>
      <c r="AM11" s="186">
        <f t="shared" si="15"/>
        <v>-9.947598300641404E-16</v>
      </c>
      <c r="AN11" s="186">
        <f t="shared" si="15"/>
        <v>-9.947598300641404E-16</v>
      </c>
      <c r="AO11" s="187">
        <f>SUM(AC11:AN11)</f>
        <v>12.9193057048611</v>
      </c>
      <c r="AP11" s="186">
        <f t="shared" si="15"/>
        <v>-9.947598300641404E-16</v>
      </c>
      <c r="AQ11" s="186">
        <f t="shared" si="15"/>
        <v>-9.947598300641404E-16</v>
      </c>
      <c r="AR11" s="186">
        <f t="shared" si="15"/>
        <v>-9.947598300641404E-16</v>
      </c>
      <c r="AS11" s="186">
        <f t="shared" si="15"/>
        <v>-9.947598300641404E-16</v>
      </c>
      <c r="AT11" s="186">
        <f t="shared" si="15"/>
        <v>-9.947598300641404E-16</v>
      </c>
      <c r="AU11" s="186">
        <f t="shared" si="15"/>
        <v>-9.947598300641404E-16</v>
      </c>
      <c r="AV11" s="186">
        <f t="shared" si="15"/>
        <v>-9.947598300641404E-16</v>
      </c>
      <c r="AW11" s="186">
        <f t="shared" si="15"/>
        <v>-9.947598300641404E-16</v>
      </c>
      <c r="AX11" s="186">
        <f t="shared" si="15"/>
        <v>-9.947598300641404E-16</v>
      </c>
      <c r="AY11" s="186">
        <f t="shared" si="15"/>
        <v>-9.947598300641404E-16</v>
      </c>
      <c r="AZ11" s="186">
        <f t="shared" si="15"/>
        <v>-9.947598300641404E-16</v>
      </c>
      <c r="BA11" s="186">
        <f t="shared" si="15"/>
        <v>-9.947598300641404E-16</v>
      </c>
      <c r="BB11" s="187">
        <f>SUM(AP11:BA11)</f>
        <v>-1.1937117960769687E-14</v>
      </c>
      <c r="BC11" s="186">
        <f t="shared" si="15"/>
        <v>-9.947598300641404E-16</v>
      </c>
      <c r="BD11" s="186">
        <f t="shared" si="15"/>
        <v>-9.947598300641404E-16</v>
      </c>
      <c r="BE11" s="186">
        <f t="shared" si="15"/>
        <v>-9.947598300641404E-16</v>
      </c>
      <c r="BF11" s="186">
        <f t="shared" si="15"/>
        <v>-9.947598300641404E-16</v>
      </c>
      <c r="BG11" s="186">
        <f t="shared" si="15"/>
        <v>-9.947598300641404E-16</v>
      </c>
      <c r="BH11" s="186">
        <f t="shared" si="15"/>
        <v>-9.947598300641404E-16</v>
      </c>
      <c r="BI11" s="186">
        <f t="shared" si="15"/>
        <v>-9.947598300641404E-16</v>
      </c>
      <c r="BJ11" s="186">
        <f t="shared" si="15"/>
        <v>-9.947598300641404E-16</v>
      </c>
      <c r="BK11" s="186">
        <f t="shared" si="15"/>
        <v>-9.947598300641404E-16</v>
      </c>
      <c r="BL11" s="186">
        <f t="shared" si="15"/>
        <v>-9.947598300641404E-16</v>
      </c>
      <c r="BM11" s="186">
        <f t="shared" si="15"/>
        <v>-9.947598300641404E-16</v>
      </c>
      <c r="BN11" s="186">
        <f t="shared" si="15"/>
        <v>-9.947598300641404E-16</v>
      </c>
      <c r="BO11" s="187">
        <f>SUM(BC11:BN11)</f>
        <v>-1.1937117960769687E-14</v>
      </c>
      <c r="BP11" s="186">
        <f aca="true" t="shared" si="16" ref="BP11:CA11">BP9</f>
        <v>-9.947598300641404E-16</v>
      </c>
      <c r="BQ11" s="186">
        <f t="shared" si="16"/>
        <v>-9.947598300641404E-16</v>
      </c>
      <c r="BR11" s="186">
        <f t="shared" si="16"/>
        <v>-9.947598300641404E-16</v>
      </c>
      <c r="BS11" s="186">
        <f t="shared" si="16"/>
        <v>-9.947598300641404E-16</v>
      </c>
      <c r="BT11" s="186">
        <f t="shared" si="16"/>
        <v>-9.947598300641404E-16</v>
      </c>
      <c r="BU11" s="186">
        <f t="shared" si="16"/>
        <v>-9.947598300641404E-16</v>
      </c>
      <c r="BV11" s="186">
        <f t="shared" si="16"/>
        <v>-9.947598300641404E-16</v>
      </c>
      <c r="BW11" s="186">
        <f t="shared" si="16"/>
        <v>-9.947598300641404E-16</v>
      </c>
      <c r="BX11" s="186">
        <f t="shared" si="16"/>
        <v>-9.947598300641404E-16</v>
      </c>
      <c r="BY11" s="186">
        <f t="shared" si="16"/>
        <v>-9.947598300641404E-16</v>
      </c>
      <c r="BZ11" s="186">
        <f t="shared" si="16"/>
        <v>-9.947598300641404E-16</v>
      </c>
      <c r="CA11" s="186">
        <f t="shared" si="16"/>
        <v>-9.947598300641404E-16</v>
      </c>
      <c r="CB11" s="187">
        <f>SUM(BP11:CA11)</f>
        <v>-1.1937117960769687E-14</v>
      </c>
      <c r="CC11" s="186">
        <f aca="true" t="shared" si="17" ref="CC11:CN11">CC9</f>
        <v>-9.947598300641404E-16</v>
      </c>
      <c r="CD11" s="186">
        <f t="shared" si="17"/>
        <v>-9.947598300641404E-16</v>
      </c>
      <c r="CE11" s="186">
        <f t="shared" si="17"/>
        <v>-9.947598300641404E-16</v>
      </c>
      <c r="CF11" s="186">
        <f t="shared" si="17"/>
        <v>-9.947598300641404E-16</v>
      </c>
      <c r="CG11" s="186">
        <f t="shared" si="17"/>
        <v>-9.947598300641404E-16</v>
      </c>
      <c r="CH11" s="186">
        <f t="shared" si="17"/>
        <v>-9.947598300641404E-16</v>
      </c>
      <c r="CI11" s="186">
        <f t="shared" si="17"/>
        <v>-9.947598300641404E-16</v>
      </c>
      <c r="CJ11" s="186">
        <f t="shared" si="17"/>
        <v>-9.947598300641404E-16</v>
      </c>
      <c r="CK11" s="186">
        <f t="shared" si="17"/>
        <v>-9.947598300641404E-16</v>
      </c>
      <c r="CL11" s="186">
        <f t="shared" si="17"/>
        <v>-9.947598300641404E-16</v>
      </c>
      <c r="CM11" s="186">
        <f t="shared" si="17"/>
        <v>-9.947598300641404E-16</v>
      </c>
      <c r="CN11" s="186">
        <f t="shared" si="17"/>
        <v>-9.947598300641404E-16</v>
      </c>
      <c r="CO11" s="187">
        <f>SUM(CC11:CN11)</f>
        <v>-1.1937117960769687E-14</v>
      </c>
      <c r="CP11" s="186">
        <f aca="true" t="shared" si="18" ref="CP11:DA11">CP9</f>
        <v>-9.947598300641404E-16</v>
      </c>
      <c r="CQ11" s="186">
        <f t="shared" si="18"/>
        <v>-9.947598300641404E-16</v>
      </c>
      <c r="CR11" s="186">
        <f t="shared" si="18"/>
        <v>-9.947598300641404E-16</v>
      </c>
      <c r="CS11" s="186">
        <f t="shared" si="18"/>
        <v>-9.947598300641404E-16</v>
      </c>
      <c r="CT11" s="186">
        <f t="shared" si="18"/>
        <v>-9.947598300641404E-16</v>
      </c>
      <c r="CU11" s="186">
        <f t="shared" si="18"/>
        <v>-9.947598300641404E-16</v>
      </c>
      <c r="CV11" s="186">
        <f t="shared" si="18"/>
        <v>-9.947598300641404E-16</v>
      </c>
      <c r="CW11" s="186">
        <f t="shared" si="18"/>
        <v>-9.947598300641404E-16</v>
      </c>
      <c r="CX11" s="186">
        <f t="shared" si="18"/>
        <v>-9.947598300641404E-16</v>
      </c>
      <c r="CY11" s="186">
        <f t="shared" si="18"/>
        <v>-9.947598300641404E-16</v>
      </c>
      <c r="CZ11" s="186">
        <f t="shared" si="18"/>
        <v>-9.947598300641404E-16</v>
      </c>
      <c r="DA11" s="186">
        <f t="shared" si="18"/>
        <v>-9.947598300641404E-16</v>
      </c>
      <c r="DB11" s="187">
        <f>SUM(CP11:DA11)</f>
        <v>-1.1937117960769687E-14</v>
      </c>
      <c r="DC11" s="188" t="s">
        <v>56</v>
      </c>
    </row>
    <row r="12" spans="1:107" ht="12.75">
      <c r="A12" s="180" t="s">
        <v>14</v>
      </c>
      <c r="B12" s="185">
        <f>DB12</f>
        <v>-1.7053025658242404E-13</v>
      </c>
      <c r="C12" s="186">
        <f>C7</f>
        <v>0</v>
      </c>
      <c r="D12" s="186">
        <f>C12+D7-D10+D8</f>
        <v>0</v>
      </c>
      <c r="E12" s="186">
        <f>D12+E7-E10+E8</f>
        <v>0</v>
      </c>
      <c r="F12" s="186">
        <f>E12+F7-F10+F8</f>
        <v>0</v>
      </c>
      <c r="G12" s="186">
        <f aca="true" t="shared" si="19" ref="G12:M12">F12+G7-G10+G8</f>
        <v>0</v>
      </c>
      <c r="H12" s="186">
        <f>G12+H7-H10+H8</f>
        <v>0</v>
      </c>
      <c r="I12" s="186">
        <f t="shared" si="19"/>
        <v>0</v>
      </c>
      <c r="J12" s="186">
        <f t="shared" si="19"/>
        <v>0</v>
      </c>
      <c r="K12" s="186">
        <f t="shared" si="19"/>
        <v>0</v>
      </c>
      <c r="L12" s="186">
        <f t="shared" si="19"/>
        <v>743.4086000000001</v>
      </c>
      <c r="M12" s="186">
        <f t="shared" si="19"/>
        <v>743.4086000000001</v>
      </c>
      <c r="N12" s="186">
        <f>M12+N7-N10+N8</f>
        <v>743.4086000000001</v>
      </c>
      <c r="O12" s="187">
        <f>N12</f>
        <v>743.4086000000001</v>
      </c>
      <c r="P12" s="186">
        <f>O12+P7-P10+P8</f>
        <v>743.4086000000001</v>
      </c>
      <c r="Q12" s="186">
        <f aca="true" t="shared" si="20" ref="Q12:Z12">P12+Q7-Q10+Q8</f>
        <v>743.4086000000001</v>
      </c>
      <c r="R12" s="186">
        <f t="shared" si="20"/>
        <v>765.0913508333334</v>
      </c>
      <c r="S12" s="186">
        <f t="shared" si="20"/>
        <v>724.8233850000001</v>
      </c>
      <c r="T12" s="186">
        <f t="shared" si="20"/>
        <v>684.5554191666668</v>
      </c>
      <c r="U12" s="186">
        <f t="shared" si="20"/>
        <v>644.2874533333334</v>
      </c>
      <c r="V12" s="186">
        <f t="shared" si="20"/>
        <v>604.0194875</v>
      </c>
      <c r="W12" s="186">
        <f t="shared" si="20"/>
        <v>563.7515216666666</v>
      </c>
      <c r="X12" s="186">
        <f t="shared" si="20"/>
        <v>523.4835558333332</v>
      </c>
      <c r="Y12" s="186">
        <f t="shared" si="20"/>
        <v>483.21558999999985</v>
      </c>
      <c r="Z12" s="186">
        <f t="shared" si="20"/>
        <v>442.9476241666665</v>
      </c>
      <c r="AA12" s="186">
        <f>Z12+AA7-AA10+AA8</f>
        <v>402.6796583333332</v>
      </c>
      <c r="AB12" s="187">
        <f>AA12</f>
        <v>402.6796583333332</v>
      </c>
      <c r="AC12" s="186">
        <f>AB12+AC7-AC10+AC8</f>
        <v>362.41169249999984</v>
      </c>
      <c r="AD12" s="186">
        <f aca="true" t="shared" si="21" ref="AD12:AN12">AC12+AD7-AD10+AD8</f>
        <v>322.1437266666665</v>
      </c>
      <c r="AE12" s="186">
        <f t="shared" si="21"/>
        <v>281.8757608333332</v>
      </c>
      <c r="AF12" s="186">
        <f t="shared" si="21"/>
        <v>241.60779499999984</v>
      </c>
      <c r="AG12" s="186">
        <f t="shared" si="21"/>
        <v>201.3398291666665</v>
      </c>
      <c r="AH12" s="186">
        <f t="shared" si="21"/>
        <v>161.07186333333317</v>
      </c>
      <c r="AI12" s="186">
        <f t="shared" si="21"/>
        <v>120.80389749999983</v>
      </c>
      <c r="AJ12" s="186">
        <f t="shared" si="21"/>
        <v>80.5359316666665</v>
      </c>
      <c r="AK12" s="186">
        <f t="shared" si="21"/>
        <v>40.267965833333164</v>
      </c>
      <c r="AL12" s="186">
        <f t="shared" si="21"/>
        <v>-1.7053025658242404E-13</v>
      </c>
      <c r="AM12" s="186">
        <f t="shared" si="21"/>
        <v>-1.7053025658242404E-13</v>
      </c>
      <c r="AN12" s="186">
        <f t="shared" si="21"/>
        <v>-1.7053025658242404E-13</v>
      </c>
      <c r="AO12" s="187">
        <f>AN12</f>
        <v>-1.7053025658242404E-13</v>
      </c>
      <c r="AP12" s="186">
        <f>AO12+AP7-AP10+AP8</f>
        <v>-1.7053025658242404E-13</v>
      </c>
      <c r="AQ12" s="186">
        <f aca="true" t="shared" si="22" ref="AQ12:BA12">AP12+AQ7-AQ10+AQ8</f>
        <v>-1.7053025658242404E-13</v>
      </c>
      <c r="AR12" s="186">
        <f t="shared" si="22"/>
        <v>-1.7053025658242404E-13</v>
      </c>
      <c r="AS12" s="186">
        <f t="shared" si="22"/>
        <v>-1.7053025658242404E-13</v>
      </c>
      <c r="AT12" s="186">
        <f t="shared" si="22"/>
        <v>-1.7053025658242404E-13</v>
      </c>
      <c r="AU12" s="186">
        <f t="shared" si="22"/>
        <v>-1.7053025658242404E-13</v>
      </c>
      <c r="AV12" s="186">
        <f t="shared" si="22"/>
        <v>-1.7053025658242404E-13</v>
      </c>
      <c r="AW12" s="186">
        <f t="shared" si="22"/>
        <v>-1.7053025658242404E-13</v>
      </c>
      <c r="AX12" s="186">
        <f t="shared" si="22"/>
        <v>-1.7053025658242404E-13</v>
      </c>
      <c r="AY12" s="186">
        <f t="shared" si="22"/>
        <v>-1.7053025658242404E-13</v>
      </c>
      <c r="AZ12" s="186">
        <f t="shared" si="22"/>
        <v>-1.7053025658242404E-13</v>
      </c>
      <c r="BA12" s="186">
        <f t="shared" si="22"/>
        <v>-1.7053025658242404E-13</v>
      </c>
      <c r="BB12" s="187">
        <f>BA12</f>
        <v>-1.7053025658242404E-13</v>
      </c>
      <c r="BC12" s="186">
        <f>BB12+BC7-BC10+BC8</f>
        <v>-1.7053025658242404E-13</v>
      </c>
      <c r="BD12" s="186">
        <f aca="true" t="shared" si="23" ref="BD12:BN12">BC12+BD7-BD10+BD8</f>
        <v>-1.7053025658242404E-13</v>
      </c>
      <c r="BE12" s="186">
        <f t="shared" si="23"/>
        <v>-1.7053025658242404E-13</v>
      </c>
      <c r="BF12" s="186">
        <f t="shared" si="23"/>
        <v>-1.7053025658242404E-13</v>
      </c>
      <c r="BG12" s="186">
        <f t="shared" si="23"/>
        <v>-1.7053025658242404E-13</v>
      </c>
      <c r="BH12" s="186">
        <f t="shared" si="23"/>
        <v>-1.7053025658242404E-13</v>
      </c>
      <c r="BI12" s="186">
        <f t="shared" si="23"/>
        <v>-1.7053025658242404E-13</v>
      </c>
      <c r="BJ12" s="186">
        <f t="shared" si="23"/>
        <v>-1.7053025658242404E-13</v>
      </c>
      <c r="BK12" s="186">
        <f t="shared" si="23"/>
        <v>-1.7053025658242404E-13</v>
      </c>
      <c r="BL12" s="186">
        <f t="shared" si="23"/>
        <v>-1.7053025658242404E-13</v>
      </c>
      <c r="BM12" s="186">
        <f t="shared" si="23"/>
        <v>-1.7053025658242404E-13</v>
      </c>
      <c r="BN12" s="186">
        <f t="shared" si="23"/>
        <v>-1.7053025658242404E-13</v>
      </c>
      <c r="BO12" s="187">
        <f>BN12</f>
        <v>-1.7053025658242404E-13</v>
      </c>
      <c r="BP12" s="186">
        <f aca="true" t="shared" si="24" ref="BP12:CA12">BO12+BP7-BP10+BP8</f>
        <v>-1.7053025658242404E-13</v>
      </c>
      <c r="BQ12" s="186">
        <f t="shared" si="24"/>
        <v>-1.7053025658242404E-13</v>
      </c>
      <c r="BR12" s="186">
        <f t="shared" si="24"/>
        <v>-1.7053025658242404E-13</v>
      </c>
      <c r="BS12" s="186">
        <f t="shared" si="24"/>
        <v>-1.7053025658242404E-13</v>
      </c>
      <c r="BT12" s="186">
        <f t="shared" si="24"/>
        <v>-1.7053025658242404E-13</v>
      </c>
      <c r="BU12" s="186">
        <f t="shared" si="24"/>
        <v>-1.7053025658242404E-13</v>
      </c>
      <c r="BV12" s="186">
        <f t="shared" si="24"/>
        <v>-1.7053025658242404E-13</v>
      </c>
      <c r="BW12" s="186">
        <f t="shared" si="24"/>
        <v>-1.7053025658242404E-13</v>
      </c>
      <c r="BX12" s="186">
        <f t="shared" si="24"/>
        <v>-1.7053025658242404E-13</v>
      </c>
      <c r="BY12" s="186">
        <f t="shared" si="24"/>
        <v>-1.7053025658242404E-13</v>
      </c>
      <c r="BZ12" s="186">
        <f t="shared" si="24"/>
        <v>-1.7053025658242404E-13</v>
      </c>
      <c r="CA12" s="186">
        <f t="shared" si="24"/>
        <v>-1.7053025658242404E-13</v>
      </c>
      <c r="CB12" s="187">
        <f>CA12</f>
        <v>-1.7053025658242404E-13</v>
      </c>
      <c r="CC12" s="186">
        <f aca="true" t="shared" si="25" ref="CC12:CN12">CB12+CC7-CC10+CC8</f>
        <v>-1.7053025658242404E-13</v>
      </c>
      <c r="CD12" s="186">
        <f t="shared" si="25"/>
        <v>-1.7053025658242404E-13</v>
      </c>
      <c r="CE12" s="186">
        <f t="shared" si="25"/>
        <v>-1.7053025658242404E-13</v>
      </c>
      <c r="CF12" s="186">
        <f t="shared" si="25"/>
        <v>-1.7053025658242404E-13</v>
      </c>
      <c r="CG12" s="186">
        <f t="shared" si="25"/>
        <v>-1.7053025658242404E-13</v>
      </c>
      <c r="CH12" s="186">
        <f t="shared" si="25"/>
        <v>-1.7053025658242404E-13</v>
      </c>
      <c r="CI12" s="186">
        <f t="shared" si="25"/>
        <v>-1.7053025658242404E-13</v>
      </c>
      <c r="CJ12" s="186">
        <f t="shared" si="25"/>
        <v>-1.7053025658242404E-13</v>
      </c>
      <c r="CK12" s="186">
        <f t="shared" si="25"/>
        <v>-1.7053025658242404E-13</v>
      </c>
      <c r="CL12" s="186">
        <f t="shared" si="25"/>
        <v>-1.7053025658242404E-13</v>
      </c>
      <c r="CM12" s="186">
        <f t="shared" si="25"/>
        <v>-1.7053025658242404E-13</v>
      </c>
      <c r="CN12" s="186">
        <f t="shared" si="25"/>
        <v>-1.7053025658242404E-13</v>
      </c>
      <c r="CO12" s="187">
        <f>CN12</f>
        <v>-1.7053025658242404E-13</v>
      </c>
      <c r="CP12" s="186">
        <f aca="true" t="shared" si="26" ref="CP12:DA12">CO12+CP7-CP10+CP8</f>
        <v>-1.7053025658242404E-13</v>
      </c>
      <c r="CQ12" s="186">
        <f t="shared" si="26"/>
        <v>-1.7053025658242404E-13</v>
      </c>
      <c r="CR12" s="186">
        <f t="shared" si="26"/>
        <v>-1.7053025658242404E-13</v>
      </c>
      <c r="CS12" s="186">
        <f t="shared" si="26"/>
        <v>-1.7053025658242404E-13</v>
      </c>
      <c r="CT12" s="186">
        <f t="shared" si="26"/>
        <v>-1.7053025658242404E-13</v>
      </c>
      <c r="CU12" s="186">
        <f t="shared" si="26"/>
        <v>-1.7053025658242404E-13</v>
      </c>
      <c r="CV12" s="186">
        <f t="shared" si="26"/>
        <v>-1.7053025658242404E-13</v>
      </c>
      <c r="CW12" s="186">
        <f t="shared" si="26"/>
        <v>-1.7053025658242404E-13</v>
      </c>
      <c r="CX12" s="186">
        <f t="shared" si="26"/>
        <v>-1.7053025658242404E-13</v>
      </c>
      <c r="CY12" s="186">
        <f t="shared" si="26"/>
        <v>-1.7053025658242404E-13</v>
      </c>
      <c r="CZ12" s="186">
        <f t="shared" si="26"/>
        <v>-1.7053025658242404E-13</v>
      </c>
      <c r="DA12" s="186">
        <f t="shared" si="26"/>
        <v>-1.7053025658242404E-13</v>
      </c>
      <c r="DB12" s="187">
        <f>DA12</f>
        <v>-1.7053025658242404E-13</v>
      </c>
      <c r="DC12" s="192">
        <f>MAX(C12:DB12)</f>
        <v>765.0913508333334</v>
      </c>
    </row>
    <row r="13" spans="1:107" ht="12.75">
      <c r="A13" s="172" t="s">
        <v>76</v>
      </c>
      <c r="B13" s="172">
        <f>Исх!C43*12-Исх!C44</f>
        <v>19</v>
      </c>
      <c r="DC13" s="175"/>
    </row>
    <row r="16" ht="12.75" outlineLevel="1">
      <c r="A16" s="193">
        <f>B7+B8-B10</f>
        <v>0</v>
      </c>
    </row>
    <row r="17" ht="12.75" outlineLevel="1">
      <c r="A17" s="193">
        <f>B9-B8-B11</f>
        <v>0</v>
      </c>
    </row>
  </sheetData>
  <sheetProtection/>
  <mergeCells count="8">
    <mergeCell ref="CP5:DB5"/>
    <mergeCell ref="CC5:CO5"/>
    <mergeCell ref="C5:O5"/>
    <mergeCell ref="P5:AB5"/>
    <mergeCell ref="AC5:AO5"/>
    <mergeCell ref="AP5:BB5"/>
    <mergeCell ref="BC5:BO5"/>
    <mergeCell ref="BP5:CB5"/>
  </mergeCells>
  <printOptions/>
  <pageMargins left="0.35433070866141736" right="0.1968503937007874" top="0.46" bottom="0.31496062992125984" header="0.1968503937007874" footer="0.2362204724409449"/>
  <pageSetup horizontalDpi="600" verticalDpi="600" orientation="landscape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2:S21"/>
  <sheetViews>
    <sheetView showGridLines="0" zoomScalePageLayoutView="0" workbookViewId="0" topLeftCell="A1">
      <pane xSplit="2" ySplit="4" topLeftCell="C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D27" sqref="D27"/>
    </sheetView>
  </sheetViews>
  <sheetFormatPr defaultColWidth="8.875" defaultRowHeight="12.75" outlineLevelRow="1" outlineLevelCol="1"/>
  <cols>
    <col min="1" max="1" width="36.25390625" style="71" customWidth="1"/>
    <col min="2" max="2" width="8.125" style="71" customWidth="1"/>
    <col min="3" max="3" width="8.25390625" style="71" customWidth="1"/>
    <col min="4" max="4" width="10.00390625" style="71" customWidth="1"/>
    <col min="5" max="13" width="4.875" style="71" customWidth="1" outlineLevel="1"/>
    <col min="14" max="16" width="6.125" style="71" customWidth="1" outlineLevel="1"/>
    <col min="17" max="17" width="10.125" style="71" customWidth="1"/>
    <col min="18" max="18" width="3.625" style="71" customWidth="1"/>
    <col min="19" max="19" width="16.00390625" style="71" customWidth="1"/>
    <col min="20" max="20" width="12.875" style="71" bestFit="1" customWidth="1"/>
    <col min="21" max="16384" width="8.875" style="71" customWidth="1"/>
  </cols>
  <sheetData>
    <row r="1" ht="8.25" customHeight="1"/>
    <row r="2" spans="1:19" ht="12.75">
      <c r="A2" s="61" t="s">
        <v>227</v>
      </c>
      <c r="B2" s="168"/>
      <c r="Q2" s="144" t="s">
        <v>57</v>
      </c>
      <c r="R2" s="194"/>
      <c r="S2" s="166"/>
    </row>
    <row r="3" spans="1:19" ht="17.25" customHeight="1">
      <c r="A3" s="337" t="s">
        <v>187</v>
      </c>
      <c r="B3" s="338" t="s">
        <v>157</v>
      </c>
      <c r="C3" s="338" t="s">
        <v>158</v>
      </c>
      <c r="D3" s="339" t="s">
        <v>156</v>
      </c>
      <c r="E3" s="334">
        <v>2013</v>
      </c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6"/>
      <c r="Q3" s="86" t="s">
        <v>0</v>
      </c>
      <c r="R3" s="194"/>
      <c r="S3" s="195"/>
    </row>
    <row r="4" spans="1:17" ht="12.75">
      <c r="A4" s="337"/>
      <c r="B4" s="338"/>
      <c r="C4" s="338"/>
      <c r="D4" s="339"/>
      <c r="E4" s="196">
        <v>1</v>
      </c>
      <c r="F4" s="196">
        <v>2</v>
      </c>
      <c r="G4" s="196">
        <v>3</v>
      </c>
      <c r="H4" s="196">
        <v>4</v>
      </c>
      <c r="I4" s="196">
        <v>5</v>
      </c>
      <c r="J4" s="196">
        <v>6</v>
      </c>
      <c r="K4" s="196">
        <v>7</v>
      </c>
      <c r="L4" s="196">
        <v>8</v>
      </c>
      <c r="M4" s="196">
        <v>9</v>
      </c>
      <c r="N4" s="196">
        <v>10</v>
      </c>
      <c r="O4" s="196">
        <v>11</v>
      </c>
      <c r="P4" s="196">
        <v>12</v>
      </c>
      <c r="Q4" s="88">
        <v>2013</v>
      </c>
    </row>
    <row r="5" spans="1:17" s="61" customFormat="1" ht="12.75">
      <c r="A5" s="197" t="s">
        <v>186</v>
      </c>
      <c r="B5" s="198"/>
      <c r="C5" s="198"/>
      <c r="D5" s="141">
        <f aca="true" t="shared" si="0" ref="D5:Q5">SUM(D6:D7)</f>
        <v>540.5686000000001</v>
      </c>
      <c r="E5" s="141">
        <f t="shared" si="0"/>
        <v>0</v>
      </c>
      <c r="F5" s="141">
        <f t="shared" si="0"/>
        <v>0</v>
      </c>
      <c r="G5" s="141">
        <f t="shared" si="0"/>
        <v>0</v>
      </c>
      <c r="H5" s="141">
        <f t="shared" si="0"/>
        <v>0</v>
      </c>
      <c r="I5" s="141">
        <f t="shared" si="0"/>
        <v>0</v>
      </c>
      <c r="J5" s="141">
        <f t="shared" si="0"/>
        <v>0</v>
      </c>
      <c r="K5" s="141">
        <f t="shared" si="0"/>
        <v>0</v>
      </c>
      <c r="L5" s="141">
        <f t="shared" si="0"/>
        <v>0</v>
      </c>
      <c r="M5" s="141">
        <f t="shared" si="0"/>
        <v>0</v>
      </c>
      <c r="N5" s="141">
        <f t="shared" si="0"/>
        <v>540.5686000000001</v>
      </c>
      <c r="O5" s="141">
        <f t="shared" si="0"/>
        <v>0</v>
      </c>
      <c r="P5" s="141">
        <f t="shared" si="0"/>
        <v>0</v>
      </c>
      <c r="Q5" s="141">
        <f t="shared" si="0"/>
        <v>540.5686000000001</v>
      </c>
    </row>
    <row r="6" spans="1:19" ht="12.75" outlineLevel="1">
      <c r="A6" s="234" t="s">
        <v>228</v>
      </c>
      <c r="B6" s="44">
        <f>Исх!C23</f>
        <v>2</v>
      </c>
      <c r="C6" s="232">
        <f>(41.3+7+5)*1.1*Исх!$C$6</f>
        <v>270.28430000000003</v>
      </c>
      <c r="D6" s="149">
        <f>B6*C6</f>
        <v>540.5686000000001</v>
      </c>
      <c r="E6" s="149"/>
      <c r="F6" s="149"/>
      <c r="G6" s="149"/>
      <c r="H6" s="149"/>
      <c r="I6" s="149"/>
      <c r="J6" s="149"/>
      <c r="K6" s="149"/>
      <c r="L6" s="149"/>
      <c r="M6" s="149"/>
      <c r="N6" s="149">
        <f>D6</f>
        <v>540.5686000000001</v>
      </c>
      <c r="O6" s="149"/>
      <c r="P6" s="149"/>
      <c r="Q6" s="150">
        <f>SUM(E6:P6)</f>
        <v>540.5686000000001</v>
      </c>
      <c r="R6" s="221" t="s">
        <v>231</v>
      </c>
      <c r="S6" s="61"/>
    </row>
    <row r="7" spans="1:19" ht="12.75" hidden="1" outlineLevel="1">
      <c r="A7" s="199"/>
      <c r="B7" s="265"/>
      <c r="C7" s="143"/>
      <c r="D7" s="149">
        <f>B7*C7</f>
        <v>0</v>
      </c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50">
        <f>SUM(E7:P7)</f>
        <v>0</v>
      </c>
      <c r="S7" s="61"/>
    </row>
    <row r="8" spans="1:19" ht="12.75" collapsed="1">
      <c r="A8" s="197" t="s">
        <v>105</v>
      </c>
      <c r="B8" s="198"/>
      <c r="C8" s="198"/>
      <c r="D8" s="141">
        <f aca="true" t="shared" si="1" ref="D8:Q8">SUM(D9:D11)</f>
        <v>202.84000000000003</v>
      </c>
      <c r="E8" s="141">
        <f t="shared" si="1"/>
        <v>0</v>
      </c>
      <c r="F8" s="141">
        <f t="shared" si="1"/>
        <v>0</v>
      </c>
      <c r="G8" s="141">
        <f t="shared" si="1"/>
        <v>0</v>
      </c>
      <c r="H8" s="141">
        <f t="shared" si="1"/>
        <v>0</v>
      </c>
      <c r="I8" s="141">
        <f t="shared" si="1"/>
        <v>0</v>
      </c>
      <c r="J8" s="141">
        <f t="shared" si="1"/>
        <v>0</v>
      </c>
      <c r="K8" s="141">
        <f t="shared" si="1"/>
        <v>0</v>
      </c>
      <c r="L8" s="141">
        <f t="shared" si="1"/>
        <v>0</v>
      </c>
      <c r="M8" s="141">
        <f t="shared" si="1"/>
        <v>0</v>
      </c>
      <c r="N8" s="141">
        <f t="shared" si="1"/>
        <v>202.84000000000003</v>
      </c>
      <c r="O8" s="141">
        <f t="shared" si="1"/>
        <v>0</v>
      </c>
      <c r="P8" s="141">
        <f t="shared" si="1"/>
        <v>0</v>
      </c>
      <c r="Q8" s="141">
        <f t="shared" si="1"/>
        <v>202.84000000000003</v>
      </c>
      <c r="S8" s="61"/>
    </row>
    <row r="9" spans="1:19" ht="12.75" outlineLevel="1">
      <c r="A9" s="225" t="s">
        <v>229</v>
      </c>
      <c r="B9" s="143">
        <f>B6</f>
        <v>2</v>
      </c>
      <c r="C9" s="142">
        <f>3.4*1.1*Исх!$C$6</f>
        <v>17.241400000000002</v>
      </c>
      <c r="D9" s="149">
        <f>B9*C9</f>
        <v>34.482800000000005</v>
      </c>
      <c r="E9" s="149"/>
      <c r="F9" s="149"/>
      <c r="G9" s="149"/>
      <c r="H9" s="149"/>
      <c r="I9" s="149"/>
      <c r="J9" s="149"/>
      <c r="K9" s="149"/>
      <c r="L9" s="149"/>
      <c r="M9" s="149"/>
      <c r="N9" s="149">
        <f>D9</f>
        <v>34.482800000000005</v>
      </c>
      <c r="O9" s="149"/>
      <c r="P9" s="149"/>
      <c r="Q9" s="150">
        <f>SUM(E9:P9)</f>
        <v>34.482800000000005</v>
      </c>
      <c r="S9" s="61"/>
    </row>
    <row r="10" spans="1:19" ht="12.75" outlineLevel="1">
      <c r="A10" s="200" t="s">
        <v>230</v>
      </c>
      <c r="B10" s="143">
        <f>B6*4</f>
        <v>8</v>
      </c>
      <c r="C10" s="142">
        <f>1.4*1.1*Исх!$C$6</f>
        <v>7.099400000000001</v>
      </c>
      <c r="D10" s="149">
        <f>B10*C10</f>
        <v>56.79520000000001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>
        <f>D10</f>
        <v>56.79520000000001</v>
      </c>
      <c r="O10" s="149"/>
      <c r="P10" s="149"/>
      <c r="Q10" s="150">
        <f>SUM(E10:P10)</f>
        <v>56.79520000000001</v>
      </c>
      <c r="S10" s="61"/>
    </row>
    <row r="11" spans="1:19" ht="12.75" outlineLevel="1">
      <c r="A11" s="200" t="s">
        <v>240</v>
      </c>
      <c r="B11" s="143">
        <f>B6*2</f>
        <v>4</v>
      </c>
      <c r="C11" s="142">
        <f>5.5*1.1*Исх!$C$6</f>
        <v>27.890500000000007</v>
      </c>
      <c r="D11" s="149">
        <f>B11*C11</f>
        <v>111.56200000000003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49">
        <f>D11</f>
        <v>111.56200000000003</v>
      </c>
      <c r="O11" s="149"/>
      <c r="P11" s="149"/>
      <c r="Q11" s="150">
        <f>SUM(E11:P11)</f>
        <v>111.56200000000003</v>
      </c>
      <c r="R11" s="221" t="s">
        <v>241</v>
      </c>
      <c r="S11" s="61"/>
    </row>
    <row r="12" spans="1:19" ht="12.75">
      <c r="A12" s="197" t="s">
        <v>226</v>
      </c>
      <c r="B12" s="198"/>
      <c r="C12" s="198"/>
      <c r="D12" s="141">
        <f aca="true" t="shared" si="2" ref="D12:Q12">SUM(D13:D14)</f>
        <v>0</v>
      </c>
      <c r="E12" s="141">
        <f t="shared" si="2"/>
        <v>0</v>
      </c>
      <c r="F12" s="141">
        <f t="shared" si="2"/>
        <v>0</v>
      </c>
      <c r="G12" s="141">
        <f t="shared" si="2"/>
        <v>0</v>
      </c>
      <c r="H12" s="141">
        <f t="shared" si="2"/>
        <v>0</v>
      </c>
      <c r="I12" s="141">
        <f t="shared" si="2"/>
        <v>0</v>
      </c>
      <c r="J12" s="141">
        <f t="shared" si="2"/>
        <v>0</v>
      </c>
      <c r="K12" s="141">
        <f t="shared" si="2"/>
        <v>0</v>
      </c>
      <c r="L12" s="141">
        <f t="shared" si="2"/>
        <v>0</v>
      </c>
      <c r="M12" s="141">
        <f t="shared" si="2"/>
        <v>0</v>
      </c>
      <c r="N12" s="141">
        <f t="shared" si="2"/>
        <v>0</v>
      </c>
      <c r="O12" s="141">
        <f t="shared" si="2"/>
        <v>0</v>
      </c>
      <c r="P12" s="141">
        <f t="shared" si="2"/>
        <v>0</v>
      </c>
      <c r="Q12" s="141">
        <f t="shared" si="2"/>
        <v>0</v>
      </c>
      <c r="S12" s="61"/>
    </row>
    <row r="13" spans="1:19" ht="12.75" hidden="1" outlineLevel="1">
      <c r="A13" s="225"/>
      <c r="B13" s="142"/>
      <c r="C13" s="142"/>
      <c r="D13" s="149">
        <f>B13*C13</f>
        <v>0</v>
      </c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50">
        <f>SUM(E13:P13)</f>
        <v>0</v>
      </c>
      <c r="S13" s="61"/>
    </row>
    <row r="14" spans="1:19" ht="12.75" hidden="1" outlineLevel="1">
      <c r="A14" s="200"/>
      <c r="B14" s="142"/>
      <c r="C14" s="142"/>
      <c r="D14" s="149">
        <f>B14*C14</f>
        <v>0</v>
      </c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50">
        <f>SUM(E14:P14)</f>
        <v>0</v>
      </c>
      <c r="S14" s="61"/>
    </row>
    <row r="15" spans="1:17" ht="12.75" collapsed="1">
      <c r="A15" s="138" t="s">
        <v>0</v>
      </c>
      <c r="B15" s="162"/>
      <c r="C15" s="162"/>
      <c r="D15" s="162">
        <f aca="true" t="shared" si="3" ref="D15:Q15">D5+D8+D12</f>
        <v>743.4086000000001</v>
      </c>
      <c r="E15" s="162">
        <f t="shared" si="3"/>
        <v>0</v>
      </c>
      <c r="F15" s="162">
        <f t="shared" si="3"/>
        <v>0</v>
      </c>
      <c r="G15" s="162">
        <f t="shared" si="3"/>
        <v>0</v>
      </c>
      <c r="H15" s="162">
        <f t="shared" si="3"/>
        <v>0</v>
      </c>
      <c r="I15" s="162">
        <f t="shared" si="3"/>
        <v>0</v>
      </c>
      <c r="J15" s="162">
        <f t="shared" si="3"/>
        <v>0</v>
      </c>
      <c r="K15" s="162">
        <f t="shared" si="3"/>
        <v>0</v>
      </c>
      <c r="L15" s="162">
        <f t="shared" si="3"/>
        <v>0</v>
      </c>
      <c r="M15" s="162">
        <f t="shared" si="3"/>
        <v>0</v>
      </c>
      <c r="N15" s="162">
        <f t="shared" si="3"/>
        <v>743.4086000000001</v>
      </c>
      <c r="O15" s="162">
        <f t="shared" si="3"/>
        <v>0</v>
      </c>
      <c r="P15" s="162">
        <f t="shared" si="3"/>
        <v>0</v>
      </c>
      <c r="Q15" s="162">
        <f t="shared" si="3"/>
        <v>743.4086000000001</v>
      </c>
    </row>
    <row r="16" ht="12.75">
      <c r="D16" s="194">
        <f>D15-Q15</f>
        <v>0</v>
      </c>
    </row>
    <row r="17" spans="2:4" ht="12.75">
      <c r="B17" s="144" t="s">
        <v>57</v>
      </c>
      <c r="C17" s="194" t="s">
        <v>40</v>
      </c>
      <c r="D17" s="201" t="s">
        <v>97</v>
      </c>
    </row>
    <row r="18" spans="1:12" ht="12.75">
      <c r="A18" s="71" t="str">
        <f>A5</f>
        <v>Здания и сооружения</v>
      </c>
      <c r="B18" s="194">
        <f>Q5</f>
        <v>540.5686000000001</v>
      </c>
      <c r="C18" s="194">
        <f>B18/Исх!$C$18</f>
        <v>540.5686000000001</v>
      </c>
      <c r="D18" s="163">
        <f>B18/Исх!$C$5</f>
        <v>3.5671677444899044</v>
      </c>
      <c r="L18" s="168"/>
    </row>
    <row r="19" spans="1:12" ht="12.75">
      <c r="A19" s="71" t="str">
        <f>A8</f>
        <v>Оборудование</v>
      </c>
      <c r="B19" s="194">
        <f>Q8</f>
        <v>202.84000000000003</v>
      </c>
      <c r="C19" s="194">
        <f>B19/Исх!$C$18</f>
        <v>202.84000000000003</v>
      </c>
      <c r="D19" s="163">
        <f>B19/Исх!$C$5</f>
        <v>1.3385244819849547</v>
      </c>
      <c r="L19" s="168"/>
    </row>
    <row r="20" spans="1:12" ht="12.75">
      <c r="A20" s="71" t="str">
        <f>A12</f>
        <v>Прочие ОС</v>
      </c>
      <c r="B20" s="194">
        <f>Q12</f>
        <v>0</v>
      </c>
      <c r="C20" s="194">
        <f>B20/Исх!$C$18</f>
        <v>0</v>
      </c>
      <c r="D20" s="163">
        <f>B20/Исх!$C$5</f>
        <v>0</v>
      </c>
      <c r="L20" s="168"/>
    </row>
    <row r="21" spans="1:4" ht="12.75">
      <c r="A21" s="61" t="s">
        <v>86</v>
      </c>
      <c r="B21" s="202">
        <f>SUM(B18:B20)</f>
        <v>743.4086000000001</v>
      </c>
      <c r="C21" s="202">
        <f>SUM(C18:C20)</f>
        <v>743.4086000000001</v>
      </c>
      <c r="D21" s="278">
        <f>SUM(D18:D20)</f>
        <v>4.905692226474859</v>
      </c>
    </row>
  </sheetData>
  <sheetProtection/>
  <mergeCells count="5">
    <mergeCell ref="E3:P3"/>
    <mergeCell ref="A3:A4"/>
    <mergeCell ref="B3:B4"/>
    <mergeCell ref="C3:C4"/>
    <mergeCell ref="D3:D4"/>
  </mergeCells>
  <hyperlinks>
    <hyperlink ref="R6" r:id="rId1" display="http://www.spbparniki.ru/teplicy/teplicypodpolicarbonat/teplicausadbamini-ku.html"/>
    <hyperlink ref="R11" r:id="rId2" display="http://zakazat24.ru/otoplenie/infrakrasnye_obogrevateli/stiebel_eltron_germaniya/"/>
  </hyperlinks>
  <printOptions/>
  <pageMargins left="0.48" right="0.2362204724409449" top="0.69" bottom="0.2755905511811024" header="0.52" footer="0.1968503937007874"/>
  <pageSetup horizontalDpi="600" verticalDpi="600" orientation="landscape" paperSize="9" scale="96"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I13"/>
  <sheetViews>
    <sheetView showGridLines="0" zoomScalePageLayoutView="0" workbookViewId="0" topLeftCell="A1">
      <pane ySplit="3" topLeftCell="A4" activePane="bottomLeft" state="frozen"/>
      <selection pane="topLeft" activeCell="A34" sqref="A34"/>
      <selection pane="bottomLeft" activeCell="A7" sqref="A7"/>
    </sheetView>
  </sheetViews>
  <sheetFormatPr defaultColWidth="9.00390625" defaultRowHeight="12.75"/>
  <cols>
    <col min="1" max="1" width="38.625" style="71" customWidth="1"/>
    <col min="2" max="2" width="9.875" style="71" hidden="1" customWidth="1"/>
    <col min="3" max="16384" width="9.125" style="71" customWidth="1"/>
  </cols>
  <sheetData>
    <row r="1" spans="1:6" ht="12.75">
      <c r="A1" s="61" t="s">
        <v>72</v>
      </c>
      <c r="B1" s="61"/>
      <c r="C1" s="61"/>
      <c r="D1" s="61"/>
      <c r="E1" s="61"/>
      <c r="F1" s="61"/>
    </row>
    <row r="2" spans="1:9" ht="12.75">
      <c r="A2" s="203"/>
      <c r="B2" s="203"/>
      <c r="C2" s="203"/>
      <c r="D2" s="203"/>
      <c r="E2" s="203"/>
      <c r="F2" s="203"/>
      <c r="I2" s="144" t="str">
        <f>Исх!$C$9</f>
        <v>тыс.тг.</v>
      </c>
    </row>
    <row r="3" spans="1:9" ht="12.75">
      <c r="A3" s="214" t="s">
        <v>8</v>
      </c>
      <c r="B3" s="223">
        <v>2013</v>
      </c>
      <c r="C3" s="223">
        <f aca="true" t="shared" si="0" ref="C3:I3">B3+1</f>
        <v>2014</v>
      </c>
      <c r="D3" s="223">
        <f t="shared" si="0"/>
        <v>2015</v>
      </c>
      <c r="E3" s="223">
        <f t="shared" si="0"/>
        <v>2016</v>
      </c>
      <c r="F3" s="223">
        <f t="shared" si="0"/>
        <v>2017</v>
      </c>
      <c r="G3" s="223">
        <f t="shared" si="0"/>
        <v>2018</v>
      </c>
      <c r="H3" s="223">
        <f t="shared" si="0"/>
        <v>2019</v>
      </c>
      <c r="I3" s="223">
        <f t="shared" si="0"/>
        <v>2020</v>
      </c>
    </row>
    <row r="4" spans="1:9" ht="12.75">
      <c r="A4" s="204" t="s">
        <v>340</v>
      </c>
      <c r="B4" s="205">
        <f>'2-ф2'!P5</f>
        <v>0</v>
      </c>
      <c r="C4" s="205">
        <f>'2-ф2'!AC5</f>
        <v>2580</v>
      </c>
      <c r="D4" s="205">
        <f>'2-ф2'!AD5</f>
        <v>2580</v>
      </c>
      <c r="E4" s="205">
        <f>'2-ф2'!AE5</f>
        <v>2580</v>
      </c>
      <c r="F4" s="205">
        <f>'2-ф2'!AF5</f>
        <v>2580</v>
      </c>
      <c r="G4" s="205">
        <f>'2-ф2'!AG5</f>
        <v>2580</v>
      </c>
      <c r="H4" s="205">
        <f>'2-ф2'!AH5</f>
        <v>2580</v>
      </c>
      <c r="I4" s="205">
        <f>'2-ф2'!AI5</f>
        <v>2580</v>
      </c>
    </row>
    <row r="5" spans="1:9" ht="12.75">
      <c r="A5" s="204" t="s">
        <v>87</v>
      </c>
      <c r="B5" s="206">
        <f aca="true" t="shared" si="1" ref="B5:H5">B4-B6</f>
        <v>-304.0415203333333</v>
      </c>
      <c r="C5" s="206">
        <f t="shared" si="1"/>
        <v>654.7352575022501</v>
      </c>
      <c r="D5" s="206">
        <f t="shared" si="1"/>
        <v>686.5366253911388</v>
      </c>
      <c r="E5" s="206">
        <f t="shared" si="1"/>
        <v>699.4559310960001</v>
      </c>
      <c r="F5" s="206">
        <f t="shared" si="1"/>
        <v>699.4559310960001</v>
      </c>
      <c r="G5" s="206">
        <f t="shared" si="1"/>
        <v>699.4559310960001</v>
      </c>
      <c r="H5" s="206">
        <f t="shared" si="1"/>
        <v>699.4559310960001</v>
      </c>
      <c r="I5" s="206">
        <f>I4-I6</f>
        <v>699.4559310960001</v>
      </c>
    </row>
    <row r="6" spans="1:9" ht="12.75">
      <c r="A6" s="204" t="s">
        <v>341</v>
      </c>
      <c r="B6" s="207">
        <f aca="true" t="shared" si="2" ref="B6:H6">SUM(B7:B8)</f>
        <v>304.0415203333333</v>
      </c>
      <c r="C6" s="207">
        <f t="shared" si="2"/>
        <v>1925.26474249775</v>
      </c>
      <c r="D6" s="207">
        <f t="shared" si="2"/>
        <v>1893.4633746088612</v>
      </c>
      <c r="E6" s="207">
        <f t="shared" si="2"/>
        <v>1880.544068904</v>
      </c>
      <c r="F6" s="207">
        <f t="shared" si="2"/>
        <v>1880.544068904</v>
      </c>
      <c r="G6" s="207">
        <f t="shared" si="2"/>
        <v>1880.544068904</v>
      </c>
      <c r="H6" s="207">
        <f t="shared" si="2"/>
        <v>1880.544068904</v>
      </c>
      <c r="I6" s="207">
        <f>SUM(I7:I8)</f>
        <v>1880.544068904</v>
      </c>
    </row>
    <row r="7" spans="1:9" ht="12.75">
      <c r="A7" s="204" t="s">
        <v>88</v>
      </c>
      <c r="B7" s="205">
        <f>'2-ф2'!P14+'2-ф2'!P13+'2-ф2'!P12</f>
        <v>304.0415203333333</v>
      </c>
      <c r="C7" s="205">
        <f>'2-ф2'!AC14+'2-ф2'!AC13+'2-ф2'!AC12</f>
        <v>1421.19099359375</v>
      </c>
      <c r="D7" s="205">
        <f>'2-ф2'!AD14+'2-ф2'!AD13+'2-ф2'!AD12</f>
        <v>1389.3896257048611</v>
      </c>
      <c r="E7" s="205">
        <f>'2-ф2'!AE14+'2-ф2'!AE13+'2-ф2'!AE12</f>
        <v>1376.47032</v>
      </c>
      <c r="F7" s="205">
        <f>'2-ф2'!AF14+'2-ф2'!AF13+'2-ф2'!AF12</f>
        <v>1376.47032</v>
      </c>
      <c r="G7" s="205">
        <f>'2-ф2'!AG14+'2-ф2'!AG13+'2-ф2'!AG12</f>
        <v>1376.47032</v>
      </c>
      <c r="H7" s="205">
        <f>'2-ф2'!AH14+'2-ф2'!AH13+'2-ф2'!AH12</f>
        <v>1376.47032</v>
      </c>
      <c r="I7" s="205">
        <f>'2-ф2'!AI14+'2-ф2'!AI13+'2-ф2'!AI12</f>
        <v>1376.47032</v>
      </c>
    </row>
    <row r="8" spans="1:9" ht="12.75">
      <c r="A8" s="204" t="s">
        <v>89</v>
      </c>
      <c r="B8" s="205">
        <f>'2-ф2'!P8</f>
        <v>0</v>
      </c>
      <c r="C8" s="205">
        <f>'2-ф2'!AC8</f>
        <v>504.07374890399996</v>
      </c>
      <c r="D8" s="205">
        <f>'2-ф2'!AD8</f>
        <v>504.07374890400007</v>
      </c>
      <c r="E8" s="205">
        <f>'2-ф2'!AE8</f>
        <v>504.07374890400007</v>
      </c>
      <c r="F8" s="205">
        <f>'2-ф2'!AF8</f>
        <v>504.07374890400007</v>
      </c>
      <c r="G8" s="205">
        <f>'2-ф2'!AG8</f>
        <v>504.07374890400007</v>
      </c>
      <c r="H8" s="205">
        <f>'2-ф2'!AH8</f>
        <v>504.07374890400007</v>
      </c>
      <c r="I8" s="205">
        <f>'2-ф2'!AI8</f>
        <v>504.07374890400007</v>
      </c>
    </row>
    <row r="9" spans="1:9" ht="12.75">
      <c r="A9" s="204" t="s">
        <v>90</v>
      </c>
      <c r="B9" s="207">
        <f aca="true" t="shared" si="3" ref="B9:H9">B4-B8</f>
        <v>0</v>
      </c>
      <c r="C9" s="207">
        <f t="shared" si="3"/>
        <v>2075.926251096</v>
      </c>
      <c r="D9" s="207">
        <f t="shared" si="3"/>
        <v>2075.9262510959998</v>
      </c>
      <c r="E9" s="207">
        <f t="shared" si="3"/>
        <v>2075.9262510959998</v>
      </c>
      <c r="F9" s="207">
        <f t="shared" si="3"/>
        <v>2075.9262510959998</v>
      </c>
      <c r="G9" s="207">
        <f t="shared" si="3"/>
        <v>2075.9262510959998</v>
      </c>
      <c r="H9" s="207">
        <f t="shared" si="3"/>
        <v>2075.9262510959998</v>
      </c>
      <c r="I9" s="207">
        <f>I4-I8</f>
        <v>2075.9262510959998</v>
      </c>
    </row>
    <row r="10" spans="1:9" ht="12.75">
      <c r="A10" s="204" t="s">
        <v>73</v>
      </c>
      <c r="B10" s="208" t="e">
        <f aca="true" t="shared" si="4" ref="B10:H10">B9/B4</f>
        <v>#DIV/0!</v>
      </c>
      <c r="C10" s="208">
        <f t="shared" si="4"/>
        <v>0.8046225779441861</v>
      </c>
      <c r="D10" s="208">
        <f t="shared" si="4"/>
        <v>0.8046225779441859</v>
      </c>
      <c r="E10" s="208">
        <f t="shared" si="4"/>
        <v>0.8046225779441859</v>
      </c>
      <c r="F10" s="208">
        <f t="shared" si="4"/>
        <v>0.8046225779441859</v>
      </c>
      <c r="G10" s="208">
        <f t="shared" si="4"/>
        <v>0.8046225779441859</v>
      </c>
      <c r="H10" s="208">
        <f t="shared" si="4"/>
        <v>0.8046225779441859</v>
      </c>
      <c r="I10" s="208">
        <f>I9/I4</f>
        <v>0.8046225779441859</v>
      </c>
    </row>
    <row r="11" spans="1:9" ht="12.75">
      <c r="A11" s="204" t="s">
        <v>91</v>
      </c>
      <c r="B11" s="207" t="e">
        <f aca="true" t="shared" si="5" ref="B11:H11">B7/B10</f>
        <v>#DIV/0!</v>
      </c>
      <c r="C11" s="207">
        <f t="shared" si="5"/>
        <v>1766.2827672881099</v>
      </c>
      <c r="D11" s="207">
        <f t="shared" si="5"/>
        <v>1726.7594320491944</v>
      </c>
      <c r="E11" s="207">
        <f t="shared" si="5"/>
        <v>1710.7030771083846</v>
      </c>
      <c r="F11" s="207">
        <f t="shared" si="5"/>
        <v>1710.7030771083846</v>
      </c>
      <c r="G11" s="207">
        <f t="shared" si="5"/>
        <v>1710.7030771083846</v>
      </c>
      <c r="H11" s="207">
        <f t="shared" si="5"/>
        <v>1710.7030771083846</v>
      </c>
      <c r="I11" s="207">
        <f>I7/I10</f>
        <v>1710.7030771083846</v>
      </c>
    </row>
    <row r="12" spans="1:9" ht="25.5">
      <c r="A12" s="209" t="s">
        <v>74</v>
      </c>
      <c r="B12" s="210" t="e">
        <f aca="true" t="shared" si="6" ref="B12:H12">(B4-B11)/B4</f>
        <v>#DIV/0!</v>
      </c>
      <c r="C12" s="210">
        <f t="shared" si="6"/>
        <v>0.31539427624491867</v>
      </c>
      <c r="D12" s="210">
        <f t="shared" si="6"/>
        <v>0.3307133984305448</v>
      </c>
      <c r="E12" s="210">
        <f t="shared" si="6"/>
        <v>0.3369367918184556</v>
      </c>
      <c r="F12" s="210">
        <f t="shared" si="6"/>
        <v>0.3369367918184556</v>
      </c>
      <c r="G12" s="210">
        <f t="shared" si="6"/>
        <v>0.3369367918184556</v>
      </c>
      <c r="H12" s="210">
        <f t="shared" si="6"/>
        <v>0.3369367918184556</v>
      </c>
      <c r="I12" s="210">
        <f>(I4-I11)/I4</f>
        <v>0.3369367918184556</v>
      </c>
    </row>
    <row r="13" spans="1:9" ht="12.75">
      <c r="A13" s="204" t="s">
        <v>103</v>
      </c>
      <c r="B13" s="211" t="e">
        <f aca="true" t="shared" si="7" ref="B13:H13">100%-B12</f>
        <v>#DIV/0!</v>
      </c>
      <c r="C13" s="211">
        <f t="shared" si="7"/>
        <v>0.6846057237550813</v>
      </c>
      <c r="D13" s="211">
        <f t="shared" si="7"/>
        <v>0.6692866015694552</v>
      </c>
      <c r="E13" s="211">
        <f t="shared" si="7"/>
        <v>0.6630632081815444</v>
      </c>
      <c r="F13" s="211">
        <f t="shared" si="7"/>
        <v>0.6630632081815444</v>
      </c>
      <c r="G13" s="211">
        <f t="shared" si="7"/>
        <v>0.6630632081815444</v>
      </c>
      <c r="H13" s="211">
        <f t="shared" si="7"/>
        <v>0.6630632081815444</v>
      </c>
      <c r="I13" s="211">
        <f>100%-I12</f>
        <v>0.6630632081815444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M69"/>
  <sheetViews>
    <sheetView showGridLines="0" zoomScalePageLayoutView="0" workbookViewId="0" topLeftCell="A1">
      <pane ySplit="4" topLeftCell="A5" activePane="bottomLeft" state="frozen"/>
      <selection pane="topLeft" activeCell="A34" sqref="A34"/>
      <selection pane="bottomLeft" activeCell="A22" sqref="A22"/>
    </sheetView>
  </sheetViews>
  <sheetFormatPr defaultColWidth="9.00390625" defaultRowHeight="12.75"/>
  <cols>
    <col min="1" max="1" width="48.75390625" style="238" customWidth="1"/>
    <col min="2" max="2" width="16.875" style="239" customWidth="1"/>
    <col min="3" max="3" width="14.00390625" style="240" customWidth="1"/>
    <col min="4" max="4" width="11.00390625" style="240" customWidth="1"/>
    <col min="5" max="5" width="9.125" style="240" customWidth="1"/>
    <col min="6" max="6" width="8.375" style="240" customWidth="1"/>
    <col min="7" max="16384" width="9.125" style="240" customWidth="1"/>
  </cols>
  <sheetData>
    <row r="1" ht="13.5" customHeight="1">
      <c r="A1" s="255" t="s">
        <v>214</v>
      </c>
    </row>
    <row r="2" ht="13.5" customHeight="1">
      <c r="A2" s="255" t="s">
        <v>319</v>
      </c>
    </row>
    <row r="3" ht="13.5" customHeight="1"/>
    <row r="4" spans="1:3" ht="13.5" customHeight="1">
      <c r="A4" s="241" t="s">
        <v>320</v>
      </c>
      <c r="B4" s="242" t="s">
        <v>156</v>
      </c>
      <c r="C4" s="242" t="s">
        <v>170</v>
      </c>
    </row>
    <row r="5" spans="1:3" ht="13.5" customHeight="1">
      <c r="A5" s="243" t="s">
        <v>169</v>
      </c>
      <c r="B5" s="244">
        <f>'1-Ф3'!B22</f>
        <v>743.4086000000001</v>
      </c>
      <c r="C5" s="250">
        <f>B5/$B$7</f>
        <v>0.4656858802355202</v>
      </c>
    </row>
    <row r="6" spans="1:3" ht="13.5" customHeight="1">
      <c r="A6" s="243" t="s">
        <v>168</v>
      </c>
      <c r="B6" s="244">
        <f>'1-Ф3'!B28-'1-Ф3'!B22</f>
        <v>852.9649031519999</v>
      </c>
      <c r="C6" s="250">
        <f>B6/$B$7</f>
        <v>0.5343141197644798</v>
      </c>
    </row>
    <row r="7" spans="1:3" ht="13.5" customHeight="1">
      <c r="A7" s="245" t="s">
        <v>86</v>
      </c>
      <c r="B7" s="246">
        <f>SUM(B5:B6)</f>
        <v>1596.373503152</v>
      </c>
      <c r="C7" s="251">
        <f>SUM(C5:C6)</f>
        <v>1</v>
      </c>
    </row>
    <row r="8" spans="1:2" ht="13.5" customHeight="1">
      <c r="A8" s="247"/>
      <c r="B8" s="248"/>
    </row>
    <row r="9" spans="1:4" ht="13.5" customHeight="1">
      <c r="A9" s="241" t="s">
        <v>197</v>
      </c>
      <c r="B9" s="242" t="s">
        <v>156</v>
      </c>
      <c r="C9" s="242" t="s">
        <v>8</v>
      </c>
      <c r="D9" s="242" t="s">
        <v>170</v>
      </c>
    </row>
    <row r="10" spans="1:7" ht="13.5" customHeight="1">
      <c r="A10" s="243" t="s">
        <v>199</v>
      </c>
      <c r="B10" s="244">
        <f>'1-Ф3'!B29</f>
        <v>852.964903152</v>
      </c>
      <c r="C10" s="249" t="s">
        <v>322</v>
      </c>
      <c r="D10" s="250">
        <f>B10/$B$12</f>
        <v>0.5343141197644798</v>
      </c>
      <c r="F10" s="261"/>
      <c r="G10" s="261"/>
    </row>
    <row r="11" spans="1:7" ht="12.75">
      <c r="A11" s="243" t="s">
        <v>104</v>
      </c>
      <c r="B11" s="244">
        <f>'1-Ф3'!B30</f>
        <v>743.4086000000001</v>
      </c>
      <c r="C11" s="260" t="s">
        <v>321</v>
      </c>
      <c r="D11" s="250">
        <f>B11/$B$12</f>
        <v>0.4656858802355202</v>
      </c>
      <c r="F11" s="261"/>
      <c r="G11" s="261"/>
    </row>
    <row r="12" spans="1:4" ht="12.75">
      <c r="A12" s="245" t="s">
        <v>86</v>
      </c>
      <c r="B12" s="246">
        <f>SUM(B10:B11)</f>
        <v>1596.373503152</v>
      </c>
      <c r="C12" s="246"/>
      <c r="D12" s="251">
        <f>SUM(D10:D11)</f>
        <v>1</v>
      </c>
    </row>
    <row r="13" spans="1:2" ht="12.75">
      <c r="A13" s="252"/>
      <c r="B13" s="253"/>
    </row>
    <row r="14" spans="1:2" ht="12.75">
      <c r="A14" s="241" t="s">
        <v>150</v>
      </c>
      <c r="B14" s="242" t="s">
        <v>7</v>
      </c>
    </row>
    <row r="15" spans="1:2" ht="12.75">
      <c r="A15" s="243" t="s">
        <v>171</v>
      </c>
      <c r="B15" s="244" t="s">
        <v>172</v>
      </c>
    </row>
    <row r="16" spans="1:2" ht="12.75">
      <c r="A16" s="243" t="s">
        <v>173</v>
      </c>
      <c r="B16" s="250">
        <f>Исх!C42</f>
        <v>0.07</v>
      </c>
    </row>
    <row r="17" spans="1:2" ht="12.75">
      <c r="A17" s="243" t="s">
        <v>196</v>
      </c>
      <c r="B17" s="254">
        <f>Исх!C43</f>
        <v>2</v>
      </c>
    </row>
    <row r="18" spans="1:2" ht="12.75">
      <c r="A18" s="243" t="s">
        <v>174</v>
      </c>
      <c r="B18" s="244" t="s">
        <v>175</v>
      </c>
    </row>
    <row r="19" spans="1:2" ht="12.75">
      <c r="A19" s="243" t="s">
        <v>177</v>
      </c>
      <c r="B19" s="244">
        <f>Исх!C44</f>
        <v>5</v>
      </c>
    </row>
    <row r="20" spans="1:2" ht="12.75">
      <c r="A20" s="243" t="s">
        <v>178</v>
      </c>
      <c r="B20" s="244">
        <f>Исх!C45</f>
        <v>5</v>
      </c>
    </row>
    <row r="21" spans="1:2" ht="12.75">
      <c r="A21" s="243" t="s">
        <v>339</v>
      </c>
      <c r="B21" s="244" t="s">
        <v>176</v>
      </c>
    </row>
    <row r="23" spans="1:9" ht="12.75">
      <c r="A23" s="258" t="s">
        <v>200</v>
      </c>
      <c r="B23" s="242">
        <v>2013</v>
      </c>
      <c r="C23" s="242">
        <v>2014</v>
      </c>
      <c r="D23" s="242">
        <v>2015</v>
      </c>
      <c r="E23" s="242">
        <v>2016</v>
      </c>
      <c r="F23" s="242">
        <v>2017</v>
      </c>
      <c r="G23" s="242">
        <v>2018</v>
      </c>
      <c r="H23" s="242">
        <v>2019</v>
      </c>
      <c r="I23" s="242">
        <v>2020</v>
      </c>
    </row>
    <row r="24" spans="1:9" ht="12.75">
      <c r="A24" s="268" t="s">
        <v>215</v>
      </c>
      <c r="B24" s="244">
        <f>'2-ф2'!P5</f>
        <v>0</v>
      </c>
      <c r="C24" s="244">
        <f>'2-ф2'!AC5</f>
        <v>2580</v>
      </c>
      <c r="D24" s="244">
        <f>'2-ф2'!AD5</f>
        <v>2580</v>
      </c>
      <c r="E24" s="244">
        <f>'2-ф2'!AE5</f>
        <v>2580</v>
      </c>
      <c r="F24" s="244">
        <f>'2-ф2'!AF5</f>
        <v>2580</v>
      </c>
      <c r="G24" s="244">
        <f>'2-ф2'!AG5</f>
        <v>2580</v>
      </c>
      <c r="H24" s="244">
        <f>'2-ф2'!AH5</f>
        <v>2580</v>
      </c>
      <c r="I24" s="244">
        <f>'2-ф2'!AI5</f>
        <v>2580</v>
      </c>
    </row>
    <row r="25" spans="1:9" ht="12.75">
      <c r="A25" s="268" t="s">
        <v>216</v>
      </c>
      <c r="B25" s="244">
        <f>'2-ф2'!P11</f>
        <v>0</v>
      </c>
      <c r="C25" s="244">
        <f>'2-ф2'!AC11</f>
        <v>2075.926251096</v>
      </c>
      <c r="D25" s="244">
        <f>'2-ф2'!AD11</f>
        <v>2075.9262510959998</v>
      </c>
      <c r="E25" s="244">
        <f>'2-ф2'!AE11</f>
        <v>2075.9262510959998</v>
      </c>
      <c r="F25" s="244">
        <f>'2-ф2'!AF11</f>
        <v>2075.9262510959998</v>
      </c>
      <c r="G25" s="244">
        <f>'2-ф2'!AG11</f>
        <v>2075.9262510959998</v>
      </c>
      <c r="H25" s="244">
        <f>'2-ф2'!AH11</f>
        <v>2075.9262510959998</v>
      </c>
      <c r="I25" s="244">
        <f>'2-ф2'!AI11</f>
        <v>2075.9262510959998</v>
      </c>
    </row>
    <row r="26" spans="1:9" ht="12.75">
      <c r="A26" s="268" t="s">
        <v>217</v>
      </c>
      <c r="B26" s="244">
        <f>'2-ф2'!P17</f>
        <v>-304.0415203333333</v>
      </c>
      <c r="C26" s="244">
        <f>'2-ф2'!AC17</f>
        <v>577.3352575022498</v>
      </c>
      <c r="D26" s="244">
        <f>'2-ф2'!AD17</f>
        <v>609.1366253911386</v>
      </c>
      <c r="E26" s="244">
        <f>'2-ф2'!AE17</f>
        <v>622.0559310959999</v>
      </c>
      <c r="F26" s="244">
        <f>'2-ф2'!AF17</f>
        <v>622.0559310959999</v>
      </c>
      <c r="G26" s="244">
        <f>'2-ф2'!AG17</f>
        <v>622.0559310959999</v>
      </c>
      <c r="H26" s="244">
        <f>'2-ф2'!AH17</f>
        <v>622.0559310959999</v>
      </c>
      <c r="I26" s="244">
        <f>'2-ф2'!AI17</f>
        <v>622.0559310959999</v>
      </c>
    </row>
    <row r="27" spans="1:9" ht="12.75">
      <c r="A27" s="268" t="s">
        <v>218</v>
      </c>
      <c r="B27" s="250">
        <v>0</v>
      </c>
      <c r="C27" s="250">
        <f aca="true" t="shared" si="0" ref="C27:I27">C26/C24</f>
        <v>0.22377335562102704</v>
      </c>
      <c r="D27" s="250">
        <f t="shared" si="0"/>
        <v>0.2360994672058677</v>
      </c>
      <c r="E27" s="250">
        <f t="shared" si="0"/>
        <v>0.24110695003720925</v>
      </c>
      <c r="F27" s="250">
        <f t="shared" si="0"/>
        <v>0.24110695003720925</v>
      </c>
      <c r="G27" s="250">
        <f t="shared" si="0"/>
        <v>0.24110695003720925</v>
      </c>
      <c r="H27" s="250">
        <f t="shared" si="0"/>
        <v>0.24110695003720925</v>
      </c>
      <c r="I27" s="250">
        <f t="shared" si="0"/>
        <v>0.24110695003720925</v>
      </c>
    </row>
    <row r="28" spans="1:9" ht="12.75">
      <c r="A28" s="269" t="s">
        <v>219</v>
      </c>
      <c r="B28" s="244">
        <f>'1-Ф3'!P35</f>
        <v>0</v>
      </c>
      <c r="C28" s="244">
        <f>'1-Ф3'!AC35</f>
        <v>832.8421286542498</v>
      </c>
      <c r="D28" s="244">
        <f>'1-Ф3'!AD35</f>
        <v>253.76939705780558</v>
      </c>
      <c r="E28" s="244">
        <f>'1-Ф3'!AE35</f>
        <v>669.368361096</v>
      </c>
      <c r="F28" s="244">
        <f>'1-Ф3'!AF35</f>
        <v>669.368361096</v>
      </c>
      <c r="G28" s="244">
        <f>'1-Ф3'!AG35</f>
        <v>669.368361096</v>
      </c>
      <c r="H28" s="244">
        <f>'1-Ф3'!AH35</f>
        <v>669.368361096</v>
      </c>
      <c r="I28" s="244">
        <f>'1-Ф3'!AI35</f>
        <v>669.368361096</v>
      </c>
    </row>
    <row r="30" spans="1:3" ht="12.75">
      <c r="A30" s="258" t="s">
        <v>225</v>
      </c>
      <c r="B30" s="262" t="s">
        <v>207</v>
      </c>
      <c r="C30" s="279"/>
    </row>
    <row r="31" spans="1:3" ht="12.75">
      <c r="A31" s="243" t="s">
        <v>179</v>
      </c>
      <c r="B31" s="250">
        <f>'1-Ф3'!AM49</f>
        <v>0.4187240541951365</v>
      </c>
      <c r="C31" s="279"/>
    </row>
    <row r="32" spans="1:3" ht="12.75">
      <c r="A32" s="243" t="s">
        <v>180</v>
      </c>
      <c r="B32" s="244">
        <f>'1-Ф3'!AM47</f>
        <v>670.8944949990121</v>
      </c>
      <c r="C32" s="279"/>
    </row>
    <row r="33" spans="1:3" ht="12.75">
      <c r="A33" s="243" t="s">
        <v>323</v>
      </c>
      <c r="B33" s="254">
        <f>'1-Ф3'!AM48</f>
        <v>1.4601957211669412</v>
      </c>
      <c r="C33" s="279"/>
    </row>
    <row r="34" spans="1:3" ht="12.75">
      <c r="A34" s="243" t="s">
        <v>181</v>
      </c>
      <c r="B34" s="254">
        <f>'1-Ф3'!B50</f>
        <v>1.5518764859144873</v>
      </c>
      <c r="C34" s="279"/>
    </row>
    <row r="35" spans="1:3" ht="12.75">
      <c r="A35" s="243" t="s">
        <v>182</v>
      </c>
      <c r="B35" s="254">
        <f>'1-Ф3'!B51</f>
        <v>1.6605078399285014</v>
      </c>
      <c r="C35" s="279"/>
    </row>
    <row r="37" ht="12.75">
      <c r="A37" s="255" t="s">
        <v>324</v>
      </c>
    </row>
    <row r="38" spans="1:9" ht="12.75">
      <c r="A38" s="270" t="s">
        <v>26</v>
      </c>
      <c r="B38" s="271">
        <v>2013</v>
      </c>
      <c r="C38" s="271">
        <f>B38+1</f>
        <v>2014</v>
      </c>
      <c r="D38" s="271">
        <f aca="true" t="shared" si="1" ref="D38:I38">C38+1</f>
        <v>2015</v>
      </c>
      <c r="E38" s="271">
        <f t="shared" si="1"/>
        <v>2016</v>
      </c>
      <c r="F38" s="271">
        <f t="shared" si="1"/>
        <v>2017</v>
      </c>
      <c r="G38" s="271">
        <f t="shared" si="1"/>
        <v>2018</v>
      </c>
      <c r="H38" s="271">
        <f t="shared" si="1"/>
        <v>2019</v>
      </c>
      <c r="I38" s="271">
        <f t="shared" si="1"/>
        <v>2020</v>
      </c>
    </row>
    <row r="39" spans="1:9" ht="12.75">
      <c r="A39" s="274" t="s">
        <v>325</v>
      </c>
      <c r="B39" s="343">
        <f>Исх!C24</f>
        <v>60</v>
      </c>
      <c r="C39" s="343"/>
      <c r="D39" s="343"/>
      <c r="E39" s="343"/>
      <c r="F39" s="343"/>
      <c r="G39" s="343"/>
      <c r="H39" s="343"/>
      <c r="I39" s="344"/>
    </row>
    <row r="40" spans="1:9" ht="12.75">
      <c r="A40" s="274" t="s">
        <v>326</v>
      </c>
      <c r="B40" s="275"/>
      <c r="C40" s="275"/>
      <c r="D40" s="276"/>
      <c r="E40" s="276"/>
      <c r="F40" s="276"/>
      <c r="G40" s="276"/>
      <c r="H40" s="276"/>
      <c r="I40" s="277"/>
    </row>
    <row r="41" spans="1:9" ht="12.75">
      <c r="A41" s="243" t="str">
        <f>Исх!A26</f>
        <v>Тюльпаны</v>
      </c>
      <c r="B41" s="342">
        <f>Исх!C26</f>
        <v>170</v>
      </c>
      <c r="C41" s="342"/>
      <c r="D41" s="342"/>
      <c r="E41" s="342"/>
      <c r="F41" s="342"/>
      <c r="G41" s="342"/>
      <c r="H41" s="342"/>
      <c r="I41" s="342"/>
    </row>
    <row r="42" spans="1:9" ht="12.75">
      <c r="A42" s="243" t="str">
        <f>Исх!A27</f>
        <v>Хризантемы</v>
      </c>
      <c r="B42" s="342">
        <f>Исх!C27</f>
        <v>70</v>
      </c>
      <c r="C42" s="342"/>
      <c r="D42" s="342"/>
      <c r="E42" s="342"/>
      <c r="F42" s="342"/>
      <c r="G42" s="342"/>
      <c r="H42" s="342"/>
      <c r="I42" s="342"/>
    </row>
    <row r="43" spans="1:9" ht="12.75">
      <c r="A43" s="274" t="s">
        <v>327</v>
      </c>
      <c r="B43" s="275"/>
      <c r="C43" s="275"/>
      <c r="D43" s="276"/>
      <c r="E43" s="276"/>
      <c r="F43" s="276"/>
      <c r="G43" s="276"/>
      <c r="H43" s="276"/>
      <c r="I43" s="277"/>
    </row>
    <row r="44" spans="1:9" ht="12.75">
      <c r="A44" s="272" t="str">
        <f>A41</f>
        <v>Тюльпаны</v>
      </c>
      <c r="B44" s="273">
        <f>Производство!P6</f>
        <v>0</v>
      </c>
      <c r="C44" s="273">
        <f>Производство!AC6</f>
        <v>10200</v>
      </c>
      <c r="D44" s="273">
        <f>Производство!AD6</f>
        <v>10200</v>
      </c>
      <c r="E44" s="273">
        <f>Производство!AE6</f>
        <v>10200</v>
      </c>
      <c r="F44" s="273">
        <f>Производство!AF6</f>
        <v>10200</v>
      </c>
      <c r="G44" s="273">
        <f>Производство!AG6</f>
        <v>10200</v>
      </c>
      <c r="H44" s="273">
        <f>Производство!AH6</f>
        <v>10200</v>
      </c>
      <c r="I44" s="273">
        <f>Производство!AI6</f>
        <v>10200</v>
      </c>
    </row>
    <row r="45" spans="1:9" ht="12.75">
      <c r="A45" s="272" t="str">
        <f>A42</f>
        <v>Хризантемы</v>
      </c>
      <c r="B45" s="273">
        <f>Производство!P7</f>
        <v>0</v>
      </c>
      <c r="C45" s="273">
        <f>Производство!AC7</f>
        <v>4200</v>
      </c>
      <c r="D45" s="273">
        <f>Производство!AD7</f>
        <v>4200</v>
      </c>
      <c r="E45" s="273">
        <f>Производство!AE7</f>
        <v>4200</v>
      </c>
      <c r="F45" s="273">
        <f>Производство!AF7</f>
        <v>4200</v>
      </c>
      <c r="G45" s="273">
        <f>Производство!AG7</f>
        <v>4200</v>
      </c>
      <c r="H45" s="273">
        <f>Производство!AH7</f>
        <v>4200</v>
      </c>
      <c r="I45" s="273">
        <f>Производство!AI7</f>
        <v>4200</v>
      </c>
    </row>
    <row r="47" ht="12.75">
      <c r="A47" s="255" t="s">
        <v>183</v>
      </c>
    </row>
    <row r="48" spans="1:13" ht="12.75">
      <c r="A48" s="340" t="s">
        <v>222</v>
      </c>
      <c r="B48" s="345" t="s">
        <v>205</v>
      </c>
      <c r="C48" s="346"/>
      <c r="D48" s="346"/>
      <c r="E48" s="347"/>
      <c r="F48" s="345" t="s">
        <v>206</v>
      </c>
      <c r="G48" s="346"/>
      <c r="H48" s="346"/>
      <c r="I48" s="346"/>
      <c r="J48" s="346"/>
      <c r="K48" s="346"/>
      <c r="L48" s="346"/>
      <c r="M48" s="347"/>
    </row>
    <row r="49" spans="1:13" ht="12.75">
      <c r="A49" s="341"/>
      <c r="B49" s="242" t="s">
        <v>312</v>
      </c>
      <c r="C49" s="242" t="s">
        <v>313</v>
      </c>
      <c r="D49" s="242" t="s">
        <v>314</v>
      </c>
      <c r="E49" s="242" t="s">
        <v>315</v>
      </c>
      <c r="F49" s="242" t="s">
        <v>305</v>
      </c>
      <c r="G49" s="242" t="s">
        <v>306</v>
      </c>
      <c r="H49" s="242" t="s">
        <v>307</v>
      </c>
      <c r="I49" s="242" t="s">
        <v>308</v>
      </c>
      <c r="J49" s="242" t="s">
        <v>192</v>
      </c>
      <c r="K49" s="242" t="s">
        <v>309</v>
      </c>
      <c r="L49" s="242" t="s">
        <v>310</v>
      </c>
      <c r="M49" s="242" t="s">
        <v>311</v>
      </c>
    </row>
    <row r="50" spans="1:13" ht="12.75">
      <c r="A50" s="256" t="s">
        <v>223</v>
      </c>
      <c r="B50" s="305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</row>
    <row r="51" spans="1:13" ht="12.75">
      <c r="A51" s="243" t="s">
        <v>184</v>
      </c>
      <c r="B51" s="257"/>
      <c r="C51" s="257"/>
      <c r="D51" s="244"/>
      <c r="E51" s="250"/>
      <c r="F51" s="250"/>
      <c r="G51" s="250"/>
      <c r="H51" s="250"/>
      <c r="I51" s="250"/>
      <c r="J51" s="250"/>
      <c r="K51" s="250"/>
      <c r="L51" s="250"/>
      <c r="M51" s="250"/>
    </row>
    <row r="52" spans="1:13" ht="12.75">
      <c r="A52" s="243" t="s">
        <v>185</v>
      </c>
      <c r="B52" s="244"/>
      <c r="C52" s="257"/>
      <c r="D52" s="244"/>
      <c r="E52" s="250"/>
      <c r="F52" s="250"/>
      <c r="G52" s="250"/>
      <c r="H52" s="250"/>
      <c r="I52" s="250"/>
      <c r="J52" s="250"/>
      <c r="K52" s="250"/>
      <c r="L52" s="250"/>
      <c r="M52" s="250"/>
    </row>
    <row r="53" spans="1:13" ht="12.75">
      <c r="A53" s="243" t="s">
        <v>331</v>
      </c>
      <c r="B53" s="244"/>
      <c r="C53" s="257"/>
      <c r="D53" s="257"/>
      <c r="E53" s="257"/>
      <c r="F53" s="250"/>
      <c r="G53" s="250"/>
      <c r="H53" s="250"/>
      <c r="I53" s="250"/>
      <c r="J53" s="250"/>
      <c r="K53" s="250"/>
      <c r="L53" s="250"/>
      <c r="M53" s="250"/>
    </row>
    <row r="54" spans="1:13" ht="12.75">
      <c r="A54" s="243" t="s">
        <v>329</v>
      </c>
      <c r="B54" s="244"/>
      <c r="C54" s="244"/>
      <c r="D54" s="244"/>
      <c r="E54" s="257"/>
      <c r="F54" s="250"/>
      <c r="G54" s="250"/>
      <c r="H54" s="250"/>
      <c r="I54" s="250"/>
      <c r="J54" s="250"/>
      <c r="K54" s="250"/>
      <c r="L54" s="250"/>
      <c r="M54" s="250"/>
    </row>
    <row r="55" spans="1:13" ht="12.75">
      <c r="A55" s="243" t="s">
        <v>330</v>
      </c>
      <c r="B55" s="244"/>
      <c r="C55" s="244"/>
      <c r="D55" s="244"/>
      <c r="E55" s="257"/>
      <c r="F55" s="250"/>
      <c r="G55" s="250"/>
      <c r="H55" s="250"/>
      <c r="I55" s="250"/>
      <c r="J55" s="250"/>
      <c r="K55" s="250"/>
      <c r="L55" s="250"/>
      <c r="M55" s="250"/>
    </row>
    <row r="56" spans="1:13" ht="12.75">
      <c r="A56" s="243" t="s">
        <v>336</v>
      </c>
      <c r="B56" s="244"/>
      <c r="C56" s="244"/>
      <c r="D56" s="244"/>
      <c r="E56" s="250"/>
      <c r="F56" s="305"/>
      <c r="G56" s="305"/>
      <c r="H56" s="250"/>
      <c r="I56" s="250"/>
      <c r="J56" s="250"/>
      <c r="K56" s="250"/>
      <c r="L56" s="250"/>
      <c r="M56" s="250"/>
    </row>
    <row r="57" spans="1:13" ht="12.75">
      <c r="A57" s="243" t="s">
        <v>333</v>
      </c>
      <c r="B57" s="244"/>
      <c r="C57" s="244"/>
      <c r="D57" s="244"/>
      <c r="E57" s="250"/>
      <c r="F57" s="250"/>
      <c r="G57" s="305"/>
      <c r="H57" s="250"/>
      <c r="I57" s="250"/>
      <c r="J57" s="250"/>
      <c r="K57" s="250"/>
      <c r="L57" s="250"/>
      <c r="M57" s="250"/>
    </row>
    <row r="58" spans="1:13" ht="12.75">
      <c r="A58" s="243" t="s">
        <v>332</v>
      </c>
      <c r="B58" s="244"/>
      <c r="C58" s="244"/>
      <c r="D58" s="244"/>
      <c r="E58" s="250"/>
      <c r="F58" s="250"/>
      <c r="G58" s="250"/>
      <c r="H58" s="305"/>
      <c r="I58" s="250"/>
      <c r="J58" s="250"/>
      <c r="K58" s="250"/>
      <c r="L58" s="250"/>
      <c r="M58" s="250"/>
    </row>
    <row r="59" spans="1:13" ht="12.75">
      <c r="A59" s="243" t="s">
        <v>334</v>
      </c>
      <c r="B59" s="244"/>
      <c r="C59" s="244"/>
      <c r="D59" s="244"/>
      <c r="E59" s="250"/>
      <c r="F59" s="250"/>
      <c r="G59" s="250"/>
      <c r="H59" s="305"/>
      <c r="I59" s="305"/>
      <c r="J59" s="250"/>
      <c r="K59" s="250"/>
      <c r="L59" s="250"/>
      <c r="M59" s="250"/>
    </row>
    <row r="60" spans="1:13" ht="12.75">
      <c r="A60" s="243" t="s">
        <v>335</v>
      </c>
      <c r="B60" s="244"/>
      <c r="C60" s="244"/>
      <c r="D60" s="244"/>
      <c r="E60" s="250"/>
      <c r="F60" s="250"/>
      <c r="G60" s="250"/>
      <c r="H60" s="250"/>
      <c r="I60" s="250"/>
      <c r="J60" s="250"/>
      <c r="K60" s="305"/>
      <c r="L60" s="305"/>
      <c r="M60" s="305"/>
    </row>
    <row r="62" ht="12.75">
      <c r="A62" s="255" t="s">
        <v>328</v>
      </c>
    </row>
    <row r="64" spans="1:2" ht="12.75">
      <c r="A64" s="258" t="s">
        <v>189</v>
      </c>
      <c r="B64" s="259" t="s">
        <v>190</v>
      </c>
    </row>
    <row r="65" spans="1:2" ht="12.75" hidden="1">
      <c r="A65" s="243" t="s">
        <v>38</v>
      </c>
      <c r="B65" s="244">
        <f>'1-Ф3'!B18</f>
        <v>0</v>
      </c>
    </row>
    <row r="66" spans="1:2" ht="12.75">
      <c r="A66" s="243" t="s">
        <v>299</v>
      </c>
      <c r="B66" s="244">
        <f>'1-Ф3'!B17</f>
        <v>541.8</v>
      </c>
    </row>
    <row r="67" spans="1:2" ht="12.75">
      <c r="A67" s="243" t="s">
        <v>188</v>
      </c>
      <c r="B67" s="244">
        <f>(ФОТ!F19+ФОТ!G19+ФОТ!H19+ФОТ!I19)*12*7</f>
        <v>673.5120000000001</v>
      </c>
    </row>
    <row r="68" spans="1:2" ht="12.75">
      <c r="A68" s="243" t="s">
        <v>210</v>
      </c>
      <c r="B68" s="244">
        <f>SUM(Пост!C19:I19)*9</f>
        <v>63</v>
      </c>
    </row>
    <row r="69" spans="1:2" ht="12.75">
      <c r="A69" s="245" t="s">
        <v>0</v>
      </c>
      <c r="B69" s="246">
        <f>SUM(B65:B68)</f>
        <v>1278.312</v>
      </c>
    </row>
  </sheetData>
  <sheetProtection/>
  <mergeCells count="6">
    <mergeCell ref="A48:A49"/>
    <mergeCell ref="B41:I41"/>
    <mergeCell ref="B42:I42"/>
    <mergeCell ref="B39:I39"/>
    <mergeCell ref="B48:E48"/>
    <mergeCell ref="F48:M48"/>
  </mergeCells>
  <printOptions/>
  <pageMargins left="0.4724409448818898" right="0.1968503937007874" top="0.5118110236220472" bottom="1.4566929133858268" header="0.3149606299212598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FV33"/>
  <sheetViews>
    <sheetView showGridLines="0" showZeros="0" tabSelected="1" zoomScalePageLayoutView="0" workbookViewId="0" topLeftCell="A1">
      <pane xSplit="3" ySplit="4" topLeftCell="P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9" sqref="A9"/>
    </sheetView>
  </sheetViews>
  <sheetFormatPr defaultColWidth="10.125" defaultRowHeight="12.75" outlineLevelCol="1"/>
  <cols>
    <col min="1" max="1" width="38.125" style="81" customWidth="1"/>
    <col min="2" max="2" width="11.375" style="81" customWidth="1"/>
    <col min="3" max="3" width="3.875" style="81" customWidth="1"/>
    <col min="4" max="4" width="7.125" style="81" hidden="1" customWidth="1" outlineLevel="1"/>
    <col min="5" max="5" width="8.25390625" style="81" hidden="1" customWidth="1" outlineLevel="1"/>
    <col min="6" max="11" width="7.00390625" style="81" hidden="1" customWidth="1" outlineLevel="1"/>
    <col min="12" max="12" width="8.75390625" style="81" hidden="1" customWidth="1" outlineLevel="1"/>
    <col min="13" max="13" width="7.875" style="81" hidden="1" customWidth="1" outlineLevel="1"/>
    <col min="14" max="15" width="8.625" style="81" hidden="1" customWidth="1" outlineLevel="1"/>
    <col min="16" max="16" width="9.125" style="81" customWidth="1" collapsed="1"/>
    <col min="17" max="28" width="8.375" style="81" hidden="1" customWidth="1" outlineLevel="1"/>
    <col min="29" max="29" width="9.125" style="81" customWidth="1" collapsed="1"/>
    <col min="30" max="30" width="9.125" style="81" customWidth="1"/>
    <col min="31" max="35" width="8.875" style="81" customWidth="1"/>
    <col min="36" max="16384" width="10.125" style="81" customWidth="1"/>
  </cols>
  <sheetData>
    <row r="1" spans="1:35" ht="21" customHeight="1">
      <c r="A1" s="61" t="s">
        <v>111</v>
      </c>
      <c r="B1" s="80"/>
      <c r="C1" s="80"/>
      <c r="AI1" s="304"/>
    </row>
    <row r="2" spans="1:3" ht="17.25" customHeight="1">
      <c r="A2" s="61"/>
      <c r="B2" s="12" t="str">
        <f>Исх!$C$9</f>
        <v>тыс.тг.</v>
      </c>
      <c r="C2" s="82"/>
    </row>
    <row r="3" spans="1:35" ht="12.75" customHeight="1">
      <c r="A3" s="313" t="s">
        <v>2</v>
      </c>
      <c r="B3" s="317" t="s">
        <v>86</v>
      </c>
      <c r="C3" s="86"/>
      <c r="D3" s="312">
        <v>2013</v>
      </c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>
        <v>2014</v>
      </c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87">
        <f>Q3+1</f>
        <v>2015</v>
      </c>
      <c r="AE3" s="87">
        <f>AD3+1</f>
        <v>2016</v>
      </c>
      <c r="AF3" s="87">
        <f>AE3+1</f>
        <v>2017</v>
      </c>
      <c r="AG3" s="87">
        <f>AF3+1</f>
        <v>2018</v>
      </c>
      <c r="AH3" s="87">
        <f>AG3+1</f>
        <v>2019</v>
      </c>
      <c r="AI3" s="87">
        <f>AH3+1</f>
        <v>2020</v>
      </c>
    </row>
    <row r="4" spans="1:35" ht="12.75">
      <c r="A4" s="314"/>
      <c r="B4" s="317"/>
      <c r="C4" s="88"/>
      <c r="D4" s="89">
        <v>1</v>
      </c>
      <c r="E4" s="89">
        <f aca="true" t="shared" si="0" ref="E4:O4">D4+1</f>
        <v>2</v>
      </c>
      <c r="F4" s="89">
        <f t="shared" si="0"/>
        <v>3</v>
      </c>
      <c r="G4" s="89">
        <f t="shared" si="0"/>
        <v>4</v>
      </c>
      <c r="H4" s="89">
        <f t="shared" si="0"/>
        <v>5</v>
      </c>
      <c r="I4" s="89">
        <f t="shared" si="0"/>
        <v>6</v>
      </c>
      <c r="J4" s="89">
        <f t="shared" si="0"/>
        <v>7</v>
      </c>
      <c r="K4" s="89">
        <f t="shared" si="0"/>
        <v>8</v>
      </c>
      <c r="L4" s="89">
        <f t="shared" si="0"/>
        <v>9</v>
      </c>
      <c r="M4" s="89">
        <f t="shared" si="0"/>
        <v>10</v>
      </c>
      <c r="N4" s="89">
        <f t="shared" si="0"/>
        <v>11</v>
      </c>
      <c r="O4" s="89">
        <f t="shared" si="0"/>
        <v>12</v>
      </c>
      <c r="P4" s="85" t="s">
        <v>0</v>
      </c>
      <c r="Q4" s="89">
        <v>1</v>
      </c>
      <c r="R4" s="89">
        <f aca="true" t="shared" si="1" ref="R4:AB4">Q4+1</f>
        <v>2</v>
      </c>
      <c r="S4" s="89">
        <f t="shared" si="1"/>
        <v>3</v>
      </c>
      <c r="T4" s="89">
        <f t="shared" si="1"/>
        <v>4</v>
      </c>
      <c r="U4" s="89">
        <f t="shared" si="1"/>
        <v>5</v>
      </c>
      <c r="V4" s="89">
        <f t="shared" si="1"/>
        <v>6</v>
      </c>
      <c r="W4" s="89">
        <f t="shared" si="1"/>
        <v>7</v>
      </c>
      <c r="X4" s="89">
        <f t="shared" si="1"/>
        <v>8</v>
      </c>
      <c r="Y4" s="89">
        <f t="shared" si="1"/>
        <v>9</v>
      </c>
      <c r="Z4" s="89">
        <f t="shared" si="1"/>
        <v>10</v>
      </c>
      <c r="AA4" s="89">
        <f t="shared" si="1"/>
        <v>11</v>
      </c>
      <c r="AB4" s="89">
        <f t="shared" si="1"/>
        <v>12</v>
      </c>
      <c r="AC4" s="85" t="s">
        <v>0</v>
      </c>
      <c r="AD4" s="85" t="s">
        <v>112</v>
      </c>
      <c r="AE4" s="85" t="s">
        <v>112</v>
      </c>
      <c r="AF4" s="85" t="s">
        <v>112</v>
      </c>
      <c r="AG4" s="85" t="s">
        <v>112</v>
      </c>
      <c r="AH4" s="85" t="s">
        <v>112</v>
      </c>
      <c r="AI4" s="85" t="s">
        <v>112</v>
      </c>
    </row>
    <row r="5" spans="1:36" s="82" customFormat="1" ht="15" customHeight="1">
      <c r="A5" s="90" t="s">
        <v>337</v>
      </c>
      <c r="B5" s="91">
        <f>P5+AC5+AD5+AE5+AF5+AG5+AH5+AI5</f>
        <v>18060</v>
      </c>
      <c r="C5" s="92"/>
      <c r="D5" s="92">
        <f aca="true" t="shared" si="2" ref="D5:AI5">SUM(D6:D7)</f>
        <v>0</v>
      </c>
      <c r="E5" s="92">
        <f t="shared" si="2"/>
        <v>0</v>
      </c>
      <c r="F5" s="92">
        <f t="shared" si="2"/>
        <v>0</v>
      </c>
      <c r="G5" s="92">
        <f t="shared" si="2"/>
        <v>0</v>
      </c>
      <c r="H5" s="92">
        <f t="shared" si="2"/>
        <v>0</v>
      </c>
      <c r="I5" s="92">
        <f t="shared" si="2"/>
        <v>0</v>
      </c>
      <c r="J5" s="92">
        <f t="shared" si="2"/>
        <v>0</v>
      </c>
      <c r="K5" s="92">
        <f t="shared" si="2"/>
        <v>0</v>
      </c>
      <c r="L5" s="92">
        <f t="shared" si="2"/>
        <v>0</v>
      </c>
      <c r="M5" s="92">
        <f t="shared" si="2"/>
        <v>0</v>
      </c>
      <c r="N5" s="92">
        <f t="shared" si="2"/>
        <v>0</v>
      </c>
      <c r="O5" s="92">
        <f t="shared" si="2"/>
        <v>0</v>
      </c>
      <c r="P5" s="92">
        <f t="shared" si="2"/>
        <v>0</v>
      </c>
      <c r="Q5" s="92">
        <f t="shared" si="2"/>
        <v>0</v>
      </c>
      <c r="R5" s="92">
        <f t="shared" si="2"/>
        <v>0</v>
      </c>
      <c r="S5" s="92">
        <f t="shared" si="2"/>
        <v>1530</v>
      </c>
      <c r="T5" s="92">
        <f t="shared" si="2"/>
        <v>0</v>
      </c>
      <c r="U5" s="92">
        <f t="shared" si="2"/>
        <v>0</v>
      </c>
      <c r="V5" s="92">
        <f t="shared" si="2"/>
        <v>350</v>
      </c>
      <c r="W5" s="92">
        <f t="shared" si="2"/>
        <v>350</v>
      </c>
      <c r="X5" s="92">
        <f t="shared" si="2"/>
        <v>350</v>
      </c>
      <c r="Y5" s="92">
        <f t="shared" si="2"/>
        <v>0</v>
      </c>
      <c r="Z5" s="92">
        <f t="shared" si="2"/>
        <v>0</v>
      </c>
      <c r="AA5" s="92">
        <f t="shared" si="2"/>
        <v>0</v>
      </c>
      <c r="AB5" s="92">
        <f t="shared" si="2"/>
        <v>0</v>
      </c>
      <c r="AC5" s="92">
        <f t="shared" si="2"/>
        <v>2580</v>
      </c>
      <c r="AD5" s="92">
        <f t="shared" si="2"/>
        <v>2580</v>
      </c>
      <c r="AE5" s="92">
        <f t="shared" si="2"/>
        <v>2580</v>
      </c>
      <c r="AF5" s="92">
        <f t="shared" si="2"/>
        <v>2580</v>
      </c>
      <c r="AG5" s="92">
        <f t="shared" si="2"/>
        <v>2580</v>
      </c>
      <c r="AH5" s="92">
        <f t="shared" si="2"/>
        <v>2580</v>
      </c>
      <c r="AI5" s="92">
        <f t="shared" si="2"/>
        <v>2580</v>
      </c>
      <c r="AJ5" s="93"/>
    </row>
    <row r="6" spans="1:36" s="82" customFormat="1" ht="12.75">
      <c r="A6" s="94" t="str">
        <f>Производство!A6</f>
        <v>Тюльпаны</v>
      </c>
      <c r="B6" s="91">
        <f>P6+AC6+AD6+AE6+AF6+AG6+AH6</f>
        <v>9180</v>
      </c>
      <c r="C6" s="92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2">
        <f>SUM(D6:O6)</f>
        <v>0</v>
      </c>
      <c r="Q6" s="95">
        <f>Производство!Q6*Исх!$C29/1000</f>
        <v>0</v>
      </c>
      <c r="R6" s="95">
        <f>Производство!R6*Исх!$C29/1000</f>
        <v>0</v>
      </c>
      <c r="S6" s="95">
        <f>Производство!S6*Исх!$C29/1000</f>
        <v>1530</v>
      </c>
      <c r="T6" s="95">
        <f>Производство!T6*Исх!$C29/1000</f>
        <v>0</v>
      </c>
      <c r="U6" s="95">
        <f>Производство!U6*Исх!$C29/1000</f>
        <v>0</v>
      </c>
      <c r="V6" s="95">
        <f>Производство!V6*Исх!$C29/1000</f>
        <v>0</v>
      </c>
      <c r="W6" s="95">
        <f>Производство!W6*Исх!$C29/1000</f>
        <v>0</v>
      </c>
      <c r="X6" s="95">
        <f>Производство!X6*Исх!$C29/1000</f>
        <v>0</v>
      </c>
      <c r="Y6" s="95">
        <f>Производство!Y6*Исх!$C29/1000</f>
        <v>0</v>
      </c>
      <c r="Z6" s="95">
        <f>Производство!Z6*Исх!$C29/1000</f>
        <v>0</v>
      </c>
      <c r="AA6" s="95">
        <f>Производство!AA6*Исх!$C29/1000</f>
        <v>0</v>
      </c>
      <c r="AB6" s="95">
        <f>Производство!AB6*Исх!$C29/1000</f>
        <v>0</v>
      </c>
      <c r="AC6" s="92">
        <f>SUM(Q6:AB6)</f>
        <v>1530</v>
      </c>
      <c r="AD6" s="95">
        <f>Производство!AD6*Исх!$C29/1000</f>
        <v>1530</v>
      </c>
      <c r="AE6" s="95">
        <f>Производство!AE6*Исх!$C29/1000</f>
        <v>1530</v>
      </c>
      <c r="AF6" s="95">
        <f>Производство!AF6*Исх!$C29/1000</f>
        <v>1530</v>
      </c>
      <c r="AG6" s="95">
        <f>Производство!AG6*Исх!$C29/1000</f>
        <v>1530</v>
      </c>
      <c r="AH6" s="95">
        <f>Производство!AH6*Исх!$C29/1000</f>
        <v>1530</v>
      </c>
      <c r="AI6" s="95">
        <f>Производство!AI6*Исх!$C29/1000</f>
        <v>1530</v>
      </c>
      <c r="AJ6" s="93"/>
    </row>
    <row r="7" spans="1:36" s="82" customFormat="1" ht="12.75">
      <c r="A7" s="94" t="str">
        <f>Производство!A7</f>
        <v>Хризантемы</v>
      </c>
      <c r="B7" s="91">
        <f>P7+AC7+AD7+AE7+AF7+AG7+AH7</f>
        <v>6300</v>
      </c>
      <c r="C7" s="92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2">
        <f>SUM(D7:O7)</f>
        <v>0</v>
      </c>
      <c r="Q7" s="95">
        <f>Производство!Q7*Исх!$C30/1000</f>
        <v>0</v>
      </c>
      <c r="R7" s="95">
        <f>Производство!R7*Исх!$C30/1000</f>
        <v>0</v>
      </c>
      <c r="S7" s="95">
        <f>Производство!S7*Исх!$C30/1000</f>
        <v>0</v>
      </c>
      <c r="T7" s="95">
        <f>Производство!T7*Исх!$C30/1000</f>
        <v>0</v>
      </c>
      <c r="U7" s="95">
        <f>Производство!U7*Исх!$C30/1000</f>
        <v>0</v>
      </c>
      <c r="V7" s="95">
        <f>Производство!V7*Исх!$C30/1000</f>
        <v>350</v>
      </c>
      <c r="W7" s="95">
        <f>Производство!W7*Исх!$C30/1000</f>
        <v>350</v>
      </c>
      <c r="X7" s="95">
        <f>Производство!X7*Исх!$C30/1000</f>
        <v>350</v>
      </c>
      <c r="Y7" s="95">
        <f>Производство!Y7*Исх!$C30/1000</f>
        <v>0</v>
      </c>
      <c r="Z7" s="95">
        <f>Производство!Z7*Исх!$C30/1000</f>
        <v>0</v>
      </c>
      <c r="AA7" s="95">
        <f>Производство!AA7*Исх!$C30/1000</f>
        <v>0</v>
      </c>
      <c r="AB7" s="95">
        <f>Производство!AB7*Исх!$C30/1000</f>
        <v>0</v>
      </c>
      <c r="AC7" s="92">
        <f>SUM(Q7:AB7)</f>
        <v>1050</v>
      </c>
      <c r="AD7" s="95">
        <f>Производство!AD7*Исх!$C30/1000</f>
        <v>1050</v>
      </c>
      <c r="AE7" s="95">
        <f>Производство!AE7*Исх!$C30/1000</f>
        <v>1050</v>
      </c>
      <c r="AF7" s="95">
        <f>Производство!AF7*Исх!$C30/1000</f>
        <v>1050</v>
      </c>
      <c r="AG7" s="95">
        <f>Производство!AG7*Исх!$C30/1000</f>
        <v>1050</v>
      </c>
      <c r="AH7" s="95">
        <f>Производство!AH7*Исх!$C30/1000</f>
        <v>1050</v>
      </c>
      <c r="AI7" s="95">
        <f>Производство!AI7*Исх!$C30/1000</f>
        <v>1050</v>
      </c>
      <c r="AJ7" s="93"/>
    </row>
    <row r="8" spans="1:35" ht="15" customHeight="1">
      <c r="A8" s="90" t="s">
        <v>338</v>
      </c>
      <c r="B8" s="91">
        <f aca="true" t="shared" si="3" ref="B8:B17">P8+AC8+AD8+AE8+AF8+AG8+AH8</f>
        <v>3024.4424934240005</v>
      </c>
      <c r="C8" s="92"/>
      <c r="D8" s="92">
        <f aca="true" t="shared" si="4" ref="D8:AH8">SUM(D9:D10)</f>
        <v>0</v>
      </c>
      <c r="E8" s="92">
        <f t="shared" si="4"/>
        <v>0</v>
      </c>
      <c r="F8" s="92">
        <f t="shared" si="4"/>
        <v>0</v>
      </c>
      <c r="G8" s="92">
        <f t="shared" si="4"/>
        <v>0</v>
      </c>
      <c r="H8" s="92">
        <f t="shared" si="4"/>
        <v>0</v>
      </c>
      <c r="I8" s="92">
        <f t="shared" si="4"/>
        <v>0</v>
      </c>
      <c r="J8" s="92">
        <f t="shared" si="4"/>
        <v>0</v>
      </c>
      <c r="K8" s="92">
        <f t="shared" si="4"/>
        <v>0</v>
      </c>
      <c r="L8" s="92">
        <f t="shared" si="4"/>
        <v>0</v>
      </c>
      <c r="M8" s="92">
        <f t="shared" si="4"/>
        <v>0</v>
      </c>
      <c r="N8" s="92">
        <f t="shared" si="4"/>
        <v>0</v>
      </c>
      <c r="O8" s="92">
        <f t="shared" si="4"/>
        <v>0</v>
      </c>
      <c r="P8" s="92">
        <f t="shared" si="4"/>
        <v>0</v>
      </c>
      <c r="Q8" s="92">
        <f t="shared" si="4"/>
        <v>0</v>
      </c>
      <c r="R8" s="92">
        <f t="shared" si="4"/>
        <v>0</v>
      </c>
      <c r="S8" s="92">
        <f t="shared" si="4"/>
        <v>262.228063152</v>
      </c>
      <c r="T8" s="92">
        <f t="shared" si="4"/>
        <v>0</v>
      </c>
      <c r="U8" s="92">
        <f t="shared" si="4"/>
        <v>0</v>
      </c>
      <c r="V8" s="92">
        <f t="shared" si="4"/>
        <v>80.61522858400002</v>
      </c>
      <c r="W8" s="92">
        <f t="shared" si="4"/>
        <v>80.61522858400002</v>
      </c>
      <c r="X8" s="92">
        <f t="shared" si="4"/>
        <v>80.61522858400002</v>
      </c>
      <c r="Y8" s="92">
        <f t="shared" si="4"/>
        <v>0</v>
      </c>
      <c r="Z8" s="92">
        <f t="shared" si="4"/>
        <v>0</v>
      </c>
      <c r="AA8" s="92">
        <f t="shared" si="4"/>
        <v>0</v>
      </c>
      <c r="AB8" s="92">
        <f t="shared" si="4"/>
        <v>0</v>
      </c>
      <c r="AC8" s="92">
        <f t="shared" si="4"/>
        <v>504.07374890399996</v>
      </c>
      <c r="AD8" s="92">
        <f t="shared" si="4"/>
        <v>504.07374890400007</v>
      </c>
      <c r="AE8" s="92">
        <f t="shared" si="4"/>
        <v>504.07374890400007</v>
      </c>
      <c r="AF8" s="92">
        <f t="shared" si="4"/>
        <v>504.07374890400007</v>
      </c>
      <c r="AG8" s="92">
        <f t="shared" si="4"/>
        <v>504.07374890400007</v>
      </c>
      <c r="AH8" s="92">
        <f t="shared" si="4"/>
        <v>504.07374890400007</v>
      </c>
      <c r="AI8" s="92">
        <f>SUM(AI9:AI10)</f>
        <v>504.07374890400007</v>
      </c>
    </row>
    <row r="9" spans="1:35" ht="12.75">
      <c r="A9" s="94" t="str">
        <f>'Расх перем'!A19</f>
        <v>Посадочный материал</v>
      </c>
      <c r="B9" s="91">
        <f t="shared" si="3"/>
        <v>2989.3545000000004</v>
      </c>
      <c r="C9" s="92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2">
        <f>SUM(D9:O9)</f>
        <v>0</v>
      </c>
      <c r="Q9" s="95">
        <f>(Производство!Q6*'Расх перем'!$B$29+Производство!Q7*'Расх перем'!$C$29)/1000</f>
        <v>0</v>
      </c>
      <c r="R9" s="95">
        <f>(Производство!R6*'Расх перем'!$B$29+Производство!R7*'Расх перем'!$C$29)/1000</f>
        <v>0</v>
      </c>
      <c r="S9" s="95">
        <f>(Производство!S6*'Расх перем'!$B$29+Производство!S7*'Расх перем'!$C$29)/1000</f>
        <v>258.621</v>
      </c>
      <c r="T9" s="95">
        <f>(Производство!T6*'Расх перем'!$B$29+Производство!T7*'Расх перем'!$C$29)/1000</f>
        <v>0</v>
      </c>
      <c r="U9" s="95">
        <f>(Производство!U6*'Расх перем'!$B$29+Производство!U7*'Расх перем'!$C$29)/1000</f>
        <v>0</v>
      </c>
      <c r="V9" s="95">
        <f>(Производство!V6*'Расх перем'!$B$29+Производство!V7*'Расх перем'!$C$29)/1000</f>
        <v>79.86825000000002</v>
      </c>
      <c r="W9" s="95">
        <f>(Производство!W6*'Расх перем'!$B$29+Производство!W7*'Расх перем'!$C$29)/1000</f>
        <v>79.86825000000002</v>
      </c>
      <c r="X9" s="95">
        <f>(Производство!X6*'Расх перем'!$B$29+Производство!X7*'Расх перем'!$C$29)/1000</f>
        <v>79.86825000000002</v>
      </c>
      <c r="Y9" s="95">
        <f>(Производство!Y6*'Расх перем'!$B$29+Производство!Y7*'Расх перем'!$C$29)/1000</f>
        <v>0</v>
      </c>
      <c r="Z9" s="95">
        <f>(Производство!Z6*'Расх перем'!$B$29+Производство!Z7*'Расх перем'!$C$29)/1000</f>
        <v>0</v>
      </c>
      <c r="AA9" s="95">
        <f>(Производство!AA6*'Расх перем'!$B$29+Производство!AA7*'Расх перем'!$C$29)/1000</f>
        <v>0</v>
      </c>
      <c r="AB9" s="95">
        <f>(Производство!AB6*'Расх перем'!$B$29+Производство!AB7*'Расх перем'!$C$29)/1000</f>
        <v>0</v>
      </c>
      <c r="AC9" s="92">
        <f>SUM(Q9:AB9)</f>
        <v>498.22574999999995</v>
      </c>
      <c r="AD9" s="95">
        <f>(Производство!AD6*'Расх перем'!$B$29+Производство!AD7*'Расх перем'!$C$29)/1000</f>
        <v>498.22575000000006</v>
      </c>
      <c r="AE9" s="95">
        <f>(Производство!AE6*'Расх перем'!$B$29+Производство!AE7*'Расх перем'!$C$29)/1000</f>
        <v>498.22575000000006</v>
      </c>
      <c r="AF9" s="95">
        <f>(Производство!AF6*'Расх перем'!$B$29+Производство!AF7*'Расх перем'!$C$29)/1000</f>
        <v>498.22575000000006</v>
      </c>
      <c r="AG9" s="95">
        <f>(Производство!AG6*'Расх перем'!$B$29+Производство!AG7*'Расх перем'!$C$29)/1000</f>
        <v>498.22575000000006</v>
      </c>
      <c r="AH9" s="95">
        <f>(Производство!AH6*'Расх перем'!$B$29+Производство!AH7*'Расх перем'!$C$29)/1000</f>
        <v>498.22575000000006</v>
      </c>
      <c r="AI9" s="95">
        <f>(Производство!AI6*'Расх перем'!$B$29+Производство!AI7*'Расх перем'!$C$29)/1000</f>
        <v>498.22575000000006</v>
      </c>
    </row>
    <row r="10" spans="1:35" ht="12.75">
      <c r="A10" s="94" t="s">
        <v>298</v>
      </c>
      <c r="B10" s="91">
        <f t="shared" si="3"/>
        <v>35.087993424</v>
      </c>
      <c r="C10" s="92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2">
        <f>SUM(D10:O10)</f>
        <v>0</v>
      </c>
      <c r="Q10" s="95">
        <f>(Производство!Q6*'Расх перем'!$B$30+Производство!Q7*'Расх перем'!$C$30)/1000</f>
        <v>0</v>
      </c>
      <c r="R10" s="95">
        <f>(Производство!R6*'Расх перем'!$B$30+Производство!R7*'Расх перем'!$C$30)/1000</f>
        <v>0</v>
      </c>
      <c r="S10" s="95">
        <f>(Производство!S6*'Расх перем'!$B$30+Производство!S7*'Расх перем'!$C$30)/1000</f>
        <v>3.6070631520000003</v>
      </c>
      <c r="T10" s="95">
        <f>(Производство!T6*'Расх перем'!$B$30+Производство!T7*'Расх перем'!$C$30)/1000</f>
        <v>0</v>
      </c>
      <c r="U10" s="95">
        <f>(Производство!U6*'Расх перем'!$B$30+Производство!U7*'Расх перем'!$C$30)/1000</f>
        <v>0</v>
      </c>
      <c r="V10" s="95">
        <f>(Производство!V6*'Расх перем'!$B$30+Производство!V7*'Расх перем'!$C$30)/1000</f>
        <v>0.7469785840000001</v>
      </c>
      <c r="W10" s="95">
        <f>(Производство!W6*'Расх перем'!$B$30+Производство!W7*'Расх перем'!$C$30)/1000</f>
        <v>0.7469785840000001</v>
      </c>
      <c r="X10" s="95">
        <f>(Производство!X6*'Расх перем'!$B$30+Производство!X7*'Расх перем'!$C$30)/1000</f>
        <v>0.7469785840000001</v>
      </c>
      <c r="Y10" s="95">
        <f>(Производство!Y6*'Расх перем'!$B$30+Производство!Y7*'Расх перем'!$C$30)/1000</f>
        <v>0</v>
      </c>
      <c r="Z10" s="95">
        <f>(Производство!Z6*'Расх перем'!$B$30+Производство!Z7*'Расх перем'!$C$30)/1000</f>
        <v>0</v>
      </c>
      <c r="AA10" s="95">
        <f>(Производство!AA6*'Расх перем'!$B$30+Производство!AA7*'Расх перем'!$C$30)/1000</f>
        <v>0</v>
      </c>
      <c r="AB10" s="95">
        <f>(Производство!AB6*'Расх перем'!$B$30+Производство!AB7*'Расх перем'!$C$30)/1000</f>
        <v>0</v>
      </c>
      <c r="AC10" s="92">
        <f>SUM(Q10:AB10)</f>
        <v>5.847998904</v>
      </c>
      <c r="AD10" s="95">
        <f>(Производство!AD6*'Расх перем'!$B$30+Производство!AD7*'Расх перем'!$C$30)/1000</f>
        <v>5.847998904</v>
      </c>
      <c r="AE10" s="95">
        <f>(Производство!AE6*'Расх перем'!$B$30+Производство!AE7*'Расх перем'!$C$30)/1000</f>
        <v>5.847998904</v>
      </c>
      <c r="AF10" s="95">
        <f>(Производство!AF6*'Расх перем'!$B$30+Производство!AF7*'Расх перем'!$C$30)/1000</f>
        <v>5.847998904</v>
      </c>
      <c r="AG10" s="95">
        <f>(Производство!AG6*'Расх перем'!$B$30+Производство!AG7*'Расх перем'!$C$30)/1000</f>
        <v>5.847998904</v>
      </c>
      <c r="AH10" s="95">
        <f>(Производство!AH6*'Расх перем'!$B$30+Производство!AH7*'Расх перем'!$C$30)/1000</f>
        <v>5.847998904</v>
      </c>
      <c r="AI10" s="95">
        <f>(Производство!AI6*'Расх перем'!$B$30+Производство!AI7*'Расх перем'!$C$30)/1000</f>
        <v>5.847998904</v>
      </c>
    </row>
    <row r="11" spans="1:35" s="82" customFormat="1" ht="15" customHeight="1">
      <c r="A11" s="90" t="s">
        <v>15</v>
      </c>
      <c r="B11" s="91">
        <f t="shared" si="3"/>
        <v>12455.557506575999</v>
      </c>
      <c r="C11" s="96"/>
      <c r="D11" s="92">
        <f aca="true" t="shared" si="5" ref="D11:AI11">D5-D8</f>
        <v>0</v>
      </c>
      <c r="E11" s="92">
        <f t="shared" si="5"/>
        <v>0</v>
      </c>
      <c r="F11" s="92">
        <f t="shared" si="5"/>
        <v>0</v>
      </c>
      <c r="G11" s="92">
        <f t="shared" si="5"/>
        <v>0</v>
      </c>
      <c r="H11" s="92">
        <f t="shared" si="5"/>
        <v>0</v>
      </c>
      <c r="I11" s="92">
        <f t="shared" si="5"/>
        <v>0</v>
      </c>
      <c r="J11" s="92">
        <f t="shared" si="5"/>
        <v>0</v>
      </c>
      <c r="K11" s="92">
        <f t="shared" si="5"/>
        <v>0</v>
      </c>
      <c r="L11" s="92">
        <f t="shared" si="5"/>
        <v>0</v>
      </c>
      <c r="M11" s="92">
        <f t="shared" si="5"/>
        <v>0</v>
      </c>
      <c r="N11" s="92">
        <f t="shared" si="5"/>
        <v>0</v>
      </c>
      <c r="O11" s="92">
        <f t="shared" si="5"/>
        <v>0</v>
      </c>
      <c r="P11" s="92">
        <f t="shared" si="5"/>
        <v>0</v>
      </c>
      <c r="Q11" s="92">
        <f t="shared" si="5"/>
        <v>0</v>
      </c>
      <c r="R11" s="92">
        <f t="shared" si="5"/>
        <v>0</v>
      </c>
      <c r="S11" s="92">
        <f t="shared" si="5"/>
        <v>1267.771936848</v>
      </c>
      <c r="T11" s="92">
        <f t="shared" si="5"/>
        <v>0</v>
      </c>
      <c r="U11" s="92">
        <f t="shared" si="5"/>
        <v>0</v>
      </c>
      <c r="V11" s="92">
        <f t="shared" si="5"/>
        <v>269.384771416</v>
      </c>
      <c r="W11" s="92">
        <f t="shared" si="5"/>
        <v>269.384771416</v>
      </c>
      <c r="X11" s="92">
        <f t="shared" si="5"/>
        <v>269.384771416</v>
      </c>
      <c r="Y11" s="92">
        <f t="shared" si="5"/>
        <v>0</v>
      </c>
      <c r="Z11" s="92">
        <f t="shared" si="5"/>
        <v>0</v>
      </c>
      <c r="AA11" s="92">
        <f t="shared" si="5"/>
        <v>0</v>
      </c>
      <c r="AB11" s="92">
        <f t="shared" si="5"/>
        <v>0</v>
      </c>
      <c r="AC11" s="92">
        <f t="shared" si="5"/>
        <v>2075.926251096</v>
      </c>
      <c r="AD11" s="92">
        <f t="shared" si="5"/>
        <v>2075.9262510959998</v>
      </c>
      <c r="AE11" s="92">
        <f t="shared" si="5"/>
        <v>2075.9262510959998</v>
      </c>
      <c r="AF11" s="92">
        <f t="shared" si="5"/>
        <v>2075.9262510959998</v>
      </c>
      <c r="AG11" s="92">
        <f t="shared" si="5"/>
        <v>2075.9262510959998</v>
      </c>
      <c r="AH11" s="92">
        <f t="shared" si="5"/>
        <v>2075.9262510959998</v>
      </c>
      <c r="AI11" s="92">
        <f t="shared" si="5"/>
        <v>2075.9262510959998</v>
      </c>
    </row>
    <row r="12" spans="1:35" ht="15" customHeight="1">
      <c r="A12" s="97" t="s">
        <v>145</v>
      </c>
      <c r="B12" s="91">
        <f t="shared" si="3"/>
        <v>8270.315760000001</v>
      </c>
      <c r="C12" s="92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>
        <f>Пост!$C$14+Пост!$C$16+Пост!$C$19</f>
        <v>147.68421</v>
      </c>
      <c r="O12" s="95">
        <f>Пост!$C$14+Пост!$C$16+Пост!$C$19</f>
        <v>147.68421</v>
      </c>
      <c r="P12" s="92">
        <f aca="true" t="shared" si="6" ref="P12:P17">SUM(D12:O12)</f>
        <v>295.36842</v>
      </c>
      <c r="Q12" s="95">
        <f>Пост!$D$14+Пост!$D$16+Пост!$D$19</f>
        <v>147.68421</v>
      </c>
      <c r="R12" s="95">
        <f>Пост!$D$14+Пост!$D$16+Пост!$D$19</f>
        <v>147.68421</v>
      </c>
      <c r="S12" s="95">
        <f>Пост!$D$14+Пост!$D$16+Пост!$D$19</f>
        <v>147.68421</v>
      </c>
      <c r="T12" s="95">
        <f>Пост!$D$14+Пост!$D$16+Пост!$D$19</f>
        <v>147.68421</v>
      </c>
      <c r="U12" s="95">
        <f>Пост!$D$14+Пост!$D$16+Пост!$D$19</f>
        <v>147.68421</v>
      </c>
      <c r="V12" s="95">
        <f>Пост!$D$14+Пост!$D$16+Пост!$D$19</f>
        <v>147.68421</v>
      </c>
      <c r="W12" s="95">
        <f>Пост!$D$14+Пост!$D$16+Пост!$D$19</f>
        <v>147.68421</v>
      </c>
      <c r="X12" s="95">
        <f>Пост!$D$14+Пост!$D$16+Пост!$D$19</f>
        <v>147.68421</v>
      </c>
      <c r="Y12" s="95">
        <f>Пост!$D$14+Пост!$D$16+Пост!$D$19</f>
        <v>147.68421</v>
      </c>
      <c r="Z12" s="95"/>
      <c r="AA12" s="95"/>
      <c r="AB12" s="95"/>
      <c r="AC12" s="92">
        <f aca="true" t="shared" si="7" ref="AC12:AC17">SUM(Q12:AB12)</f>
        <v>1329.15789</v>
      </c>
      <c r="AD12" s="95">
        <f>(Пост!E14+Пост!E16+Пост!E19)*9</f>
        <v>1329.15789</v>
      </c>
      <c r="AE12" s="95">
        <f>(Пост!F14+Пост!F16+Пост!F19)*9</f>
        <v>1329.15789</v>
      </c>
      <c r="AF12" s="95">
        <f>(Пост!G14+Пост!G16+Пост!G19)*9</f>
        <v>1329.15789</v>
      </c>
      <c r="AG12" s="95">
        <f>(Пост!H14+Пост!H16+Пост!H19)*9</f>
        <v>1329.15789</v>
      </c>
      <c r="AH12" s="95">
        <f>(Пост!I14+Пост!I16+Пост!I19)*9</f>
        <v>1329.15789</v>
      </c>
      <c r="AI12" s="95">
        <f>(Пост!J14+Пост!J16+Пост!J19)*9</f>
        <v>1329.15789</v>
      </c>
    </row>
    <row r="13" spans="1:35" ht="15" customHeight="1">
      <c r="A13" s="97" t="s">
        <v>75</v>
      </c>
      <c r="B13" s="91">
        <f t="shared" si="3"/>
        <v>283.87458000000004</v>
      </c>
      <c r="C13" s="92"/>
      <c r="D13" s="95"/>
      <c r="E13" s="95"/>
      <c r="F13" s="95"/>
      <c r="G13" s="95"/>
      <c r="H13" s="95"/>
      <c r="I13" s="95"/>
      <c r="J13" s="95"/>
      <c r="K13" s="95">
        <f>Пост!$C$29/5</f>
        <v>0</v>
      </c>
      <c r="L13" s="95">
        <f>Пост!$C$29/5</f>
        <v>0</v>
      </c>
      <c r="M13" s="95">
        <f>Пост!$C$29/5</f>
        <v>0</v>
      </c>
      <c r="N13" s="95">
        <f>Пост!$C$29/5</f>
        <v>0</v>
      </c>
      <c r="O13" s="95">
        <f>Пост!$C$29/5</f>
        <v>0</v>
      </c>
      <c r="P13" s="92">
        <f t="shared" si="6"/>
        <v>0</v>
      </c>
      <c r="Q13" s="95">
        <f>Пост!$D$29/9</f>
        <v>5.256936666666667</v>
      </c>
      <c r="R13" s="95">
        <f>Пост!$D$29/9</f>
        <v>5.256936666666667</v>
      </c>
      <c r="S13" s="95">
        <f>Пост!$D$29/9</f>
        <v>5.256936666666667</v>
      </c>
      <c r="T13" s="95">
        <f>Пост!$D$29/9</f>
        <v>5.256936666666667</v>
      </c>
      <c r="U13" s="95">
        <f>Пост!$D$29/9</f>
        <v>5.256936666666667</v>
      </c>
      <c r="V13" s="95">
        <f>Пост!$D$29/9</f>
        <v>5.256936666666667</v>
      </c>
      <c r="W13" s="95">
        <f>Пост!$D$29/9</f>
        <v>5.256936666666667</v>
      </c>
      <c r="X13" s="95">
        <f>Пост!$D$29/9</f>
        <v>5.256936666666667</v>
      </c>
      <c r="Y13" s="95">
        <f>Пост!$D$29/9</f>
        <v>5.256936666666667</v>
      </c>
      <c r="Z13" s="95"/>
      <c r="AA13" s="95"/>
      <c r="AB13" s="95"/>
      <c r="AC13" s="92">
        <f t="shared" si="7"/>
        <v>47.312430000000006</v>
      </c>
      <c r="AD13" s="95">
        <f>Пост!E29</f>
        <v>47.312430000000006</v>
      </c>
      <c r="AE13" s="95">
        <f>Пост!F29</f>
        <v>47.312430000000006</v>
      </c>
      <c r="AF13" s="95">
        <f>Пост!G29</f>
        <v>47.312430000000006</v>
      </c>
      <c r="AG13" s="95">
        <f>Пост!H29</f>
        <v>47.312430000000006</v>
      </c>
      <c r="AH13" s="95">
        <f>Пост!I29</f>
        <v>47.312430000000006</v>
      </c>
      <c r="AI13" s="95">
        <f>Пост!J29</f>
        <v>47.312430000000006</v>
      </c>
    </row>
    <row r="14" spans="1:35" ht="15" customHeight="1">
      <c r="A14" s="97" t="s">
        <v>25</v>
      </c>
      <c r="B14" s="91">
        <f t="shared" si="3"/>
        <v>66.31307963194439</v>
      </c>
      <c r="C14" s="92"/>
      <c r="D14" s="95">
        <f>кр!C9</f>
        <v>0</v>
      </c>
      <c r="E14" s="95">
        <f>кр!D9</f>
        <v>0</v>
      </c>
      <c r="F14" s="95">
        <f>кр!E9</f>
        <v>0</v>
      </c>
      <c r="G14" s="95">
        <f>кр!F9</f>
        <v>0</v>
      </c>
      <c r="H14" s="95">
        <f>кр!G9</f>
        <v>0</v>
      </c>
      <c r="I14" s="95">
        <f>кр!H9</f>
        <v>0</v>
      </c>
      <c r="J14" s="95">
        <f>кр!I9</f>
        <v>0</v>
      </c>
      <c r="K14" s="95">
        <f>кр!J9</f>
        <v>0</v>
      </c>
      <c r="L14" s="95">
        <f>кр!K9</f>
        <v>0</v>
      </c>
      <c r="M14" s="95">
        <f>кр!L9</f>
        <v>0</v>
      </c>
      <c r="N14" s="95">
        <f>кр!M9</f>
        <v>4.336550166666668</v>
      </c>
      <c r="O14" s="95">
        <f>кр!N9</f>
        <v>4.336550166666668</v>
      </c>
      <c r="P14" s="92">
        <f t="shared" si="6"/>
        <v>8.673100333333336</v>
      </c>
      <c r="Q14" s="95">
        <f>кр!P9</f>
        <v>4.336550166666668</v>
      </c>
      <c r="R14" s="95">
        <f>кр!Q9</f>
        <v>4.336550166666668</v>
      </c>
      <c r="S14" s="95">
        <f>кр!R9</f>
        <v>4.336550166666668</v>
      </c>
      <c r="T14" s="95">
        <f>кр!S9</f>
        <v>4.463032879861112</v>
      </c>
      <c r="U14" s="95">
        <f>кр!T9</f>
        <v>4.228136412500001</v>
      </c>
      <c r="V14" s="95">
        <f>кр!U9</f>
        <v>3.9932399451388894</v>
      </c>
      <c r="W14" s="95">
        <f>кр!V9</f>
        <v>3.758343477777778</v>
      </c>
      <c r="X14" s="95">
        <f>кр!W9</f>
        <v>3.523447010416667</v>
      </c>
      <c r="Y14" s="95">
        <f>кр!X9</f>
        <v>3.288550543055555</v>
      </c>
      <c r="Z14" s="95">
        <f>кр!Y9</f>
        <v>3.053654075694444</v>
      </c>
      <c r="AA14" s="95">
        <f>кр!Z9</f>
        <v>2.8187576083333323</v>
      </c>
      <c r="AB14" s="95">
        <f>кр!AA9</f>
        <v>2.5838611409722216</v>
      </c>
      <c r="AC14" s="92">
        <f t="shared" si="7"/>
        <v>44.720673593750014</v>
      </c>
      <c r="AD14" s="95">
        <f>кр!AO9</f>
        <v>12.9193057048611</v>
      </c>
      <c r="AE14" s="95">
        <f>кр!BB9</f>
        <v>-1.1937117960769687E-14</v>
      </c>
      <c r="AF14" s="95">
        <f>кр!BO9</f>
        <v>-1.1937117960769687E-14</v>
      </c>
      <c r="AG14" s="95">
        <f>кр!CB9</f>
        <v>-1.1937117960769687E-14</v>
      </c>
      <c r="AH14" s="95">
        <f>кр!CO9</f>
        <v>-1.1937117960769687E-14</v>
      </c>
      <c r="AI14" s="95">
        <f>кр!DB9</f>
        <v>-1.1937117960769687E-14</v>
      </c>
    </row>
    <row r="15" spans="1:35" ht="15" customHeight="1">
      <c r="A15" s="97" t="s">
        <v>212</v>
      </c>
      <c r="B15" s="91">
        <f t="shared" si="3"/>
        <v>3835.0540869440547</v>
      </c>
      <c r="C15" s="96"/>
      <c r="D15" s="95">
        <f>D11-D12-D14-D13</f>
        <v>0</v>
      </c>
      <c r="E15" s="95">
        <f aca="true" t="shared" si="8" ref="E15:O15">E11-E12-E14-E13</f>
        <v>0</v>
      </c>
      <c r="F15" s="95">
        <f t="shared" si="8"/>
        <v>0</v>
      </c>
      <c r="G15" s="95">
        <f t="shared" si="8"/>
        <v>0</v>
      </c>
      <c r="H15" s="95">
        <f t="shared" si="8"/>
        <v>0</v>
      </c>
      <c r="I15" s="95">
        <f t="shared" si="8"/>
        <v>0</v>
      </c>
      <c r="J15" s="95">
        <f t="shared" si="8"/>
        <v>0</v>
      </c>
      <c r="K15" s="95">
        <f t="shared" si="8"/>
        <v>0</v>
      </c>
      <c r="L15" s="95">
        <f t="shared" si="8"/>
        <v>0</v>
      </c>
      <c r="M15" s="95">
        <f t="shared" si="8"/>
        <v>0</v>
      </c>
      <c r="N15" s="95">
        <f t="shared" si="8"/>
        <v>-152.02076016666666</v>
      </c>
      <c r="O15" s="95">
        <f t="shared" si="8"/>
        <v>-152.02076016666666</v>
      </c>
      <c r="P15" s="92">
        <f t="shared" si="6"/>
        <v>-304.0415203333333</v>
      </c>
      <c r="Q15" s="95">
        <f aca="true" t="shared" si="9" ref="Q15:AB15">Q11-Q12-Q14-Q13</f>
        <v>-157.27769683333332</v>
      </c>
      <c r="R15" s="95">
        <f t="shared" si="9"/>
        <v>-157.27769683333332</v>
      </c>
      <c r="S15" s="95">
        <f t="shared" si="9"/>
        <v>1110.4942400146665</v>
      </c>
      <c r="T15" s="95">
        <f t="shared" si="9"/>
        <v>-157.40417954652779</v>
      </c>
      <c r="U15" s="95">
        <f t="shared" si="9"/>
        <v>-157.16928307916666</v>
      </c>
      <c r="V15" s="95">
        <f t="shared" si="9"/>
        <v>112.45038480419441</v>
      </c>
      <c r="W15" s="95">
        <f t="shared" si="9"/>
        <v>112.68528127155554</v>
      </c>
      <c r="X15" s="95">
        <f t="shared" si="9"/>
        <v>112.92017773891665</v>
      </c>
      <c r="Y15" s="95">
        <f t="shared" si="9"/>
        <v>-156.22969720972222</v>
      </c>
      <c r="Z15" s="95">
        <f t="shared" si="9"/>
        <v>-3.053654075694444</v>
      </c>
      <c r="AA15" s="95">
        <f t="shared" si="9"/>
        <v>-2.8187576083333323</v>
      </c>
      <c r="AB15" s="95">
        <f t="shared" si="9"/>
        <v>-2.5838611409722216</v>
      </c>
      <c r="AC15" s="92">
        <f t="shared" si="7"/>
        <v>654.7352575022499</v>
      </c>
      <c r="AD15" s="95">
        <f aca="true" t="shared" si="10" ref="AD15:AI15">AD11-AD12-AD14-AD13</f>
        <v>686.5366253911386</v>
      </c>
      <c r="AE15" s="95">
        <f t="shared" si="10"/>
        <v>699.4559310959999</v>
      </c>
      <c r="AF15" s="95">
        <f t="shared" si="10"/>
        <v>699.4559310959999</v>
      </c>
      <c r="AG15" s="95">
        <f t="shared" si="10"/>
        <v>699.4559310959999</v>
      </c>
      <c r="AH15" s="95">
        <f t="shared" si="10"/>
        <v>699.4559310959999</v>
      </c>
      <c r="AI15" s="95">
        <f t="shared" si="10"/>
        <v>699.4559310959999</v>
      </c>
    </row>
    <row r="16" spans="1:35" ht="15" customHeight="1">
      <c r="A16" s="97" t="s">
        <v>299</v>
      </c>
      <c r="B16" s="91">
        <f t="shared" si="3"/>
        <v>464.3999999999999</v>
      </c>
      <c r="C16" s="92"/>
      <c r="D16" s="95">
        <f>IF(D15+C18&lt;0,0,IF(C18&lt;0,(C18+D15)*Исх!$C$19,D15*Исх!$C$19))</f>
        <v>0</v>
      </c>
      <c r="E16" s="95">
        <f>IF(E15+D18&lt;0,0,IF(D18&lt;0,(D18+E15)*Исх!$C$19,E15*Исх!$C$19))</f>
        <v>0</v>
      </c>
      <c r="F16" s="95">
        <f>F5*Исх!$C$19</f>
        <v>0</v>
      </c>
      <c r="G16" s="95">
        <f>G5*Исх!$C$19</f>
        <v>0</v>
      </c>
      <c r="H16" s="95">
        <f>H5*Исх!$C$19</f>
        <v>0</v>
      </c>
      <c r="I16" s="95">
        <f>I5*Исх!$C$19</f>
        <v>0</v>
      </c>
      <c r="J16" s="95">
        <f>J5*Исх!$C$19</f>
        <v>0</v>
      </c>
      <c r="K16" s="95">
        <f>K5*Исх!$C$19</f>
        <v>0</v>
      </c>
      <c r="L16" s="95">
        <f>L5*Исх!$C$19</f>
        <v>0</v>
      </c>
      <c r="M16" s="95">
        <f>M5*Исх!$C$19</f>
        <v>0</v>
      </c>
      <c r="N16" s="95">
        <f>N5*Исх!$C$19</f>
        <v>0</v>
      </c>
      <c r="O16" s="95">
        <f>O5*Исх!$C$19</f>
        <v>0</v>
      </c>
      <c r="P16" s="92">
        <f t="shared" si="6"/>
        <v>0</v>
      </c>
      <c r="Q16" s="95">
        <f>Q5*Исх!$C$19</f>
        <v>0</v>
      </c>
      <c r="R16" s="95">
        <f>R5*Исх!$C$19</f>
        <v>0</v>
      </c>
      <c r="S16" s="95">
        <f>S5*Исх!$C$19</f>
        <v>45.9</v>
      </c>
      <c r="T16" s="95">
        <f>T5*Исх!$C$19</f>
        <v>0</v>
      </c>
      <c r="U16" s="95">
        <f>U5*Исх!$C$19</f>
        <v>0</v>
      </c>
      <c r="V16" s="95">
        <f>V5*Исх!$C$19</f>
        <v>10.5</v>
      </c>
      <c r="W16" s="95">
        <f>W5*Исх!$C$19</f>
        <v>10.5</v>
      </c>
      <c r="X16" s="95">
        <f>X5*Исх!$C$19</f>
        <v>10.5</v>
      </c>
      <c r="Y16" s="95">
        <f>Y5*Исх!$C$19</f>
        <v>0</v>
      </c>
      <c r="Z16" s="95">
        <f>Z5*Исх!$C$19</f>
        <v>0</v>
      </c>
      <c r="AA16" s="95">
        <f>AA5*Исх!$C$19</f>
        <v>0</v>
      </c>
      <c r="AB16" s="95">
        <f>AB5*Исх!$C$19</f>
        <v>0</v>
      </c>
      <c r="AC16" s="92">
        <f t="shared" si="7"/>
        <v>77.4</v>
      </c>
      <c r="AD16" s="95">
        <f>AD5*Исх!$C$19</f>
        <v>77.39999999999999</v>
      </c>
      <c r="AE16" s="95">
        <f>AE5*Исх!$C$19</f>
        <v>77.39999999999999</v>
      </c>
      <c r="AF16" s="95">
        <f>AF5*Исх!$C$19</f>
        <v>77.39999999999999</v>
      </c>
      <c r="AG16" s="95">
        <f>AG5*Исх!$C$19</f>
        <v>77.39999999999999</v>
      </c>
      <c r="AH16" s="95">
        <f>AH5*Исх!$C$19</f>
        <v>77.39999999999999</v>
      </c>
      <c r="AI16" s="95">
        <f>AI5*Исх!$C$19</f>
        <v>77.39999999999999</v>
      </c>
    </row>
    <row r="17" spans="1:35" s="82" customFormat="1" ht="15" customHeight="1">
      <c r="A17" s="90" t="s">
        <v>220</v>
      </c>
      <c r="B17" s="91">
        <f t="shared" si="3"/>
        <v>3370.654086944054</v>
      </c>
      <c r="C17" s="96"/>
      <c r="D17" s="92">
        <f aca="true" t="shared" si="11" ref="D17:Q17">D15-D16</f>
        <v>0</v>
      </c>
      <c r="E17" s="92">
        <f>E15-E16</f>
        <v>0</v>
      </c>
      <c r="F17" s="92">
        <f t="shared" si="11"/>
        <v>0</v>
      </c>
      <c r="G17" s="92">
        <f t="shared" si="11"/>
        <v>0</v>
      </c>
      <c r="H17" s="92">
        <f t="shared" si="11"/>
        <v>0</v>
      </c>
      <c r="I17" s="92">
        <f t="shared" si="11"/>
        <v>0</v>
      </c>
      <c r="J17" s="92">
        <f t="shared" si="11"/>
        <v>0</v>
      </c>
      <c r="K17" s="92">
        <f t="shared" si="11"/>
        <v>0</v>
      </c>
      <c r="L17" s="92">
        <f t="shared" si="11"/>
        <v>0</v>
      </c>
      <c r="M17" s="92">
        <f t="shared" si="11"/>
        <v>0</v>
      </c>
      <c r="N17" s="92">
        <f t="shared" si="11"/>
        <v>-152.02076016666666</v>
      </c>
      <c r="O17" s="92">
        <f t="shared" si="11"/>
        <v>-152.02076016666666</v>
      </c>
      <c r="P17" s="92">
        <f t="shared" si="6"/>
        <v>-304.0415203333333</v>
      </c>
      <c r="Q17" s="92">
        <f t="shared" si="11"/>
        <v>-157.27769683333332</v>
      </c>
      <c r="R17" s="92">
        <f aca="true" t="shared" si="12" ref="R17:AF17">R15-R16</f>
        <v>-157.27769683333332</v>
      </c>
      <c r="S17" s="92">
        <f t="shared" si="12"/>
        <v>1064.5942400146664</v>
      </c>
      <c r="T17" s="92">
        <f t="shared" si="12"/>
        <v>-157.40417954652779</v>
      </c>
      <c r="U17" s="92">
        <f t="shared" si="12"/>
        <v>-157.16928307916666</v>
      </c>
      <c r="V17" s="92">
        <f t="shared" si="12"/>
        <v>101.95038480419441</v>
      </c>
      <c r="W17" s="92">
        <f t="shared" si="12"/>
        <v>102.18528127155554</v>
      </c>
      <c r="X17" s="92">
        <f t="shared" si="12"/>
        <v>102.42017773891665</v>
      </c>
      <c r="Y17" s="92">
        <f t="shared" si="12"/>
        <v>-156.22969720972222</v>
      </c>
      <c r="Z17" s="92">
        <f t="shared" si="12"/>
        <v>-3.053654075694444</v>
      </c>
      <c r="AA17" s="92">
        <f t="shared" si="12"/>
        <v>-2.8187576083333323</v>
      </c>
      <c r="AB17" s="92">
        <f t="shared" si="12"/>
        <v>-2.5838611409722216</v>
      </c>
      <c r="AC17" s="92">
        <f t="shared" si="7"/>
        <v>577.3352575022498</v>
      </c>
      <c r="AD17" s="92">
        <f t="shared" si="12"/>
        <v>609.1366253911386</v>
      </c>
      <c r="AE17" s="92">
        <f t="shared" si="12"/>
        <v>622.0559310959999</v>
      </c>
      <c r="AF17" s="92">
        <f t="shared" si="12"/>
        <v>622.0559310959999</v>
      </c>
      <c r="AG17" s="92">
        <f>AG15-AG16</f>
        <v>622.0559310959999</v>
      </c>
      <c r="AH17" s="92">
        <f>AH15-AH16</f>
        <v>622.0559310959999</v>
      </c>
      <c r="AI17" s="92">
        <f>AI15-AI16</f>
        <v>622.0559310959999</v>
      </c>
    </row>
    <row r="18" spans="1:35" ht="15" customHeight="1">
      <c r="A18" s="97" t="s">
        <v>221</v>
      </c>
      <c r="B18" s="98">
        <f>AH18</f>
        <v>3370.654086944054</v>
      </c>
      <c r="C18" s="99"/>
      <c r="D18" s="95">
        <f>C18+D17</f>
        <v>0</v>
      </c>
      <c r="E18" s="95">
        <f>D18+E17</f>
        <v>0</v>
      </c>
      <c r="F18" s="95">
        <f aca="true" t="shared" si="13" ref="F18:O18">E18+F17</f>
        <v>0</v>
      </c>
      <c r="G18" s="95">
        <f t="shared" si="13"/>
        <v>0</v>
      </c>
      <c r="H18" s="95">
        <f t="shared" si="13"/>
        <v>0</v>
      </c>
      <c r="I18" s="95">
        <f t="shared" si="13"/>
        <v>0</v>
      </c>
      <c r="J18" s="95">
        <f t="shared" si="13"/>
        <v>0</v>
      </c>
      <c r="K18" s="95">
        <f t="shared" si="13"/>
        <v>0</v>
      </c>
      <c r="L18" s="95">
        <f t="shared" si="13"/>
        <v>0</v>
      </c>
      <c r="M18" s="95">
        <f t="shared" si="13"/>
        <v>0</v>
      </c>
      <c r="N18" s="95">
        <f t="shared" si="13"/>
        <v>-152.02076016666666</v>
      </c>
      <c r="O18" s="95">
        <f t="shared" si="13"/>
        <v>-304.0415203333333</v>
      </c>
      <c r="P18" s="92">
        <f>O18</f>
        <v>-304.0415203333333</v>
      </c>
      <c r="Q18" s="95">
        <f>P18+Q17</f>
        <v>-461.31921716666665</v>
      </c>
      <c r="R18" s="95">
        <f aca="true" t="shared" si="14" ref="R18:AA18">Q18+R17</f>
        <v>-618.596914</v>
      </c>
      <c r="S18" s="95">
        <f t="shared" si="14"/>
        <v>445.99732601466644</v>
      </c>
      <c r="T18" s="95">
        <f t="shared" si="14"/>
        <v>288.5931464681387</v>
      </c>
      <c r="U18" s="95">
        <f t="shared" si="14"/>
        <v>131.42386338897202</v>
      </c>
      <c r="V18" s="95">
        <f t="shared" si="14"/>
        <v>233.37424819316644</v>
      </c>
      <c r="W18" s="95">
        <f t="shared" si="14"/>
        <v>335.559529464722</v>
      </c>
      <c r="X18" s="95">
        <f t="shared" si="14"/>
        <v>437.97970720363867</v>
      </c>
      <c r="Y18" s="95">
        <f t="shared" si="14"/>
        <v>281.7500099939165</v>
      </c>
      <c r="Z18" s="95">
        <f t="shared" si="14"/>
        <v>278.696355918222</v>
      </c>
      <c r="AA18" s="95">
        <f t="shared" si="14"/>
        <v>275.8775983098887</v>
      </c>
      <c r="AB18" s="95">
        <f>AA18+AB17</f>
        <v>273.2937371689165</v>
      </c>
      <c r="AC18" s="92">
        <f>AB18</f>
        <v>273.2937371689165</v>
      </c>
      <c r="AD18" s="95">
        <f aca="true" t="shared" si="15" ref="AD18:AI18">AC18+AD17</f>
        <v>882.4303625600551</v>
      </c>
      <c r="AE18" s="95">
        <f t="shared" si="15"/>
        <v>1504.4862936560548</v>
      </c>
      <c r="AF18" s="95">
        <f t="shared" si="15"/>
        <v>2126.5422247520546</v>
      </c>
      <c r="AG18" s="95">
        <f t="shared" si="15"/>
        <v>2748.5981558480544</v>
      </c>
      <c r="AH18" s="95">
        <f t="shared" si="15"/>
        <v>3370.654086944054</v>
      </c>
      <c r="AI18" s="95">
        <f t="shared" si="15"/>
        <v>3992.710018040054</v>
      </c>
    </row>
    <row r="19" spans="1:178" ht="15" customHeight="1">
      <c r="A19" s="100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</row>
    <row r="20" spans="1:178" ht="15" customHeight="1">
      <c r="A20" s="83"/>
      <c r="B20" s="101"/>
      <c r="C20" s="101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</row>
    <row r="21" spans="1:178" ht="15" customHeight="1">
      <c r="A21" s="100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</row>
    <row r="22" spans="1:35" ht="12.75" hidden="1">
      <c r="A22" s="102" t="s">
        <v>51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48" s="106" customFormat="1" ht="12.75" hidden="1">
      <c r="A23" s="315" t="s">
        <v>2</v>
      </c>
      <c r="B23" s="318" t="s">
        <v>0</v>
      </c>
      <c r="C23" s="103"/>
      <c r="D23" s="309">
        <f>D3</f>
        <v>2013</v>
      </c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1"/>
      <c r="Q23" s="309">
        <f>Q3</f>
        <v>2014</v>
      </c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  <c r="AC23" s="311"/>
      <c r="AD23" s="104">
        <f aca="true" t="shared" si="16" ref="AD23:AI23">AD3</f>
        <v>2015</v>
      </c>
      <c r="AE23" s="104">
        <f t="shared" si="16"/>
        <v>2016</v>
      </c>
      <c r="AF23" s="104">
        <f t="shared" si="16"/>
        <v>2017</v>
      </c>
      <c r="AG23" s="104">
        <f t="shared" si="16"/>
        <v>2018</v>
      </c>
      <c r="AH23" s="104">
        <f t="shared" si="16"/>
        <v>2019</v>
      </c>
      <c r="AI23" s="104">
        <f t="shared" si="16"/>
        <v>2020</v>
      </c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</row>
    <row r="24" spans="1:48" s="106" customFormat="1" ht="19.5" customHeight="1" hidden="1">
      <c r="A24" s="316"/>
      <c r="B24" s="319"/>
      <c r="C24" s="107"/>
      <c r="D24" s="108">
        <f>D4</f>
        <v>1</v>
      </c>
      <c r="E24" s="108">
        <f aca="true" t="shared" si="17" ref="E24:O24">E4</f>
        <v>2</v>
      </c>
      <c r="F24" s="108">
        <f t="shared" si="17"/>
        <v>3</v>
      </c>
      <c r="G24" s="108">
        <f t="shared" si="17"/>
        <v>4</v>
      </c>
      <c r="H24" s="108">
        <f t="shared" si="17"/>
        <v>5</v>
      </c>
      <c r="I24" s="108">
        <f t="shared" si="17"/>
        <v>6</v>
      </c>
      <c r="J24" s="108">
        <f t="shared" si="17"/>
        <v>7</v>
      </c>
      <c r="K24" s="108">
        <f t="shared" si="17"/>
        <v>8</v>
      </c>
      <c r="L24" s="108">
        <f t="shared" si="17"/>
        <v>9</v>
      </c>
      <c r="M24" s="108">
        <f t="shared" si="17"/>
        <v>10</v>
      </c>
      <c r="N24" s="108">
        <f t="shared" si="17"/>
        <v>11</v>
      </c>
      <c r="O24" s="108">
        <f t="shared" si="17"/>
        <v>12</v>
      </c>
      <c r="P24" s="109" t="s">
        <v>0</v>
      </c>
      <c r="Q24" s="108">
        <f>Q4</f>
        <v>1</v>
      </c>
      <c r="R24" s="108">
        <f aca="true" t="shared" si="18" ref="R24:AB24">R4</f>
        <v>2</v>
      </c>
      <c r="S24" s="108">
        <f t="shared" si="18"/>
        <v>3</v>
      </c>
      <c r="T24" s="108">
        <f t="shared" si="18"/>
        <v>4</v>
      </c>
      <c r="U24" s="108">
        <f t="shared" si="18"/>
        <v>5</v>
      </c>
      <c r="V24" s="108">
        <f t="shared" si="18"/>
        <v>6</v>
      </c>
      <c r="W24" s="108">
        <f t="shared" si="18"/>
        <v>7</v>
      </c>
      <c r="X24" s="108">
        <f t="shared" si="18"/>
        <v>8</v>
      </c>
      <c r="Y24" s="108">
        <f t="shared" si="18"/>
        <v>9</v>
      </c>
      <c r="Z24" s="108">
        <f t="shared" si="18"/>
        <v>10</v>
      </c>
      <c r="AA24" s="108">
        <f t="shared" si="18"/>
        <v>11</v>
      </c>
      <c r="AB24" s="108">
        <f t="shared" si="18"/>
        <v>12</v>
      </c>
      <c r="AC24" s="109" t="s">
        <v>0</v>
      </c>
      <c r="AD24" s="109"/>
      <c r="AE24" s="109"/>
      <c r="AF24" s="109"/>
      <c r="AG24" s="109"/>
      <c r="AH24" s="109"/>
      <c r="AI24" s="109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</row>
    <row r="25" spans="1:48" s="106" customFormat="1" ht="12.75" hidden="1">
      <c r="A25" s="110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</row>
    <row r="26" spans="1:48" s="106" customFormat="1" ht="12.75" hidden="1">
      <c r="A26" s="110" t="s">
        <v>163</v>
      </c>
      <c r="B26" s="98">
        <f>P26+AC26+AD26+AE26+AF26+AG26+AH26</f>
        <v>0</v>
      </c>
      <c r="C26" s="112"/>
      <c r="D26" s="112">
        <f aca="true" t="shared" si="19" ref="D26:O26">D5*ндс</f>
        <v>0</v>
      </c>
      <c r="E26" s="112">
        <f t="shared" si="19"/>
        <v>0</v>
      </c>
      <c r="F26" s="112">
        <f t="shared" si="19"/>
        <v>0</v>
      </c>
      <c r="G26" s="112">
        <f t="shared" si="19"/>
        <v>0</v>
      </c>
      <c r="H26" s="112">
        <f t="shared" si="19"/>
        <v>0</v>
      </c>
      <c r="I26" s="112">
        <f t="shared" si="19"/>
        <v>0</v>
      </c>
      <c r="J26" s="112">
        <f t="shared" si="19"/>
        <v>0</v>
      </c>
      <c r="K26" s="112">
        <f t="shared" si="19"/>
        <v>0</v>
      </c>
      <c r="L26" s="112">
        <f t="shared" si="19"/>
        <v>0</v>
      </c>
      <c r="M26" s="112">
        <f t="shared" si="19"/>
        <v>0</v>
      </c>
      <c r="N26" s="112">
        <f t="shared" si="19"/>
        <v>0</v>
      </c>
      <c r="O26" s="112">
        <f t="shared" si="19"/>
        <v>0</v>
      </c>
      <c r="P26" s="113">
        <f>SUM(D26:O26)</f>
        <v>0</v>
      </c>
      <c r="Q26" s="112">
        <f aca="true" t="shared" si="20" ref="Q26:AB26">Q5*ндс</f>
        <v>0</v>
      </c>
      <c r="R26" s="112">
        <f t="shared" si="20"/>
        <v>0</v>
      </c>
      <c r="S26" s="112">
        <f t="shared" si="20"/>
        <v>0</v>
      </c>
      <c r="T26" s="112">
        <f t="shared" si="20"/>
        <v>0</v>
      </c>
      <c r="U26" s="112">
        <f t="shared" si="20"/>
        <v>0</v>
      </c>
      <c r="V26" s="112">
        <f t="shared" si="20"/>
        <v>0</v>
      </c>
      <c r="W26" s="112">
        <f t="shared" si="20"/>
        <v>0</v>
      </c>
      <c r="X26" s="112">
        <f t="shared" si="20"/>
        <v>0</v>
      </c>
      <c r="Y26" s="112">
        <f t="shared" si="20"/>
        <v>0</v>
      </c>
      <c r="Z26" s="112">
        <f t="shared" si="20"/>
        <v>0</v>
      </c>
      <c r="AA26" s="112">
        <f t="shared" si="20"/>
        <v>0</v>
      </c>
      <c r="AB26" s="112">
        <f t="shared" si="20"/>
        <v>0</v>
      </c>
      <c r="AC26" s="113">
        <f>SUM(Q26:AB26)</f>
        <v>0</v>
      </c>
      <c r="AD26" s="112">
        <f aca="true" t="shared" si="21" ref="AD26:AI26">AD5*ндс</f>
        <v>0</v>
      </c>
      <c r="AE26" s="112">
        <f t="shared" si="21"/>
        <v>0</v>
      </c>
      <c r="AF26" s="112">
        <f t="shared" si="21"/>
        <v>0</v>
      </c>
      <c r="AG26" s="112">
        <f t="shared" si="21"/>
        <v>0</v>
      </c>
      <c r="AH26" s="112">
        <f t="shared" si="21"/>
        <v>0</v>
      </c>
      <c r="AI26" s="112">
        <f t="shared" si="21"/>
        <v>0</v>
      </c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</row>
    <row r="27" spans="1:48" s="106" customFormat="1" ht="12.75" hidden="1">
      <c r="A27" s="110" t="s">
        <v>164</v>
      </c>
      <c r="B27" s="98">
        <f>P27+AC27+AD27+AE27+AF27+AG27+AH27</f>
        <v>0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>
        <f>(N8+N12-Пост!$C$6-Пост!$C$16-Пост!$C$19)*ндс</f>
        <v>0</v>
      </c>
      <c r="O27" s="112">
        <f>(O8+O12-Пост!$C$6-Пост!$C$16-Пост!$C$19+'1-Ф3'!O13/Исх!$C$18)*ндс</f>
        <v>0</v>
      </c>
      <c r="P27" s="113">
        <f>SUM(D27:O27)</f>
        <v>0</v>
      </c>
      <c r="Q27" s="112">
        <f>(Q8+Q12-Пост!$D$6-Пост!$D$16-Пост!$D$19)*ндс</f>
        <v>0</v>
      </c>
      <c r="R27" s="112">
        <f>(R8+R12-Пост!$D$6-Пост!$D$16-Пост!$D$19)*ндс</f>
        <v>0</v>
      </c>
      <c r="S27" s="112">
        <f>(S8+S12-Пост!$D$6-Пост!$D$16-Пост!$D$19)*ндс</f>
        <v>0</v>
      </c>
      <c r="T27" s="112">
        <f>(T8+T12-Пост!$D$6-Пост!$D$16-Пост!$D$19)*ндс</f>
        <v>0</v>
      </c>
      <c r="U27" s="112">
        <f>(U8+U12-Пост!$D$6-Пост!$D$16-Пост!$D$19)*ндс</f>
        <v>0</v>
      </c>
      <c r="V27" s="112">
        <f>(V8+V12-Пост!$D$6-Пост!$D$16-Пост!$D$19)*ндс</f>
        <v>0</v>
      </c>
      <c r="W27" s="112">
        <f>(W8+W12-Пост!$D$6-Пост!$D$16-Пост!$D$19)*ндс</f>
        <v>0</v>
      </c>
      <c r="X27" s="112">
        <f>(X8+X12-Пост!$D$6-Пост!$D$16-Пост!$D$19)*ндс</f>
        <v>0</v>
      </c>
      <c r="Y27" s="112">
        <f>(Y8+Y12-Пост!$D$6-Пост!$D$16-Пост!$D$19)*ндс</f>
        <v>0</v>
      </c>
      <c r="Z27" s="112">
        <f>(Z8+Z12-Пост!$D$6-Пост!$D$16-Пост!$D$19)*ндс</f>
        <v>0</v>
      </c>
      <c r="AA27" s="112">
        <f>(AA8+AA12-Пост!$D$6-Пост!$D$16-Пост!$D$19)*ндс</f>
        <v>0</v>
      </c>
      <c r="AB27" s="112">
        <f>(AB8+AB12-Пост!$D$6-Пост!$D$16-Пост!$D$19)*ндс</f>
        <v>0</v>
      </c>
      <c r="AC27" s="113">
        <f>SUM(Q27:AB27)</f>
        <v>0</v>
      </c>
      <c r="AD27" s="112">
        <f>(AD8+AD12-(Пост!E6+Пост!E16+Пост!E19)*12)*ндс</f>
        <v>0</v>
      </c>
      <c r="AE27" s="112">
        <f>(AE8+AE12-(Пост!F6+Пост!F16+Пост!F19)*12)*ндс</f>
        <v>0</v>
      </c>
      <c r="AF27" s="112">
        <f>(AF8+AF12-(Пост!G6+Пост!G16+Пост!G19)*12)*ндс</f>
        <v>0</v>
      </c>
      <c r="AG27" s="112">
        <f>(AG8+AG12-(Пост!H6+Пост!H16+Пост!H19)*12)*ндс</f>
        <v>0</v>
      </c>
      <c r="AH27" s="112">
        <f>(AH8+AH12-(Пост!I6+Пост!I16+Пост!I19)*12)*ндс</f>
        <v>0</v>
      </c>
      <c r="AI27" s="112">
        <f>(AI8+AI12-(Пост!J6+Пост!J16+Пост!J19)*12)*ндс</f>
        <v>0</v>
      </c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</row>
    <row r="28" spans="1:48" s="106" customFormat="1" ht="12.75" hidden="1">
      <c r="A28" s="110" t="s">
        <v>165</v>
      </c>
      <c r="B28" s="98">
        <f>P28+AC28+AD28+AE28+AF28+AG28+AH28</f>
        <v>0</v>
      </c>
      <c r="C28" s="112"/>
      <c r="D28" s="112">
        <f>Инв!E15/Исх!$C$18*ндс</f>
        <v>0</v>
      </c>
      <c r="E28" s="112">
        <f>Инв!F15/Исх!$C$18*ндс</f>
        <v>0</v>
      </c>
      <c r="F28" s="112">
        <f>Инв!G15/Исх!$C$18*ндс</f>
        <v>0</v>
      </c>
      <c r="G28" s="112">
        <f>Инв!H15/Исх!$C$18*ндс</f>
        <v>0</v>
      </c>
      <c r="H28" s="112">
        <f>Инв!I15/Исх!$C$18*ндс</f>
        <v>0</v>
      </c>
      <c r="I28" s="112">
        <f>Инв!J15/Исх!$C$18*ндс</f>
        <v>0</v>
      </c>
      <c r="J28" s="112">
        <f>Инв!K15/Исх!$C$18*ндс</f>
        <v>0</v>
      </c>
      <c r="K28" s="112">
        <f>Инв!L15/Исх!$C$18*ндс</f>
        <v>0</v>
      </c>
      <c r="L28" s="112">
        <f>Инв!M15/Исх!$C$18*ндс</f>
        <v>0</v>
      </c>
      <c r="M28" s="112">
        <f>Инв!N15/Исх!$C$18*ндс</f>
        <v>0</v>
      </c>
      <c r="N28" s="112">
        <f>Инв!O15/Исх!$C$18*ндс</f>
        <v>0</v>
      </c>
      <c r="O28" s="112">
        <f>Инв!P15/Исх!$C$18*ндс</f>
        <v>0</v>
      </c>
      <c r="P28" s="113">
        <f>SUM(D28:O28)</f>
        <v>0</v>
      </c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3"/>
      <c r="AD28" s="113"/>
      <c r="AE28" s="113"/>
      <c r="AF28" s="113"/>
      <c r="AG28" s="113"/>
      <c r="AH28" s="113"/>
      <c r="AI28" s="113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</row>
    <row r="29" spans="1:48" s="106" customFormat="1" ht="12.75" hidden="1">
      <c r="A29" s="110" t="s">
        <v>28</v>
      </c>
      <c r="B29" s="98">
        <f>P29+AC29+AD29+AE29+AF29+AG29+AH29</f>
        <v>0</v>
      </c>
      <c r="C29" s="112"/>
      <c r="D29" s="112">
        <f>D26-D27-D28</f>
        <v>0</v>
      </c>
      <c r="E29" s="112">
        <f aca="true" t="shared" si="22" ref="E29:O29">E26-E27-E28</f>
        <v>0</v>
      </c>
      <c r="F29" s="112">
        <f t="shared" si="22"/>
        <v>0</v>
      </c>
      <c r="G29" s="112">
        <f t="shared" si="22"/>
        <v>0</v>
      </c>
      <c r="H29" s="112">
        <f t="shared" si="22"/>
        <v>0</v>
      </c>
      <c r="I29" s="112">
        <f t="shared" si="22"/>
        <v>0</v>
      </c>
      <c r="J29" s="112">
        <f t="shared" si="22"/>
        <v>0</v>
      </c>
      <c r="K29" s="112">
        <f t="shared" si="22"/>
        <v>0</v>
      </c>
      <c r="L29" s="112">
        <f t="shared" si="22"/>
        <v>0</v>
      </c>
      <c r="M29" s="112">
        <f t="shared" si="22"/>
        <v>0</v>
      </c>
      <c r="N29" s="112">
        <f t="shared" si="22"/>
        <v>0</v>
      </c>
      <c r="O29" s="112">
        <f t="shared" si="22"/>
        <v>0</v>
      </c>
      <c r="P29" s="113">
        <f>SUM(D29:O29)</f>
        <v>0</v>
      </c>
      <c r="Q29" s="112">
        <f aca="true" t="shared" si="23" ref="Q29:AB29">Q26-Q27-Q28</f>
        <v>0</v>
      </c>
      <c r="R29" s="112">
        <f t="shared" si="23"/>
        <v>0</v>
      </c>
      <c r="S29" s="112">
        <f t="shared" si="23"/>
        <v>0</v>
      </c>
      <c r="T29" s="112">
        <f t="shared" si="23"/>
        <v>0</v>
      </c>
      <c r="U29" s="112">
        <f t="shared" si="23"/>
        <v>0</v>
      </c>
      <c r="V29" s="112">
        <f t="shared" si="23"/>
        <v>0</v>
      </c>
      <c r="W29" s="112">
        <f t="shared" si="23"/>
        <v>0</v>
      </c>
      <c r="X29" s="112">
        <f t="shared" si="23"/>
        <v>0</v>
      </c>
      <c r="Y29" s="112">
        <f t="shared" si="23"/>
        <v>0</v>
      </c>
      <c r="Z29" s="112">
        <f t="shared" si="23"/>
        <v>0</v>
      </c>
      <c r="AA29" s="112">
        <f t="shared" si="23"/>
        <v>0</v>
      </c>
      <c r="AB29" s="112">
        <f t="shared" si="23"/>
        <v>0</v>
      </c>
      <c r="AC29" s="113">
        <f>SUM(Q29:AB29)</f>
        <v>0</v>
      </c>
      <c r="AD29" s="112">
        <f aca="true" t="shared" si="24" ref="AD29:AI29">AD26-AD27-AD28</f>
        <v>0</v>
      </c>
      <c r="AE29" s="112">
        <f t="shared" si="24"/>
        <v>0</v>
      </c>
      <c r="AF29" s="112">
        <f t="shared" si="24"/>
        <v>0</v>
      </c>
      <c r="AG29" s="112">
        <f t="shared" si="24"/>
        <v>0</v>
      </c>
      <c r="AH29" s="112">
        <f t="shared" si="24"/>
        <v>0</v>
      </c>
      <c r="AI29" s="112">
        <f t="shared" si="24"/>
        <v>0</v>
      </c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</row>
    <row r="30" spans="1:48" s="106" customFormat="1" ht="12.75" hidden="1">
      <c r="A30" s="110" t="s">
        <v>166</v>
      </c>
      <c r="B30" s="98">
        <f>AH30</f>
        <v>0</v>
      </c>
      <c r="C30" s="112"/>
      <c r="D30" s="112">
        <f>D29</f>
        <v>0</v>
      </c>
      <c r="E30" s="112">
        <f>D30+E29</f>
        <v>0</v>
      </c>
      <c r="F30" s="112">
        <f aca="true" t="shared" si="25" ref="F30:O30">E30+F29</f>
        <v>0</v>
      </c>
      <c r="G30" s="112">
        <f t="shared" si="25"/>
        <v>0</v>
      </c>
      <c r="H30" s="112">
        <f t="shared" si="25"/>
        <v>0</v>
      </c>
      <c r="I30" s="112">
        <f t="shared" si="25"/>
        <v>0</v>
      </c>
      <c r="J30" s="112">
        <f t="shared" si="25"/>
        <v>0</v>
      </c>
      <c r="K30" s="112">
        <f t="shared" si="25"/>
        <v>0</v>
      </c>
      <c r="L30" s="112">
        <f t="shared" si="25"/>
        <v>0</v>
      </c>
      <c r="M30" s="112">
        <f t="shared" si="25"/>
        <v>0</v>
      </c>
      <c r="N30" s="112">
        <f t="shared" si="25"/>
        <v>0</v>
      </c>
      <c r="O30" s="112">
        <f t="shared" si="25"/>
        <v>0</v>
      </c>
      <c r="P30" s="113">
        <f>O30</f>
        <v>0</v>
      </c>
      <c r="Q30" s="112">
        <f aca="true" t="shared" si="26" ref="Q30:AB30">P30+Q29</f>
        <v>0</v>
      </c>
      <c r="R30" s="112">
        <f t="shared" si="26"/>
        <v>0</v>
      </c>
      <c r="S30" s="112">
        <f t="shared" si="26"/>
        <v>0</v>
      </c>
      <c r="T30" s="112">
        <f t="shared" si="26"/>
        <v>0</v>
      </c>
      <c r="U30" s="112">
        <f t="shared" si="26"/>
        <v>0</v>
      </c>
      <c r="V30" s="112">
        <f t="shared" si="26"/>
        <v>0</v>
      </c>
      <c r="W30" s="112">
        <f t="shared" si="26"/>
        <v>0</v>
      </c>
      <c r="X30" s="112">
        <f t="shared" si="26"/>
        <v>0</v>
      </c>
      <c r="Y30" s="112">
        <f t="shared" si="26"/>
        <v>0</v>
      </c>
      <c r="Z30" s="112">
        <f t="shared" si="26"/>
        <v>0</v>
      </c>
      <c r="AA30" s="112">
        <f t="shared" si="26"/>
        <v>0</v>
      </c>
      <c r="AB30" s="112">
        <f t="shared" si="26"/>
        <v>0</v>
      </c>
      <c r="AC30" s="113">
        <f>AB30</f>
        <v>0</v>
      </c>
      <c r="AD30" s="112">
        <f aca="true" t="shared" si="27" ref="AD30:AI30">AC30+AD29</f>
        <v>0</v>
      </c>
      <c r="AE30" s="112">
        <f t="shared" si="27"/>
        <v>0</v>
      </c>
      <c r="AF30" s="112">
        <f t="shared" si="27"/>
        <v>0</v>
      </c>
      <c r="AG30" s="112">
        <f t="shared" si="27"/>
        <v>0</v>
      </c>
      <c r="AH30" s="112">
        <f t="shared" si="27"/>
        <v>0</v>
      </c>
      <c r="AI30" s="112">
        <f t="shared" si="27"/>
        <v>0</v>
      </c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</row>
    <row r="31" spans="1:48" s="106" customFormat="1" ht="12.75" hidden="1">
      <c r="A31" s="110" t="s">
        <v>167</v>
      </c>
      <c r="B31" s="98">
        <f>P31+AC31+AD31+AE31+AF31+AG31+AH31</f>
        <v>0</v>
      </c>
      <c r="C31" s="112"/>
      <c r="D31" s="112">
        <f>IF(C30+D29&gt;=0,IF(C30&lt;0,C30+D29,D29),0)</f>
        <v>0</v>
      </c>
      <c r="E31" s="112">
        <f aca="true" t="shared" si="28" ref="E31:AI31">IF(D30+E29&gt;=0,IF(D30&lt;0,D30+E29,E29),0)</f>
        <v>0</v>
      </c>
      <c r="F31" s="112">
        <f t="shared" si="28"/>
        <v>0</v>
      </c>
      <c r="G31" s="112">
        <f t="shared" si="28"/>
        <v>0</v>
      </c>
      <c r="H31" s="112">
        <f t="shared" si="28"/>
        <v>0</v>
      </c>
      <c r="I31" s="112">
        <f t="shared" si="28"/>
        <v>0</v>
      </c>
      <c r="J31" s="112">
        <f t="shared" si="28"/>
        <v>0</v>
      </c>
      <c r="K31" s="112">
        <f t="shared" si="28"/>
        <v>0</v>
      </c>
      <c r="L31" s="112">
        <f t="shared" si="28"/>
        <v>0</v>
      </c>
      <c r="M31" s="112">
        <f t="shared" si="28"/>
        <v>0</v>
      </c>
      <c r="N31" s="112">
        <f t="shared" si="28"/>
        <v>0</v>
      </c>
      <c r="O31" s="112">
        <f t="shared" si="28"/>
        <v>0</v>
      </c>
      <c r="P31" s="113">
        <f>SUM(D31:O31)</f>
        <v>0</v>
      </c>
      <c r="Q31" s="112">
        <f t="shared" si="28"/>
        <v>0</v>
      </c>
      <c r="R31" s="112">
        <f t="shared" si="28"/>
        <v>0</v>
      </c>
      <c r="S31" s="112">
        <f t="shared" si="28"/>
        <v>0</v>
      </c>
      <c r="T31" s="112">
        <f t="shared" si="28"/>
        <v>0</v>
      </c>
      <c r="U31" s="112">
        <f t="shared" si="28"/>
        <v>0</v>
      </c>
      <c r="V31" s="112">
        <f t="shared" si="28"/>
        <v>0</v>
      </c>
      <c r="W31" s="112">
        <f t="shared" si="28"/>
        <v>0</v>
      </c>
      <c r="X31" s="112">
        <f t="shared" si="28"/>
        <v>0</v>
      </c>
      <c r="Y31" s="112">
        <f t="shared" si="28"/>
        <v>0</v>
      </c>
      <c r="Z31" s="112">
        <f t="shared" si="28"/>
        <v>0</v>
      </c>
      <c r="AA31" s="112">
        <f t="shared" si="28"/>
        <v>0</v>
      </c>
      <c r="AB31" s="112">
        <f t="shared" si="28"/>
        <v>0</v>
      </c>
      <c r="AC31" s="113">
        <f>SUM(Q31:AB31)</f>
        <v>0</v>
      </c>
      <c r="AD31" s="112">
        <f t="shared" si="28"/>
        <v>0</v>
      </c>
      <c r="AE31" s="112">
        <f t="shared" si="28"/>
        <v>0</v>
      </c>
      <c r="AF31" s="112">
        <f t="shared" si="28"/>
        <v>0</v>
      </c>
      <c r="AG31" s="112">
        <f t="shared" si="28"/>
        <v>0</v>
      </c>
      <c r="AH31" s="112">
        <f t="shared" si="28"/>
        <v>0</v>
      </c>
      <c r="AI31" s="112">
        <f t="shared" si="28"/>
        <v>0</v>
      </c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</row>
    <row r="33" ht="12.75">
      <c r="B33" s="114"/>
    </row>
  </sheetData>
  <sheetProtection/>
  <mergeCells count="8">
    <mergeCell ref="Q23:AC23"/>
    <mergeCell ref="Q3:AC3"/>
    <mergeCell ref="A3:A4"/>
    <mergeCell ref="A23:A24"/>
    <mergeCell ref="B3:B4"/>
    <mergeCell ref="D23:P23"/>
    <mergeCell ref="B23:B24"/>
    <mergeCell ref="D3:P3"/>
  </mergeCells>
  <printOptions/>
  <pageMargins left="0.35433070866141736" right="0.2362204724409449" top="0.7480314960629921" bottom="0.2362204724409449" header="0.4724409448818898" footer="0.15748031496062992"/>
  <pageSetup horizontalDpi="600" verticalDpi="600" orientation="landscape" paperSize="9" r:id="rId1"/>
  <headerFooter alignWithMargins="0">
    <oddHeader>&amp;RПриложение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GB41"/>
  <sheetViews>
    <sheetView showGridLines="0" showZeros="0" zoomScalePageLayoutView="0" workbookViewId="0" topLeftCell="A1">
      <pane xSplit="3" ySplit="4" topLeftCell="T5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Z10" sqref="Z10"/>
    </sheetView>
  </sheetViews>
  <sheetFormatPr defaultColWidth="10.125" defaultRowHeight="12.75" outlineLevelCol="1"/>
  <cols>
    <col min="1" max="1" width="38.125" style="116" customWidth="1"/>
    <col min="2" max="2" width="2.375" style="116" customWidth="1"/>
    <col min="3" max="3" width="7.125" style="116" customWidth="1"/>
    <col min="4" max="4" width="11.375" style="116" hidden="1" customWidth="1" outlineLevel="1"/>
    <col min="5" max="11" width="7.375" style="116" hidden="1" customWidth="1" outlineLevel="1"/>
    <col min="12" max="12" width="8.00390625" style="116" hidden="1" customWidth="1" outlineLevel="1"/>
    <col min="13" max="13" width="7.875" style="116" hidden="1" customWidth="1" outlineLevel="1"/>
    <col min="14" max="15" width="8.125" style="116" hidden="1" customWidth="1" outlineLevel="1"/>
    <col min="16" max="16" width="9.875" style="116" customWidth="1" collapsed="1"/>
    <col min="17" max="23" width="8.375" style="116" hidden="1" customWidth="1" outlineLevel="1"/>
    <col min="24" max="25" width="8.75390625" style="116" hidden="1" customWidth="1" outlineLevel="1"/>
    <col min="26" max="26" width="8.625" style="116" hidden="1" customWidth="1" outlineLevel="1"/>
    <col min="27" max="27" width="9.00390625" style="116" hidden="1" customWidth="1" outlineLevel="1"/>
    <col min="28" max="28" width="9.125" style="116" hidden="1" customWidth="1" outlineLevel="1"/>
    <col min="29" max="29" width="10.125" style="116" customWidth="1" collapsed="1"/>
    <col min="30" max="30" width="9.875" style="116" customWidth="1"/>
    <col min="31" max="31" width="9.75390625" style="116" customWidth="1"/>
    <col min="32" max="32" width="9.625" style="116" customWidth="1"/>
    <col min="33" max="35" width="9.75390625" style="116" customWidth="1"/>
    <col min="36" max="16384" width="10.125" style="116" customWidth="1"/>
  </cols>
  <sheetData>
    <row r="1" spans="1:3" ht="12.75">
      <c r="A1" s="61" t="s">
        <v>114</v>
      </c>
      <c r="B1" s="115"/>
      <c r="C1" s="115"/>
    </row>
    <row r="2" spans="1:35" ht="17.25" customHeight="1">
      <c r="A2" s="61"/>
      <c r="C2" s="12" t="str">
        <f>Исх!$C$9</f>
        <v>тыс.тг.</v>
      </c>
      <c r="P2" s="117"/>
      <c r="AC2" s="117"/>
      <c r="AD2" s="117"/>
      <c r="AE2" s="117"/>
      <c r="AF2" s="117"/>
      <c r="AG2" s="117"/>
      <c r="AH2" s="117"/>
      <c r="AI2" s="117"/>
    </row>
    <row r="3" spans="1:35" ht="12.75" customHeight="1">
      <c r="A3" s="320" t="s">
        <v>2</v>
      </c>
      <c r="B3" s="322"/>
      <c r="C3" s="119"/>
      <c r="D3" s="323">
        <v>2013</v>
      </c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>
        <v>2014</v>
      </c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120">
        <f>Q3+1</f>
        <v>2015</v>
      </c>
      <c r="AE3" s="120">
        <f>AD3+1</f>
        <v>2016</v>
      </c>
      <c r="AF3" s="120">
        <f>AE3+1</f>
        <v>2017</v>
      </c>
      <c r="AG3" s="120">
        <f>AF3+1</f>
        <v>2018</v>
      </c>
      <c r="AH3" s="120">
        <f>AG3+1</f>
        <v>2019</v>
      </c>
      <c r="AI3" s="120">
        <f>AH3+1</f>
        <v>2020</v>
      </c>
    </row>
    <row r="4" spans="1:35" ht="12.75">
      <c r="A4" s="321"/>
      <c r="B4" s="322"/>
      <c r="C4" s="121"/>
      <c r="D4" s="122">
        <v>1</v>
      </c>
      <c r="E4" s="122">
        <f>D4+1</f>
        <v>2</v>
      </c>
      <c r="F4" s="122">
        <f aca="true" t="shared" si="0" ref="F4:O4">E4+1</f>
        <v>3</v>
      </c>
      <c r="G4" s="122">
        <f t="shared" si="0"/>
        <v>4</v>
      </c>
      <c r="H4" s="122">
        <f t="shared" si="0"/>
        <v>5</v>
      </c>
      <c r="I4" s="122">
        <f t="shared" si="0"/>
        <v>6</v>
      </c>
      <c r="J4" s="122">
        <f t="shared" si="0"/>
        <v>7</v>
      </c>
      <c r="K4" s="122">
        <f t="shared" si="0"/>
        <v>8</v>
      </c>
      <c r="L4" s="122">
        <f t="shared" si="0"/>
        <v>9</v>
      </c>
      <c r="M4" s="122">
        <f t="shared" si="0"/>
        <v>10</v>
      </c>
      <c r="N4" s="122">
        <f t="shared" si="0"/>
        <v>11</v>
      </c>
      <c r="O4" s="122">
        <f t="shared" si="0"/>
        <v>12</v>
      </c>
      <c r="P4" s="118" t="s">
        <v>0</v>
      </c>
      <c r="Q4" s="122">
        <v>1</v>
      </c>
      <c r="R4" s="122">
        <f aca="true" t="shared" si="1" ref="R4:AB4">Q4+1</f>
        <v>2</v>
      </c>
      <c r="S4" s="122">
        <f t="shared" si="1"/>
        <v>3</v>
      </c>
      <c r="T4" s="122">
        <f t="shared" si="1"/>
        <v>4</v>
      </c>
      <c r="U4" s="122">
        <f t="shared" si="1"/>
        <v>5</v>
      </c>
      <c r="V4" s="122">
        <f t="shared" si="1"/>
        <v>6</v>
      </c>
      <c r="W4" s="122">
        <f t="shared" si="1"/>
        <v>7</v>
      </c>
      <c r="X4" s="122">
        <f t="shared" si="1"/>
        <v>8</v>
      </c>
      <c r="Y4" s="122">
        <f t="shared" si="1"/>
        <v>9</v>
      </c>
      <c r="Z4" s="122">
        <f t="shared" si="1"/>
        <v>10</v>
      </c>
      <c r="AA4" s="122">
        <f t="shared" si="1"/>
        <v>11</v>
      </c>
      <c r="AB4" s="122">
        <f t="shared" si="1"/>
        <v>12</v>
      </c>
      <c r="AC4" s="118" t="s">
        <v>0</v>
      </c>
      <c r="AD4" s="118" t="s">
        <v>112</v>
      </c>
      <c r="AE4" s="118" t="s">
        <v>112</v>
      </c>
      <c r="AF4" s="118" t="s">
        <v>112</v>
      </c>
      <c r="AG4" s="118" t="s">
        <v>112</v>
      </c>
      <c r="AH4" s="118" t="s">
        <v>112</v>
      </c>
      <c r="AI4" s="118" t="s">
        <v>112</v>
      </c>
    </row>
    <row r="5" spans="1:42" s="127" customFormat="1" ht="15" customHeight="1">
      <c r="A5" s="123" t="s">
        <v>115</v>
      </c>
      <c r="B5" s="124"/>
      <c r="C5" s="125">
        <f>C11+C6</f>
        <v>0</v>
      </c>
      <c r="D5" s="125">
        <f>D11+D6</f>
        <v>0</v>
      </c>
      <c r="E5" s="125">
        <f aca="true" t="shared" si="2" ref="E5:AH5">E11+E6</f>
        <v>0</v>
      </c>
      <c r="F5" s="125">
        <f t="shared" si="2"/>
        <v>0</v>
      </c>
      <c r="G5" s="125">
        <f t="shared" si="2"/>
        <v>0</v>
      </c>
      <c r="H5" s="125">
        <f t="shared" si="2"/>
        <v>0</v>
      </c>
      <c r="I5" s="125">
        <f t="shared" si="2"/>
        <v>0</v>
      </c>
      <c r="J5" s="125">
        <f t="shared" si="2"/>
        <v>0</v>
      </c>
      <c r="K5" s="125">
        <f t="shared" si="2"/>
        <v>0</v>
      </c>
      <c r="L5" s="125">
        <f t="shared" si="2"/>
        <v>0</v>
      </c>
      <c r="M5" s="125">
        <f t="shared" si="2"/>
        <v>743.4086000000001</v>
      </c>
      <c r="N5" s="125">
        <f t="shared" si="2"/>
        <v>743.4086000000001</v>
      </c>
      <c r="O5" s="125">
        <f t="shared" si="2"/>
        <v>743.4086000000001</v>
      </c>
      <c r="P5" s="125">
        <f t="shared" si="2"/>
        <v>743.4086000000001</v>
      </c>
      <c r="Q5" s="125">
        <f t="shared" si="2"/>
        <v>1000.3690165333335</v>
      </c>
      <c r="R5" s="125">
        <f t="shared" si="2"/>
        <v>995.1227898186669</v>
      </c>
      <c r="S5" s="125">
        <f t="shared" si="2"/>
        <v>2064.0535800000002</v>
      </c>
      <c r="T5" s="125">
        <f t="shared" si="2"/>
        <v>1866.3814346201393</v>
      </c>
      <c r="U5" s="125">
        <f t="shared" si="2"/>
        <v>1668.944185707639</v>
      </c>
      <c r="V5" s="125">
        <f t="shared" si="2"/>
        <v>1730.6266046785001</v>
      </c>
      <c r="W5" s="125">
        <f t="shared" si="2"/>
        <v>1792.5439201167223</v>
      </c>
      <c r="X5" s="125">
        <f t="shared" si="2"/>
        <v>1854.6961320223054</v>
      </c>
      <c r="Y5" s="125">
        <f t="shared" si="2"/>
        <v>1658.1984689792498</v>
      </c>
      <c r="Z5" s="125">
        <f t="shared" si="2"/>
        <v>1614.8768490702223</v>
      </c>
      <c r="AA5" s="125">
        <f t="shared" si="2"/>
        <v>1571.7901256285554</v>
      </c>
      <c r="AB5" s="125">
        <f t="shared" si="2"/>
        <v>1528.93829865425</v>
      </c>
      <c r="AC5" s="125">
        <f t="shared" si="2"/>
        <v>1528.93829865425</v>
      </c>
      <c r="AD5" s="125">
        <f t="shared" si="2"/>
        <v>1735.3952657120556</v>
      </c>
      <c r="AE5" s="125">
        <f t="shared" si="2"/>
        <v>2357.4511968080556</v>
      </c>
      <c r="AF5" s="125">
        <f t="shared" si="2"/>
        <v>2979.507127904056</v>
      </c>
      <c r="AG5" s="125">
        <f t="shared" si="2"/>
        <v>3601.5630590000555</v>
      </c>
      <c r="AH5" s="125">
        <f t="shared" si="2"/>
        <v>4223.618990096055</v>
      </c>
      <c r="AI5" s="125">
        <f>AI11+AI6</f>
        <v>4845.674921192055</v>
      </c>
      <c r="AJ5" s="126"/>
      <c r="AK5" s="126"/>
      <c r="AL5" s="126"/>
      <c r="AM5" s="126"/>
      <c r="AN5" s="126"/>
      <c r="AO5" s="126"/>
      <c r="AP5" s="126"/>
    </row>
    <row r="6" spans="1:35" s="127" customFormat="1" ht="15" customHeight="1">
      <c r="A6" s="123" t="s">
        <v>116</v>
      </c>
      <c r="B6" s="124"/>
      <c r="C6" s="125">
        <f>SUM(C7:C10)</f>
        <v>0</v>
      </c>
      <c r="D6" s="125">
        <f>SUM(D7:D10)</f>
        <v>0</v>
      </c>
      <c r="E6" s="125">
        <f aca="true" t="shared" si="3" ref="E6:AH6">SUM(E7:E10)</f>
        <v>0</v>
      </c>
      <c r="F6" s="125">
        <f t="shared" si="3"/>
        <v>0</v>
      </c>
      <c r="G6" s="125">
        <f t="shared" si="3"/>
        <v>0</v>
      </c>
      <c r="H6" s="125">
        <f t="shared" si="3"/>
        <v>0</v>
      </c>
      <c r="I6" s="125">
        <f t="shared" si="3"/>
        <v>0</v>
      </c>
      <c r="J6" s="125">
        <f t="shared" si="3"/>
        <v>0</v>
      </c>
      <c r="K6" s="125">
        <f t="shared" si="3"/>
        <v>0</v>
      </c>
      <c r="L6" s="125">
        <f t="shared" si="3"/>
        <v>0</v>
      </c>
      <c r="M6" s="125">
        <f t="shared" si="3"/>
        <v>0</v>
      </c>
      <c r="N6" s="125">
        <f t="shared" si="3"/>
        <v>0</v>
      </c>
      <c r="O6" s="125">
        <f t="shared" si="3"/>
        <v>0</v>
      </c>
      <c r="P6" s="125">
        <f t="shared" si="3"/>
        <v>0</v>
      </c>
      <c r="Q6" s="125">
        <f t="shared" si="3"/>
        <v>262.21735320000005</v>
      </c>
      <c r="R6" s="125">
        <f t="shared" si="3"/>
        <v>262.22806315200006</v>
      </c>
      <c r="S6" s="125">
        <f t="shared" si="3"/>
        <v>1336.41579</v>
      </c>
      <c r="T6" s="125">
        <f t="shared" si="3"/>
        <v>1144.0005812868058</v>
      </c>
      <c r="U6" s="125">
        <f t="shared" si="3"/>
        <v>951.8202690409723</v>
      </c>
      <c r="V6" s="125">
        <f t="shared" si="3"/>
        <v>1018.7596246785</v>
      </c>
      <c r="W6" s="125">
        <f t="shared" si="3"/>
        <v>1085.9338767833888</v>
      </c>
      <c r="X6" s="125">
        <f t="shared" si="3"/>
        <v>1153.3430253556387</v>
      </c>
      <c r="Y6" s="125">
        <f t="shared" si="3"/>
        <v>962.1022989792498</v>
      </c>
      <c r="Z6" s="125">
        <f t="shared" si="3"/>
        <v>918.780679070222</v>
      </c>
      <c r="AA6" s="125">
        <f t="shared" si="3"/>
        <v>875.6939556285554</v>
      </c>
      <c r="AB6" s="125">
        <f t="shared" si="3"/>
        <v>832.8421286542498</v>
      </c>
      <c r="AC6" s="125">
        <f t="shared" si="3"/>
        <v>832.8421286542498</v>
      </c>
      <c r="AD6" s="125">
        <f t="shared" si="3"/>
        <v>1086.6115257120555</v>
      </c>
      <c r="AE6" s="125">
        <f t="shared" si="3"/>
        <v>1755.9798868080554</v>
      </c>
      <c r="AF6" s="125">
        <f t="shared" si="3"/>
        <v>2425.3482479040554</v>
      </c>
      <c r="AG6" s="125">
        <f t="shared" si="3"/>
        <v>3094.7166090000555</v>
      </c>
      <c r="AH6" s="125">
        <f t="shared" si="3"/>
        <v>3764.0849700960553</v>
      </c>
      <c r="AI6" s="125">
        <f>SUM(AI7:AI10)</f>
        <v>4433.453331192055</v>
      </c>
    </row>
    <row r="7" spans="1:35" ht="15" customHeight="1">
      <c r="A7" s="128" t="s">
        <v>117</v>
      </c>
      <c r="B7" s="124"/>
      <c r="C7" s="129"/>
      <c r="D7" s="129">
        <f>'1-Ф3'!D36</f>
        <v>0</v>
      </c>
      <c r="E7" s="129">
        <f>'1-Ф3'!E36</f>
        <v>0</v>
      </c>
      <c r="F7" s="129">
        <f>'1-Ф3'!F36</f>
        <v>0</v>
      </c>
      <c r="G7" s="129">
        <f>'1-Ф3'!G36</f>
        <v>0</v>
      </c>
      <c r="H7" s="129">
        <f>'1-Ф3'!H36</f>
        <v>0</v>
      </c>
      <c r="I7" s="129">
        <f>'1-Ф3'!I36</f>
        <v>0</v>
      </c>
      <c r="J7" s="129">
        <f>'1-Ф3'!J36</f>
        <v>0</v>
      </c>
      <c r="K7" s="129">
        <f>'1-Ф3'!K36</f>
        <v>0</v>
      </c>
      <c r="L7" s="129">
        <f>'1-Ф3'!L36</f>
        <v>0</v>
      </c>
      <c r="M7" s="129">
        <f>'1-Ф3'!M36</f>
        <v>0</v>
      </c>
      <c r="N7" s="129">
        <f>'1-Ф3'!N36</f>
        <v>0</v>
      </c>
      <c r="O7" s="129">
        <f>'1-Ф3'!O36</f>
        <v>0</v>
      </c>
      <c r="P7" s="129">
        <f>'1-Ф3'!P36</f>
        <v>0</v>
      </c>
      <c r="Q7" s="129">
        <f>'1-Ф3'!Q36</f>
        <v>0</v>
      </c>
      <c r="R7" s="129">
        <f>'1-Ф3'!R36</f>
        <v>0</v>
      </c>
      <c r="S7" s="129">
        <f>'1-Ф3'!S36</f>
        <v>1096.0818302</v>
      </c>
      <c r="T7" s="129">
        <f>'1-Ф3'!T36</f>
        <v>902.9107585108056</v>
      </c>
      <c r="U7" s="129">
        <f>'1-Ф3'!U36</f>
        <v>709.9745832889723</v>
      </c>
      <c r="V7" s="129">
        <f>'1-Ф3'!V36</f>
        <v>857.5291675105</v>
      </c>
      <c r="W7" s="129">
        <f>'1-Ф3'!W36</f>
        <v>1005.3186481993887</v>
      </c>
      <c r="X7" s="129">
        <f>'1-Ф3'!X36</f>
        <v>1153.3430253556387</v>
      </c>
      <c r="Y7" s="129">
        <f>'1-Ф3'!Y36</f>
        <v>962.1022989792498</v>
      </c>
      <c r="Z7" s="129">
        <f>'1-Ф3'!Z36</f>
        <v>918.780679070222</v>
      </c>
      <c r="AA7" s="129">
        <f>'1-Ф3'!AA36</f>
        <v>875.6939556285554</v>
      </c>
      <c r="AB7" s="129">
        <f>'1-Ф3'!AB36</f>
        <v>832.8421286542498</v>
      </c>
      <c r="AC7" s="129">
        <f>'1-Ф3'!AC36</f>
        <v>832.8421286542498</v>
      </c>
      <c r="AD7" s="129">
        <f>'1-Ф3'!AD36</f>
        <v>1086.6115257120555</v>
      </c>
      <c r="AE7" s="129">
        <f>'1-Ф3'!AE36</f>
        <v>1755.9798868080554</v>
      </c>
      <c r="AF7" s="129">
        <f>'1-Ф3'!AF36</f>
        <v>2425.3482479040554</v>
      </c>
      <c r="AG7" s="129">
        <f>'1-Ф3'!AG36</f>
        <v>3094.7166090000555</v>
      </c>
      <c r="AH7" s="129">
        <f>'1-Ф3'!AH36</f>
        <v>3764.0849700960553</v>
      </c>
      <c r="AI7" s="129">
        <f>'1-Ф3'!AI36</f>
        <v>4433.453331192055</v>
      </c>
    </row>
    <row r="8" spans="1:35" ht="15" customHeight="1">
      <c r="A8" s="128" t="s">
        <v>118</v>
      </c>
      <c r="B8" s="124"/>
      <c r="C8" s="129"/>
      <c r="D8" s="129">
        <f>C8+'2-ф2'!D5-'1-Ф3'!D9/Исх!$C$18</f>
        <v>0</v>
      </c>
      <c r="E8" s="129">
        <f>D8+'2-ф2'!E5-'1-Ф3'!E9/Исх!$C$18</f>
        <v>0</v>
      </c>
      <c r="F8" s="129">
        <f>E8+'2-ф2'!F5-'1-Ф3'!F9/Исх!$C$18</f>
        <v>0</v>
      </c>
      <c r="G8" s="129">
        <f>F8+'2-ф2'!G5-'1-Ф3'!G9/Исх!$C$18</f>
        <v>0</v>
      </c>
      <c r="H8" s="129">
        <f>G8+'2-ф2'!H5-'1-Ф3'!H9/Исх!$C$18</f>
        <v>0</v>
      </c>
      <c r="I8" s="129">
        <f>H8+'2-ф2'!I5-'1-Ф3'!I9/Исх!$C$18</f>
        <v>0</v>
      </c>
      <c r="J8" s="129">
        <f>I8+'2-ф2'!J5-'1-Ф3'!J9/Исх!$C$18</f>
        <v>0</v>
      </c>
      <c r="K8" s="129">
        <f>J8+'2-ф2'!K5-'1-Ф3'!K9/Исх!$C$18</f>
        <v>0</v>
      </c>
      <c r="L8" s="129">
        <f>K8+'2-ф2'!L5-'1-Ф3'!L9/Исх!$C$18</f>
        <v>0</v>
      </c>
      <c r="M8" s="129">
        <f>L8+'2-ф2'!M5-'1-Ф3'!M9/Исх!$C$18</f>
        <v>0</v>
      </c>
      <c r="N8" s="129">
        <f>M8+'2-ф2'!N5-'1-Ф3'!N9/Исх!$C$18</f>
        <v>0</v>
      </c>
      <c r="O8" s="129">
        <f>N8+'2-ф2'!O5-'1-Ф3'!O9/Исх!$C$18</f>
        <v>0</v>
      </c>
      <c r="P8" s="129">
        <f>O8</f>
        <v>0</v>
      </c>
      <c r="Q8" s="129">
        <f>P8+'2-ф2'!Q5-'1-Ф3'!Q9/Исх!$C$18</f>
        <v>0</v>
      </c>
      <c r="R8" s="129">
        <f>Q8+'2-ф2'!R5-'1-Ф3'!R9/Исх!$C$18</f>
        <v>0</v>
      </c>
      <c r="S8" s="129">
        <f>R8+'2-ф2'!S5-'1-Ф3'!S9/Исх!$C$18</f>
        <v>0</v>
      </c>
      <c r="T8" s="129">
        <f>S8+'2-ф2'!T5-'1-Ф3'!T9/Исх!$C$18</f>
        <v>0</v>
      </c>
      <c r="U8" s="129">
        <f>T8+'2-ф2'!U5-'1-Ф3'!U9/Исх!$C$18</f>
        <v>0</v>
      </c>
      <c r="V8" s="129">
        <f>U8+'2-ф2'!V5-'1-Ф3'!V9/Исх!$C$18</f>
        <v>0</v>
      </c>
      <c r="W8" s="129">
        <f>V8+'2-ф2'!W5-'1-Ф3'!W9/Исх!$C$18</f>
        <v>0</v>
      </c>
      <c r="X8" s="129">
        <f>W8+'2-ф2'!X5-'1-Ф3'!X9/Исх!$C$18</f>
        <v>0</v>
      </c>
      <c r="Y8" s="129">
        <f>X8+'2-ф2'!Y5-'1-Ф3'!Y9/Исх!$C$18</f>
        <v>0</v>
      </c>
      <c r="Z8" s="129">
        <f>Y8+'2-ф2'!Z5-'1-Ф3'!Z9/Исх!$C$18</f>
        <v>0</v>
      </c>
      <c r="AA8" s="129">
        <f>Z8+'2-ф2'!AA5-'1-Ф3'!AA9/Исх!$C$18</f>
        <v>0</v>
      </c>
      <c r="AB8" s="129">
        <f>AA8+'2-ф2'!AB5-'1-Ф3'!AB9/Исх!$C$18</f>
        <v>0</v>
      </c>
      <c r="AC8" s="129">
        <f>AB8</f>
        <v>0</v>
      </c>
      <c r="AD8" s="129">
        <f>AC8+'2-ф2'!AD5-'1-Ф3'!AD9/Исх!$C$18</f>
        <v>0</v>
      </c>
      <c r="AE8" s="129">
        <f>AD8+'2-ф2'!AE5-'1-Ф3'!AE9/Исх!$C$18</f>
        <v>0</v>
      </c>
      <c r="AF8" s="129">
        <f>AE8+'2-ф2'!AF5-'1-Ф3'!AF9/Исх!$C$18</f>
        <v>0</v>
      </c>
      <c r="AG8" s="129">
        <f>AF8+'2-ф2'!AG5-'1-Ф3'!AG9/Исх!$C$18</f>
        <v>0</v>
      </c>
      <c r="AH8" s="129">
        <f>AG8+'2-ф2'!AH5-'1-Ф3'!AH9/Исх!$C$18</f>
        <v>0</v>
      </c>
      <c r="AI8" s="129">
        <f>AH8+'2-ф2'!AI5-'1-Ф3'!AI9/Исх!$C$18</f>
        <v>0</v>
      </c>
    </row>
    <row r="9" spans="1:35" ht="15" customHeight="1">
      <c r="A9" s="128" t="s">
        <v>119</v>
      </c>
      <c r="B9" s="124"/>
      <c r="C9" s="129"/>
      <c r="D9" s="129">
        <f>C9+'1-Ф3'!D13/Исх!$C$18-'2-ф2'!D9</f>
        <v>0</v>
      </c>
      <c r="E9" s="129">
        <f>D9+'1-Ф3'!E13/Исх!$C$18-'2-ф2'!E9</f>
        <v>0</v>
      </c>
      <c r="F9" s="129">
        <f>E9+'1-Ф3'!F13/Исх!$C$18-'2-ф2'!F9</f>
        <v>0</v>
      </c>
      <c r="G9" s="129">
        <f>F9</f>
        <v>0</v>
      </c>
      <c r="H9" s="129">
        <f>G9</f>
        <v>0</v>
      </c>
      <c r="I9" s="129">
        <f>H9</f>
        <v>0</v>
      </c>
      <c r="J9" s="129">
        <f aca="true" t="shared" si="4" ref="J9:O9">I9</f>
        <v>0</v>
      </c>
      <c r="K9" s="129">
        <f t="shared" si="4"/>
        <v>0</v>
      </c>
      <c r="L9" s="129">
        <f t="shared" si="4"/>
        <v>0</v>
      </c>
      <c r="M9" s="129">
        <f t="shared" si="4"/>
        <v>0</v>
      </c>
      <c r="N9" s="129">
        <f t="shared" si="4"/>
        <v>0</v>
      </c>
      <c r="O9" s="129">
        <f t="shared" si="4"/>
        <v>0</v>
      </c>
      <c r="P9" s="129">
        <f>O9</f>
        <v>0</v>
      </c>
      <c r="Q9" s="129">
        <f>O9</f>
        <v>0</v>
      </c>
      <c r="R9" s="129">
        <f aca="true" t="shared" si="5" ref="R9:AB9">P9</f>
        <v>0</v>
      </c>
      <c r="S9" s="129">
        <f t="shared" si="5"/>
        <v>0</v>
      </c>
      <c r="T9" s="129">
        <f t="shared" si="5"/>
        <v>0</v>
      </c>
      <c r="U9" s="129">
        <f t="shared" si="5"/>
        <v>0</v>
      </c>
      <c r="V9" s="129">
        <f t="shared" si="5"/>
        <v>0</v>
      </c>
      <c r="W9" s="129">
        <f t="shared" si="5"/>
        <v>0</v>
      </c>
      <c r="X9" s="129">
        <f t="shared" si="5"/>
        <v>0</v>
      </c>
      <c r="Y9" s="129">
        <f t="shared" si="5"/>
        <v>0</v>
      </c>
      <c r="Z9" s="129">
        <f t="shared" si="5"/>
        <v>0</v>
      </c>
      <c r="AA9" s="129">
        <f t="shared" si="5"/>
        <v>0</v>
      </c>
      <c r="AB9" s="129">
        <f t="shared" si="5"/>
        <v>0</v>
      </c>
      <c r="AC9" s="129">
        <f>AB9</f>
        <v>0</v>
      </c>
      <c r="AD9" s="129">
        <f aca="true" t="shared" si="6" ref="AD9:AI9">AB9</f>
        <v>0</v>
      </c>
      <c r="AE9" s="129">
        <f t="shared" si="6"/>
        <v>0</v>
      </c>
      <c r="AF9" s="129">
        <f t="shared" si="6"/>
        <v>0</v>
      </c>
      <c r="AG9" s="129">
        <f t="shared" si="6"/>
        <v>0</v>
      </c>
      <c r="AH9" s="129">
        <f t="shared" si="6"/>
        <v>0</v>
      </c>
      <c r="AI9" s="129">
        <f t="shared" si="6"/>
        <v>0</v>
      </c>
    </row>
    <row r="10" spans="1:35" ht="25.5">
      <c r="A10" s="128" t="s">
        <v>213</v>
      </c>
      <c r="B10" s="124"/>
      <c r="C10" s="129"/>
      <c r="D10" s="129"/>
      <c r="E10" s="129"/>
      <c r="F10" s="129">
        <f>E10+'1-Ф3'!F13/Исх!$C$18*ндс</f>
        <v>0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>
        <f>O10</f>
        <v>0</v>
      </c>
      <c r="Q10" s="129">
        <f>P10+'1-Ф3'!Q13+'1-Ф3'!Q14-'2-ф2'!Q8</f>
        <v>262.21735320000005</v>
      </c>
      <c r="R10" s="129">
        <f>Q10+'1-Ф3'!R13+'1-Ф3'!R14-'2-ф2'!R8</f>
        <v>262.22806315200006</v>
      </c>
      <c r="S10" s="129">
        <f>R10+'1-Ф3'!S13+'1-Ф3'!S14-'2-ф2'!S8</f>
        <v>240.33395980000006</v>
      </c>
      <c r="T10" s="129">
        <f>S10+'1-Ф3'!T13+'1-Ф3'!T14-'2-ф2'!T8</f>
        <v>241.08982277600006</v>
      </c>
      <c r="U10" s="129">
        <f>T10+'1-Ф3'!U13+'1-Ф3'!U14-'2-ф2'!U8</f>
        <v>241.84568575200007</v>
      </c>
      <c r="V10" s="129">
        <f>U10+'1-Ф3'!V13+'1-Ф3'!V14-'2-ф2'!V8</f>
        <v>161.23045716800004</v>
      </c>
      <c r="W10" s="129">
        <f>V10+'1-Ф3'!W13+'1-Ф3'!W14-'2-ф2'!W8</f>
        <v>80.61522858400002</v>
      </c>
      <c r="X10" s="129">
        <f>W10+'1-Ф3'!X13+'1-Ф3'!X14-'2-ф2'!X8</f>
        <v>0</v>
      </c>
      <c r="Y10" s="129">
        <f>X10+'1-Ф3'!Y13+'1-Ф3'!Y14-'2-ф2'!Y8</f>
        <v>0</v>
      </c>
      <c r="Z10" s="129">
        <f>Y10+'1-Ф3'!Z13+'1-Ф3'!Z14-'2-ф2'!Z8</f>
        <v>0</v>
      </c>
      <c r="AA10" s="129">
        <f>Z10+'1-Ф3'!AA13+'1-Ф3'!AA14-'2-ф2'!AA8</f>
        <v>0</v>
      </c>
      <c r="AB10" s="129">
        <f>AA10+'1-Ф3'!AB13+'1-Ф3'!AB14-'2-ф2'!AB8</f>
        <v>0</v>
      </c>
      <c r="AC10" s="129">
        <f>AB10</f>
        <v>0</v>
      </c>
      <c r="AD10" s="129">
        <f>AC10+'1-Ф3'!AD13+'1-Ф3'!AD14-'2-ф2'!AD8</f>
        <v>0</v>
      </c>
      <c r="AE10" s="129">
        <f>AD10+'1-Ф3'!AE13+'1-Ф3'!AE14-'2-ф2'!AE8</f>
        <v>0</v>
      </c>
      <c r="AF10" s="129">
        <f>AE10+'1-Ф3'!AF13+'1-Ф3'!AF14-'2-ф2'!AF8</f>
        <v>0</v>
      </c>
      <c r="AG10" s="129">
        <f>AF10+'1-Ф3'!AG13+'1-Ф3'!AG14-'2-ф2'!AG8</f>
        <v>0</v>
      </c>
      <c r="AH10" s="129">
        <f>AG10+'1-Ф3'!AH13+'1-Ф3'!AH14-'2-ф2'!AH8</f>
        <v>0</v>
      </c>
      <c r="AI10" s="129">
        <f>AH10+'1-Ф3'!AI13+'1-Ф3'!AI14-'2-ф2'!AI8</f>
        <v>0</v>
      </c>
    </row>
    <row r="11" spans="1:35" ht="15" customHeight="1">
      <c r="A11" s="123" t="s">
        <v>120</v>
      </c>
      <c r="B11" s="124"/>
      <c r="C11" s="125">
        <f aca="true" t="shared" si="7" ref="C11:AH11">SUM(C12:C14)</f>
        <v>0</v>
      </c>
      <c r="D11" s="125">
        <f t="shared" si="7"/>
        <v>0</v>
      </c>
      <c r="E11" s="125">
        <f t="shared" si="7"/>
        <v>0</v>
      </c>
      <c r="F11" s="125">
        <f t="shared" si="7"/>
        <v>0</v>
      </c>
      <c r="G11" s="125">
        <f t="shared" si="7"/>
        <v>0</v>
      </c>
      <c r="H11" s="125">
        <f t="shared" si="7"/>
        <v>0</v>
      </c>
      <c r="I11" s="125">
        <f t="shared" si="7"/>
        <v>0</v>
      </c>
      <c r="J11" s="125">
        <f t="shared" si="7"/>
        <v>0</v>
      </c>
      <c r="K11" s="125">
        <f t="shared" si="7"/>
        <v>0</v>
      </c>
      <c r="L11" s="125">
        <f t="shared" si="7"/>
        <v>0</v>
      </c>
      <c r="M11" s="125">
        <f t="shared" si="7"/>
        <v>743.4086000000001</v>
      </c>
      <c r="N11" s="125">
        <f t="shared" si="7"/>
        <v>743.4086000000001</v>
      </c>
      <c r="O11" s="125">
        <f t="shared" si="7"/>
        <v>743.4086000000001</v>
      </c>
      <c r="P11" s="125">
        <f t="shared" si="7"/>
        <v>743.4086000000001</v>
      </c>
      <c r="Q11" s="125">
        <f t="shared" si="7"/>
        <v>738.1516633333334</v>
      </c>
      <c r="R11" s="125">
        <f t="shared" si="7"/>
        <v>732.8947266666668</v>
      </c>
      <c r="S11" s="125">
        <f t="shared" si="7"/>
        <v>727.6377900000001</v>
      </c>
      <c r="T11" s="125">
        <f t="shared" si="7"/>
        <v>722.3808533333334</v>
      </c>
      <c r="U11" s="125">
        <f t="shared" si="7"/>
        <v>717.1239166666668</v>
      </c>
      <c r="V11" s="125">
        <f t="shared" si="7"/>
        <v>711.8669800000001</v>
      </c>
      <c r="W11" s="125">
        <f t="shared" si="7"/>
        <v>706.6100433333335</v>
      </c>
      <c r="X11" s="125">
        <f t="shared" si="7"/>
        <v>701.3531066666668</v>
      </c>
      <c r="Y11" s="125">
        <f t="shared" si="7"/>
        <v>696.0961700000001</v>
      </c>
      <c r="Z11" s="125">
        <f t="shared" si="7"/>
        <v>696.0961700000001</v>
      </c>
      <c r="AA11" s="125">
        <f t="shared" si="7"/>
        <v>696.0961700000001</v>
      </c>
      <c r="AB11" s="125">
        <f t="shared" si="7"/>
        <v>696.0961700000001</v>
      </c>
      <c r="AC11" s="125">
        <f t="shared" si="7"/>
        <v>696.0961700000001</v>
      </c>
      <c r="AD11" s="125">
        <f t="shared" si="7"/>
        <v>648.7837400000001</v>
      </c>
      <c r="AE11" s="125">
        <f t="shared" si="7"/>
        <v>601.4713100000001</v>
      </c>
      <c r="AF11" s="125">
        <f t="shared" si="7"/>
        <v>554.1588800000002</v>
      </c>
      <c r="AG11" s="125">
        <f t="shared" si="7"/>
        <v>506.8464500000002</v>
      </c>
      <c r="AH11" s="125">
        <f t="shared" si="7"/>
        <v>459.53402000000017</v>
      </c>
      <c r="AI11" s="125">
        <f>SUM(AI12:AI14)</f>
        <v>412.22159000000016</v>
      </c>
    </row>
    <row r="12" spans="1:35" ht="12.75">
      <c r="A12" s="128" t="s">
        <v>121</v>
      </c>
      <c r="B12" s="130"/>
      <c r="C12" s="129"/>
      <c r="D12" s="129">
        <f>C12+'1-Ф3'!D22/Исх!$C$18-'2-ф2'!D13</f>
        <v>0</v>
      </c>
      <c r="E12" s="129">
        <f>D12+'1-Ф3'!E22/Исх!$C$18-'2-ф2'!E13</f>
        <v>0</v>
      </c>
      <c r="F12" s="129">
        <f>E12+'1-Ф3'!F22/Исх!$C$18-'2-ф2'!F13</f>
        <v>0</v>
      </c>
      <c r="G12" s="129">
        <f>F12+'1-Ф3'!G22/Исх!$C$18-'2-ф2'!G13</f>
        <v>0</v>
      </c>
      <c r="H12" s="129">
        <f>G12+'1-Ф3'!H22/Исх!$C$18-'2-ф2'!H13</f>
        <v>0</v>
      </c>
      <c r="I12" s="129">
        <f>H12+'1-Ф3'!I22/Исх!$C$18-'2-ф2'!I13</f>
        <v>0</v>
      </c>
      <c r="J12" s="129">
        <f>I12+'1-Ф3'!J22/Исх!$C$18-'2-ф2'!J13</f>
        <v>0</v>
      </c>
      <c r="K12" s="129">
        <f>J12+'1-Ф3'!K22/Исх!$C$18-'2-ф2'!K13</f>
        <v>0</v>
      </c>
      <c r="L12" s="129">
        <f>K12+'1-Ф3'!L22/Исх!$C$18-'2-ф2'!L13</f>
        <v>0</v>
      </c>
      <c r="M12" s="129">
        <f>L12+'1-Ф3'!M22/Исх!$C$18-'2-ф2'!M13</f>
        <v>743.4086000000001</v>
      </c>
      <c r="N12" s="129">
        <f>M12+'1-Ф3'!N22/Исх!$C$18-'2-ф2'!N13</f>
        <v>743.4086000000001</v>
      </c>
      <c r="O12" s="129">
        <f>N12+'1-Ф3'!O22/Исх!$C$18-'2-ф2'!O13</f>
        <v>743.4086000000001</v>
      </c>
      <c r="P12" s="129">
        <f>O12</f>
        <v>743.4086000000001</v>
      </c>
      <c r="Q12" s="129">
        <f>P12+'1-Ф3'!Q22/Исх!$C$18-'2-ф2'!Q13</f>
        <v>738.1516633333334</v>
      </c>
      <c r="R12" s="129">
        <f>Q12+'1-Ф3'!R22/Исх!$C$18-'2-ф2'!R13</f>
        <v>732.8947266666668</v>
      </c>
      <c r="S12" s="129">
        <f>R12+'1-Ф3'!S22/Исх!$C$18-'2-ф2'!S13</f>
        <v>727.6377900000001</v>
      </c>
      <c r="T12" s="129">
        <f>S12+'1-Ф3'!T22/Исх!$C$18-'2-ф2'!T13</f>
        <v>722.3808533333334</v>
      </c>
      <c r="U12" s="129">
        <f>T12+'1-Ф3'!U22/Исх!$C$18-'2-ф2'!U13</f>
        <v>717.1239166666668</v>
      </c>
      <c r="V12" s="129">
        <f>U12+'1-Ф3'!V22/Исх!$C$18-'2-ф2'!V13</f>
        <v>711.8669800000001</v>
      </c>
      <c r="W12" s="129">
        <f>V12+'1-Ф3'!W22/Исх!$C$18-'2-ф2'!W13</f>
        <v>706.6100433333335</v>
      </c>
      <c r="X12" s="129">
        <f>W12+'1-Ф3'!X22/Исх!$C$18-'2-ф2'!X13</f>
        <v>701.3531066666668</v>
      </c>
      <c r="Y12" s="129">
        <f>X12+'1-Ф3'!Y22/Исх!$C$18-'2-ф2'!Y13</f>
        <v>696.0961700000001</v>
      </c>
      <c r="Z12" s="129">
        <f>Y12+'1-Ф3'!Z22/Исх!$C$18-'2-ф2'!Z13</f>
        <v>696.0961700000001</v>
      </c>
      <c r="AA12" s="129">
        <f>Z12+'1-Ф3'!AA22/Исх!$C$18-'2-ф2'!AA13</f>
        <v>696.0961700000001</v>
      </c>
      <c r="AB12" s="129">
        <f>AA12+'1-Ф3'!AB22/Исх!$C$18-'2-ф2'!AB13</f>
        <v>696.0961700000001</v>
      </c>
      <c r="AC12" s="129">
        <f>AB12</f>
        <v>696.0961700000001</v>
      </c>
      <c r="AD12" s="129">
        <f>AC12+'1-Ф3'!AD22/Исх!$C$18-'2-ф2'!AD13</f>
        <v>648.7837400000001</v>
      </c>
      <c r="AE12" s="129">
        <f>AD12+'1-Ф3'!AE22/Исх!$C$18-'2-ф2'!AE13</f>
        <v>601.4713100000001</v>
      </c>
      <c r="AF12" s="129">
        <f>AE12+'1-Ф3'!AF22/Исх!$C$18-'2-ф2'!AF13</f>
        <v>554.1588800000002</v>
      </c>
      <c r="AG12" s="129">
        <f>AF12+'1-Ф3'!AG22/Исх!$C$18-'2-ф2'!AG13</f>
        <v>506.8464500000002</v>
      </c>
      <c r="AH12" s="129">
        <f>AG12+'1-Ф3'!AH22/Исх!$C$18-'2-ф2'!AH13</f>
        <v>459.53402000000017</v>
      </c>
      <c r="AI12" s="129">
        <f>AH12+'1-Ф3'!AI22/Исх!$C$18-'2-ф2'!AI13</f>
        <v>412.22159000000016</v>
      </c>
    </row>
    <row r="13" spans="1:35" ht="15" customHeight="1" hidden="1">
      <c r="A13" s="128" t="s">
        <v>122</v>
      </c>
      <c r="B13" s="130"/>
      <c r="C13" s="129"/>
      <c r="D13" s="129">
        <f>C13</f>
        <v>0</v>
      </c>
      <c r="E13" s="129">
        <f>D13</f>
        <v>0</v>
      </c>
      <c r="F13" s="129">
        <f aca="true" t="shared" si="8" ref="F13:AI14">E13</f>
        <v>0</v>
      </c>
      <c r="G13" s="129">
        <f t="shared" si="8"/>
        <v>0</v>
      </c>
      <c r="H13" s="129">
        <f t="shared" si="8"/>
        <v>0</v>
      </c>
      <c r="I13" s="129">
        <f t="shared" si="8"/>
        <v>0</v>
      </c>
      <c r="J13" s="129">
        <f t="shared" si="8"/>
        <v>0</v>
      </c>
      <c r="K13" s="129">
        <f t="shared" si="8"/>
        <v>0</v>
      </c>
      <c r="L13" s="129">
        <f t="shared" si="8"/>
        <v>0</v>
      </c>
      <c r="M13" s="129">
        <f t="shared" si="8"/>
        <v>0</v>
      </c>
      <c r="N13" s="129">
        <f t="shared" si="8"/>
        <v>0</v>
      </c>
      <c r="O13" s="129">
        <f t="shared" si="8"/>
        <v>0</v>
      </c>
      <c r="P13" s="129">
        <f t="shared" si="8"/>
        <v>0</v>
      </c>
      <c r="Q13" s="129">
        <f t="shared" si="8"/>
        <v>0</v>
      </c>
      <c r="R13" s="129">
        <f t="shared" si="8"/>
        <v>0</v>
      </c>
      <c r="S13" s="129">
        <f t="shared" si="8"/>
        <v>0</v>
      </c>
      <c r="T13" s="129">
        <f t="shared" si="8"/>
        <v>0</v>
      </c>
      <c r="U13" s="129">
        <f t="shared" si="8"/>
        <v>0</v>
      </c>
      <c r="V13" s="129">
        <f t="shared" si="8"/>
        <v>0</v>
      </c>
      <c r="W13" s="129">
        <f t="shared" si="8"/>
        <v>0</v>
      </c>
      <c r="X13" s="129">
        <f t="shared" si="8"/>
        <v>0</v>
      </c>
      <c r="Y13" s="129">
        <f t="shared" si="8"/>
        <v>0</v>
      </c>
      <c r="Z13" s="129">
        <f t="shared" si="8"/>
        <v>0</v>
      </c>
      <c r="AA13" s="129">
        <f t="shared" si="8"/>
        <v>0</v>
      </c>
      <c r="AB13" s="129">
        <f t="shared" si="8"/>
        <v>0</v>
      </c>
      <c r="AC13" s="129">
        <f t="shared" si="8"/>
        <v>0</v>
      </c>
      <c r="AD13" s="129">
        <f t="shared" si="8"/>
        <v>0</v>
      </c>
      <c r="AE13" s="129">
        <f t="shared" si="8"/>
        <v>0</v>
      </c>
      <c r="AF13" s="129">
        <f t="shared" si="8"/>
        <v>0</v>
      </c>
      <c r="AG13" s="129">
        <f t="shared" si="8"/>
        <v>0</v>
      </c>
      <c r="AH13" s="129">
        <f t="shared" si="8"/>
        <v>0</v>
      </c>
      <c r="AI13" s="129">
        <f t="shared" si="8"/>
        <v>0</v>
      </c>
    </row>
    <row r="14" spans="1:35" ht="12.75">
      <c r="A14" s="128" t="s">
        <v>123</v>
      </c>
      <c r="B14" s="130"/>
      <c r="C14" s="129"/>
      <c r="D14" s="129">
        <f>IF('2-ф2'!D30&lt;0,-'2-ф2'!D30,0)</f>
        <v>0</v>
      </c>
      <c r="E14" s="129">
        <f>IF('2-ф2'!E30&lt;0,-'2-ф2'!E30,0)</f>
        <v>0</v>
      </c>
      <c r="F14" s="129">
        <f>IF('2-ф2'!F30&lt;0,-'2-ф2'!F30,0)</f>
        <v>0</v>
      </c>
      <c r="G14" s="129">
        <f>IF('2-ф2'!G30&lt;0,-'2-ф2'!G30,0)</f>
        <v>0</v>
      </c>
      <c r="H14" s="129">
        <f>IF('2-ф2'!H30&lt;0,-'2-ф2'!H30,0)</f>
        <v>0</v>
      </c>
      <c r="I14" s="129">
        <f>IF('2-ф2'!I30&lt;0,-'2-ф2'!I30,0)</f>
        <v>0</v>
      </c>
      <c r="J14" s="129">
        <f>IF('2-ф2'!J30&lt;0,-'2-ф2'!J30,0)</f>
        <v>0</v>
      </c>
      <c r="K14" s="129">
        <f>IF('2-ф2'!K30&lt;0,-'2-ф2'!K30,0)</f>
        <v>0</v>
      </c>
      <c r="L14" s="129">
        <f>IF('2-ф2'!L30&lt;0,-'2-ф2'!L30,0)</f>
        <v>0</v>
      </c>
      <c r="M14" s="129">
        <f>IF('2-ф2'!M30&lt;0,-'2-ф2'!M30,0)</f>
        <v>0</v>
      </c>
      <c r="N14" s="129">
        <f>IF('2-ф2'!N30&lt;0,-'2-ф2'!N30,0)</f>
        <v>0</v>
      </c>
      <c r="O14" s="129">
        <f>IF('2-ф2'!O30&lt;0,-'2-ф2'!O30,0)</f>
        <v>0</v>
      </c>
      <c r="P14" s="129">
        <f t="shared" si="8"/>
        <v>0</v>
      </c>
      <c r="Q14" s="129">
        <f>IF('2-ф2'!Q30&lt;0,-'2-ф2'!Q30,0)</f>
        <v>0</v>
      </c>
      <c r="R14" s="129">
        <f>IF('2-ф2'!R30&lt;0,-'2-ф2'!R30,0)</f>
        <v>0</v>
      </c>
      <c r="S14" s="129">
        <f>IF('2-ф2'!S30&lt;0,-'2-ф2'!S30,0)</f>
        <v>0</v>
      </c>
      <c r="T14" s="129">
        <f>IF('2-ф2'!T30&lt;0,-'2-ф2'!T30,0)</f>
        <v>0</v>
      </c>
      <c r="U14" s="129">
        <f>IF('2-ф2'!U30&lt;0,-'2-ф2'!U30,0)</f>
        <v>0</v>
      </c>
      <c r="V14" s="129">
        <f>IF('2-ф2'!V30&lt;0,-'2-ф2'!V30,0)</f>
        <v>0</v>
      </c>
      <c r="W14" s="129">
        <f>IF('2-ф2'!W30&lt;0,-'2-ф2'!W30,0)</f>
        <v>0</v>
      </c>
      <c r="X14" s="129">
        <f>IF('2-ф2'!X30&lt;0,-'2-ф2'!X30,0)</f>
        <v>0</v>
      </c>
      <c r="Y14" s="129">
        <f>IF('2-ф2'!Y30&lt;0,-'2-ф2'!Y30,0)</f>
        <v>0</v>
      </c>
      <c r="Z14" s="129">
        <f>IF('2-ф2'!Z30&lt;0,-'2-ф2'!Z30,0)</f>
        <v>0</v>
      </c>
      <c r="AA14" s="129">
        <f>IF('2-ф2'!AA30&lt;0,-'2-ф2'!AA30,0)</f>
        <v>0</v>
      </c>
      <c r="AB14" s="129">
        <f>IF('2-ф2'!AB30&lt;0,-'2-ф2'!AB30,0)</f>
        <v>0</v>
      </c>
      <c r="AC14" s="129">
        <f t="shared" si="8"/>
        <v>0</v>
      </c>
      <c r="AD14" s="129">
        <f>IF('2-ф2'!AD30&lt;0,-'2-ф2'!AD30,0)</f>
        <v>0</v>
      </c>
      <c r="AE14" s="129">
        <f>IF('2-ф2'!AE30&lt;0,-'2-ф2'!AE30,0)</f>
        <v>0</v>
      </c>
      <c r="AF14" s="129">
        <f>IF('2-ф2'!AF30&lt;0,-'2-ф2'!AF30,0)</f>
        <v>0</v>
      </c>
      <c r="AG14" s="129">
        <f>IF('2-ф2'!AG30&lt;0,-'2-ф2'!AG30,0)</f>
        <v>0</v>
      </c>
      <c r="AH14" s="129">
        <f>IF('2-ф2'!AH30&lt;0,-'2-ф2'!AH30,0)</f>
        <v>0</v>
      </c>
      <c r="AI14" s="129">
        <f>IF('2-ф2'!AI30&lt;0,-'2-ф2'!AI30,0)</f>
        <v>0</v>
      </c>
    </row>
    <row r="15" spans="1:184" ht="12.75">
      <c r="A15" s="13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</row>
    <row r="16" spans="1:42" s="127" customFormat="1" ht="15" customHeight="1">
      <c r="A16" s="123" t="s">
        <v>124</v>
      </c>
      <c r="B16" s="124"/>
      <c r="C16" s="124">
        <f aca="true" t="shared" si="9" ref="C16:AH16">C21+C24+C17</f>
        <v>0</v>
      </c>
      <c r="D16" s="124">
        <f t="shared" si="9"/>
        <v>0</v>
      </c>
      <c r="E16" s="124">
        <f t="shared" si="9"/>
        <v>0</v>
      </c>
      <c r="F16" s="124">
        <f t="shared" si="9"/>
        <v>0</v>
      </c>
      <c r="G16" s="124">
        <f t="shared" si="9"/>
        <v>0</v>
      </c>
      <c r="H16" s="124">
        <f t="shared" si="9"/>
        <v>0</v>
      </c>
      <c r="I16" s="124">
        <f t="shared" si="9"/>
        <v>0</v>
      </c>
      <c r="J16" s="124">
        <f t="shared" si="9"/>
        <v>0</v>
      </c>
      <c r="K16" s="124">
        <f t="shared" si="9"/>
        <v>0</v>
      </c>
      <c r="L16" s="124">
        <f t="shared" si="9"/>
        <v>0</v>
      </c>
      <c r="M16" s="124">
        <f t="shared" si="9"/>
        <v>743.4086000000001</v>
      </c>
      <c r="N16" s="124">
        <f t="shared" si="9"/>
        <v>743.4086000000002</v>
      </c>
      <c r="O16" s="124">
        <f t="shared" si="9"/>
        <v>743.4086000000001</v>
      </c>
      <c r="P16" s="124">
        <f t="shared" si="9"/>
        <v>743.4086000000001</v>
      </c>
      <c r="Q16" s="124">
        <f t="shared" si="9"/>
        <v>1000.3690165333336</v>
      </c>
      <c r="R16" s="124">
        <f t="shared" si="9"/>
        <v>995.1227898186668</v>
      </c>
      <c r="S16" s="124">
        <f t="shared" si="9"/>
        <v>2064.05358</v>
      </c>
      <c r="T16" s="124">
        <f t="shared" si="9"/>
        <v>1866.3814346201389</v>
      </c>
      <c r="U16" s="124">
        <f t="shared" si="9"/>
        <v>1668.9441857076388</v>
      </c>
      <c r="V16" s="124">
        <f t="shared" si="9"/>
        <v>1730.6266046785</v>
      </c>
      <c r="W16" s="124">
        <f t="shared" si="9"/>
        <v>1792.5439201167221</v>
      </c>
      <c r="X16" s="124">
        <f t="shared" si="9"/>
        <v>1854.6961320223054</v>
      </c>
      <c r="Y16" s="124">
        <f t="shared" si="9"/>
        <v>1658.1984689792496</v>
      </c>
      <c r="Z16" s="124">
        <f t="shared" si="9"/>
        <v>1614.8768490702219</v>
      </c>
      <c r="AA16" s="124">
        <f t="shared" si="9"/>
        <v>1571.7901256285554</v>
      </c>
      <c r="AB16" s="124">
        <f t="shared" si="9"/>
        <v>1528.9382986542498</v>
      </c>
      <c r="AC16" s="124">
        <f t="shared" si="9"/>
        <v>1528.9382986542498</v>
      </c>
      <c r="AD16" s="124">
        <f t="shared" si="9"/>
        <v>1735.3952657120549</v>
      </c>
      <c r="AE16" s="124">
        <f t="shared" si="9"/>
        <v>2357.451196808055</v>
      </c>
      <c r="AF16" s="124">
        <f t="shared" si="9"/>
        <v>2979.507127904055</v>
      </c>
      <c r="AG16" s="124">
        <f t="shared" si="9"/>
        <v>3601.5630590000546</v>
      </c>
      <c r="AH16" s="124">
        <f t="shared" si="9"/>
        <v>4223.618990096054</v>
      </c>
      <c r="AI16" s="124">
        <f>AI21+AI24+AI17</f>
        <v>4845.674921192054</v>
      </c>
      <c r="AJ16" s="126"/>
      <c r="AK16" s="126"/>
      <c r="AL16" s="126"/>
      <c r="AM16" s="126"/>
      <c r="AN16" s="126"/>
      <c r="AO16" s="126"/>
      <c r="AP16" s="126"/>
    </row>
    <row r="17" spans="1:35" ht="15" customHeight="1">
      <c r="A17" s="123" t="s">
        <v>125</v>
      </c>
      <c r="B17" s="124"/>
      <c r="C17" s="124">
        <f aca="true" t="shared" si="10" ref="C17:AH17">SUM(C18:C20)</f>
        <v>0</v>
      </c>
      <c r="D17" s="124">
        <f t="shared" si="10"/>
        <v>0</v>
      </c>
      <c r="E17" s="124">
        <f t="shared" si="10"/>
        <v>0</v>
      </c>
      <c r="F17" s="124">
        <f t="shared" si="10"/>
        <v>0</v>
      </c>
      <c r="G17" s="124">
        <f t="shared" si="10"/>
        <v>0</v>
      </c>
      <c r="H17" s="124">
        <f t="shared" si="10"/>
        <v>0</v>
      </c>
      <c r="I17" s="124">
        <f t="shared" si="10"/>
        <v>0</v>
      </c>
      <c r="J17" s="124">
        <f t="shared" si="10"/>
        <v>0</v>
      </c>
      <c r="K17" s="124">
        <f t="shared" si="10"/>
        <v>0</v>
      </c>
      <c r="L17" s="124">
        <f t="shared" si="10"/>
        <v>0</v>
      </c>
      <c r="M17" s="124">
        <f t="shared" si="10"/>
        <v>0</v>
      </c>
      <c r="N17" s="124">
        <f t="shared" si="10"/>
        <v>4.336550166666668</v>
      </c>
      <c r="O17" s="124">
        <f t="shared" si="10"/>
        <v>8.673100333333336</v>
      </c>
      <c r="P17" s="124">
        <f t="shared" si="10"/>
        <v>8.673100333333336</v>
      </c>
      <c r="Q17" s="124">
        <f t="shared" si="10"/>
        <v>13.009650500000003</v>
      </c>
      <c r="R17" s="124">
        <f t="shared" si="10"/>
        <v>17.34620066666667</v>
      </c>
      <c r="S17" s="124">
        <f t="shared" si="10"/>
        <v>0</v>
      </c>
      <c r="T17" s="124">
        <f t="shared" si="10"/>
        <v>0</v>
      </c>
      <c r="U17" s="124">
        <f t="shared" si="10"/>
        <v>0</v>
      </c>
      <c r="V17" s="124">
        <f t="shared" si="10"/>
        <v>0</v>
      </c>
      <c r="W17" s="124">
        <f t="shared" si="10"/>
        <v>0</v>
      </c>
      <c r="X17" s="124">
        <f t="shared" si="10"/>
        <v>0</v>
      </c>
      <c r="Y17" s="124">
        <f t="shared" si="10"/>
        <v>0</v>
      </c>
      <c r="Z17" s="124">
        <f t="shared" si="10"/>
        <v>0</v>
      </c>
      <c r="AA17" s="124">
        <f t="shared" si="10"/>
        <v>0</v>
      </c>
      <c r="AB17" s="124">
        <f t="shared" si="10"/>
        <v>0</v>
      </c>
      <c r="AC17" s="124">
        <f t="shared" si="10"/>
        <v>0</v>
      </c>
      <c r="AD17" s="124">
        <f t="shared" si="10"/>
        <v>0</v>
      </c>
      <c r="AE17" s="124">
        <f t="shared" si="10"/>
        <v>0</v>
      </c>
      <c r="AF17" s="124">
        <f t="shared" si="10"/>
        <v>0</v>
      </c>
      <c r="AG17" s="124">
        <f t="shared" si="10"/>
        <v>0</v>
      </c>
      <c r="AH17" s="124">
        <f t="shared" si="10"/>
        <v>0</v>
      </c>
      <c r="AI17" s="124">
        <f>SUM(AI18:AI20)</f>
        <v>0</v>
      </c>
    </row>
    <row r="18" spans="1:35" ht="12.75" hidden="1">
      <c r="A18" s="128" t="s">
        <v>126</v>
      </c>
      <c r="B18" s="130"/>
      <c r="C18" s="130"/>
      <c r="D18" s="130">
        <f>C18</f>
        <v>0</v>
      </c>
      <c r="E18" s="130">
        <f>D18</f>
        <v>0</v>
      </c>
      <c r="F18" s="130">
        <f aca="true" t="shared" si="11" ref="F18:O18">E18</f>
        <v>0</v>
      </c>
      <c r="G18" s="130">
        <f t="shared" si="11"/>
        <v>0</v>
      </c>
      <c r="H18" s="130">
        <f t="shared" si="11"/>
        <v>0</v>
      </c>
      <c r="I18" s="130">
        <f t="shared" si="11"/>
        <v>0</v>
      </c>
      <c r="J18" s="130">
        <f t="shared" si="11"/>
        <v>0</v>
      </c>
      <c r="K18" s="130">
        <f t="shared" si="11"/>
        <v>0</v>
      </c>
      <c r="L18" s="130">
        <f t="shared" si="11"/>
        <v>0</v>
      </c>
      <c r="M18" s="130">
        <f t="shared" si="11"/>
        <v>0</v>
      </c>
      <c r="N18" s="130">
        <f t="shared" si="11"/>
        <v>0</v>
      </c>
      <c r="O18" s="130">
        <f t="shared" si="11"/>
        <v>0</v>
      </c>
      <c r="P18" s="130">
        <f>O18</f>
        <v>0</v>
      </c>
      <c r="Q18" s="130">
        <f>P18</f>
        <v>0</v>
      </c>
      <c r="R18" s="130">
        <f>Q18</f>
        <v>0</v>
      </c>
      <c r="S18" s="130">
        <f>R18</f>
        <v>0</v>
      </c>
      <c r="T18" s="130">
        <f>S18</f>
        <v>0</v>
      </c>
      <c r="U18" s="130">
        <f aca="true" t="shared" si="12" ref="U18:AF18">T18</f>
        <v>0</v>
      </c>
      <c r="V18" s="130">
        <f t="shared" si="12"/>
        <v>0</v>
      </c>
      <c r="W18" s="130">
        <f t="shared" si="12"/>
        <v>0</v>
      </c>
      <c r="X18" s="130">
        <f t="shared" si="12"/>
        <v>0</v>
      </c>
      <c r="Y18" s="130">
        <f t="shared" si="12"/>
        <v>0</v>
      </c>
      <c r="Z18" s="130">
        <f t="shared" si="12"/>
        <v>0</v>
      </c>
      <c r="AA18" s="130">
        <f t="shared" si="12"/>
        <v>0</v>
      </c>
      <c r="AB18" s="130">
        <f t="shared" si="12"/>
        <v>0</v>
      </c>
      <c r="AC18" s="130">
        <f t="shared" si="12"/>
        <v>0</v>
      </c>
      <c r="AD18" s="130">
        <f t="shared" si="12"/>
        <v>0</v>
      </c>
      <c r="AE18" s="130">
        <f t="shared" si="12"/>
        <v>0</v>
      </c>
      <c r="AF18" s="130">
        <f t="shared" si="12"/>
        <v>0</v>
      </c>
      <c r="AG18" s="130">
        <f>AF18</f>
        <v>0</v>
      </c>
      <c r="AH18" s="130">
        <f>AG18</f>
        <v>0</v>
      </c>
      <c r="AI18" s="130">
        <f>AH18</f>
        <v>0</v>
      </c>
    </row>
    <row r="19" spans="1:36" ht="25.5">
      <c r="A19" s="128" t="s">
        <v>127</v>
      </c>
      <c r="B19" s="130"/>
      <c r="C19" s="130"/>
      <c r="D19" s="130">
        <f>C19+'2-ф2'!D14-'1-Ф3'!D16-кр!C8</f>
        <v>0</v>
      </c>
      <c r="E19" s="130">
        <f>D19+'2-ф2'!E14-'1-Ф3'!E16-кр!D8</f>
        <v>0</v>
      </c>
      <c r="F19" s="130">
        <f>E19+'2-ф2'!F14-'1-Ф3'!F16-кр!E8</f>
        <v>0</v>
      </c>
      <c r="G19" s="130">
        <f>F19+'2-ф2'!G14-'1-Ф3'!G16-кр!F8</f>
        <v>0</v>
      </c>
      <c r="H19" s="130">
        <f>G19+'2-ф2'!H14-'1-Ф3'!H16-кр!G8</f>
        <v>0</v>
      </c>
      <c r="I19" s="130">
        <f>H19+'2-ф2'!I14-'1-Ф3'!I16-кр!H8</f>
        <v>0</v>
      </c>
      <c r="J19" s="130">
        <f>I19+'2-ф2'!J14-'1-Ф3'!J16-кр!I8</f>
        <v>0</v>
      </c>
      <c r="K19" s="130">
        <f>J19+'2-ф2'!K14-'1-Ф3'!K16-кр!J8</f>
        <v>0</v>
      </c>
      <c r="L19" s="130">
        <f>K19+'2-ф2'!L14-'1-Ф3'!L16-кр!K8</f>
        <v>0</v>
      </c>
      <c r="M19" s="130">
        <f>L19+'2-ф2'!M14-'1-Ф3'!M16-кр!L8</f>
        <v>0</v>
      </c>
      <c r="N19" s="130">
        <f>M19+'2-ф2'!N14-'1-Ф3'!N16-кр!M8</f>
        <v>4.336550166666668</v>
      </c>
      <c r="O19" s="130">
        <f>N19+'2-ф2'!O14-'1-Ф3'!O16-кр!N8</f>
        <v>8.673100333333336</v>
      </c>
      <c r="P19" s="130">
        <f>O19</f>
        <v>8.673100333333336</v>
      </c>
      <c r="Q19" s="130">
        <f>P19+'2-ф2'!Q14-'1-Ф3'!Q16-кр!P8</f>
        <v>13.009650500000003</v>
      </c>
      <c r="R19" s="130">
        <f>Q19+'2-ф2'!R14-'1-Ф3'!R16-кр!Q8</f>
        <v>17.34620066666667</v>
      </c>
      <c r="S19" s="130">
        <f>R19+'2-ф2'!S14-'1-Ф3'!S16-кр!R8</f>
        <v>0</v>
      </c>
      <c r="T19" s="130">
        <f>S19+'2-ф2'!T14-'1-Ф3'!T16-кр!S8</f>
        <v>0</v>
      </c>
      <c r="U19" s="130">
        <f>T19+'2-ф2'!U14-'1-Ф3'!U16-кр!T8</f>
        <v>0</v>
      </c>
      <c r="V19" s="130">
        <f>U19+'2-ф2'!V14-'1-Ф3'!V16-кр!U8</f>
        <v>0</v>
      </c>
      <c r="W19" s="130">
        <f>V19+'2-ф2'!W14-'1-Ф3'!W16-кр!V8</f>
        <v>0</v>
      </c>
      <c r="X19" s="130">
        <f>W19+'2-ф2'!X14-'1-Ф3'!X16-кр!W8</f>
        <v>0</v>
      </c>
      <c r="Y19" s="130">
        <f>X19+'2-ф2'!Y14-'1-Ф3'!Y16-кр!X8</f>
        <v>0</v>
      </c>
      <c r="Z19" s="130">
        <f>Y19+'2-ф2'!Z14-'1-Ф3'!Z16-кр!Y8</f>
        <v>0</v>
      </c>
      <c r="AA19" s="130">
        <f>Z19+'2-ф2'!AA14-'1-Ф3'!AA16-кр!Z8</f>
        <v>0</v>
      </c>
      <c r="AB19" s="130">
        <f>AA19+'2-ф2'!AB14-'1-Ф3'!AB16-кр!AA8</f>
        <v>0</v>
      </c>
      <c r="AC19" s="130">
        <f>AB19</f>
        <v>0</v>
      </c>
      <c r="AD19" s="130">
        <f>AC19+'2-ф2'!AD14-'1-Ф3'!AD16</f>
        <v>0</v>
      </c>
      <c r="AE19" s="130">
        <f>AD19+'2-ф2'!AE14-'1-Ф3'!AE16</f>
        <v>0</v>
      </c>
      <c r="AF19" s="130">
        <f>AE19+'2-ф2'!AF14-'1-Ф3'!AF16</f>
        <v>0</v>
      </c>
      <c r="AG19" s="130">
        <f>AF19+'2-ф2'!AG14-'1-Ф3'!AG16</f>
        <v>0</v>
      </c>
      <c r="AH19" s="130">
        <f>AG19+'2-ф2'!AH14-'1-Ф3'!AH16</f>
        <v>0</v>
      </c>
      <c r="AI19" s="130">
        <f>AH19+'2-ф2'!AI14-'1-Ф3'!AI16</f>
        <v>0</v>
      </c>
      <c r="AJ19" s="117"/>
    </row>
    <row r="20" spans="1:35" ht="12.75">
      <c r="A20" s="128" t="s">
        <v>129</v>
      </c>
      <c r="B20" s="130"/>
      <c r="C20" s="130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30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30">
        <f>AB20</f>
        <v>0</v>
      </c>
      <c r="AD20" s="130"/>
      <c r="AE20" s="130"/>
      <c r="AF20" s="130"/>
      <c r="AG20" s="130"/>
      <c r="AH20" s="130"/>
      <c r="AI20" s="130"/>
    </row>
    <row r="21" spans="1:35" ht="15" customHeight="1">
      <c r="A21" s="123" t="s">
        <v>130</v>
      </c>
      <c r="B21" s="124"/>
      <c r="C21" s="124">
        <f aca="true" t="shared" si="13" ref="C21:AH21">SUM(C22:C23)</f>
        <v>0</v>
      </c>
      <c r="D21" s="124">
        <f t="shared" si="13"/>
        <v>0</v>
      </c>
      <c r="E21" s="124">
        <f t="shared" si="13"/>
        <v>0</v>
      </c>
      <c r="F21" s="124">
        <f t="shared" si="13"/>
        <v>0</v>
      </c>
      <c r="G21" s="124">
        <f t="shared" si="13"/>
        <v>0</v>
      </c>
      <c r="H21" s="124">
        <f t="shared" si="13"/>
        <v>0</v>
      </c>
      <c r="I21" s="124">
        <f t="shared" si="13"/>
        <v>0</v>
      </c>
      <c r="J21" s="124">
        <f t="shared" si="13"/>
        <v>0</v>
      </c>
      <c r="K21" s="124">
        <f t="shared" si="13"/>
        <v>0</v>
      </c>
      <c r="L21" s="124">
        <f t="shared" si="13"/>
        <v>0</v>
      </c>
      <c r="M21" s="124">
        <f t="shared" si="13"/>
        <v>743.4086000000001</v>
      </c>
      <c r="N21" s="124">
        <f t="shared" si="13"/>
        <v>743.4086000000001</v>
      </c>
      <c r="O21" s="124">
        <f t="shared" si="13"/>
        <v>743.4086000000001</v>
      </c>
      <c r="P21" s="124">
        <f t="shared" si="13"/>
        <v>743.4086000000001</v>
      </c>
      <c r="Q21" s="124">
        <f t="shared" si="13"/>
        <v>743.4086000000001</v>
      </c>
      <c r="R21" s="124">
        <f t="shared" si="13"/>
        <v>743.4086000000001</v>
      </c>
      <c r="S21" s="124">
        <f t="shared" si="13"/>
        <v>765.0913508333334</v>
      </c>
      <c r="T21" s="124">
        <f t="shared" si="13"/>
        <v>724.8233850000001</v>
      </c>
      <c r="U21" s="124">
        <f t="shared" si="13"/>
        <v>684.5554191666668</v>
      </c>
      <c r="V21" s="124">
        <f t="shared" si="13"/>
        <v>644.2874533333334</v>
      </c>
      <c r="W21" s="124">
        <f t="shared" si="13"/>
        <v>604.0194875</v>
      </c>
      <c r="X21" s="124">
        <f t="shared" si="13"/>
        <v>563.7515216666666</v>
      </c>
      <c r="Y21" s="124">
        <f t="shared" si="13"/>
        <v>523.4835558333332</v>
      </c>
      <c r="Z21" s="124">
        <f t="shared" si="13"/>
        <v>483.21558999999985</v>
      </c>
      <c r="AA21" s="124">
        <f t="shared" si="13"/>
        <v>442.9476241666665</v>
      </c>
      <c r="AB21" s="124">
        <f t="shared" si="13"/>
        <v>402.6796583333332</v>
      </c>
      <c r="AC21" s="124">
        <f t="shared" si="13"/>
        <v>402.6796583333332</v>
      </c>
      <c r="AD21" s="124">
        <f t="shared" si="13"/>
        <v>-1.7053025658242404E-13</v>
      </c>
      <c r="AE21" s="124">
        <f t="shared" si="13"/>
        <v>-1.7053025658242404E-13</v>
      </c>
      <c r="AF21" s="124">
        <f t="shared" si="13"/>
        <v>-1.7053025658242404E-13</v>
      </c>
      <c r="AG21" s="124">
        <f t="shared" si="13"/>
        <v>-1.7053025658242404E-13</v>
      </c>
      <c r="AH21" s="124">
        <f t="shared" si="13"/>
        <v>-1.7053025658242404E-13</v>
      </c>
      <c r="AI21" s="124">
        <f>SUM(AI22:AI23)</f>
        <v>-1.7053025658242404E-13</v>
      </c>
    </row>
    <row r="22" spans="1:35" ht="12.75">
      <c r="A22" s="128" t="s">
        <v>128</v>
      </c>
      <c r="B22" s="130"/>
      <c r="C22" s="124"/>
      <c r="D22" s="130">
        <f>кр!C12</f>
        <v>0</v>
      </c>
      <c r="E22" s="130">
        <f>кр!D12</f>
        <v>0</v>
      </c>
      <c r="F22" s="130">
        <f>кр!E12</f>
        <v>0</v>
      </c>
      <c r="G22" s="130">
        <f>кр!F12</f>
        <v>0</v>
      </c>
      <c r="H22" s="130">
        <f>кр!G12</f>
        <v>0</v>
      </c>
      <c r="I22" s="130">
        <f>кр!H12</f>
        <v>0</v>
      </c>
      <c r="J22" s="130">
        <f>кр!I12</f>
        <v>0</v>
      </c>
      <c r="K22" s="130">
        <f>кр!J12</f>
        <v>0</v>
      </c>
      <c r="L22" s="130">
        <f>кр!K12</f>
        <v>0</v>
      </c>
      <c r="M22" s="130">
        <f>кр!L12</f>
        <v>743.4086000000001</v>
      </c>
      <c r="N22" s="130">
        <f>кр!M12</f>
        <v>743.4086000000001</v>
      </c>
      <c r="O22" s="130">
        <f>кр!N12</f>
        <v>743.4086000000001</v>
      </c>
      <c r="P22" s="130">
        <f>кр!O12</f>
        <v>743.4086000000001</v>
      </c>
      <c r="Q22" s="130">
        <f>кр!P12</f>
        <v>743.4086000000001</v>
      </c>
      <c r="R22" s="130">
        <f>кр!Q12</f>
        <v>743.4086000000001</v>
      </c>
      <c r="S22" s="130">
        <f>кр!R12</f>
        <v>765.0913508333334</v>
      </c>
      <c r="T22" s="130">
        <f>кр!S12</f>
        <v>724.8233850000001</v>
      </c>
      <c r="U22" s="130">
        <f>кр!T12</f>
        <v>684.5554191666668</v>
      </c>
      <c r="V22" s="130">
        <f>кр!U12</f>
        <v>644.2874533333334</v>
      </c>
      <c r="W22" s="130">
        <f>кр!V12</f>
        <v>604.0194875</v>
      </c>
      <c r="X22" s="130">
        <f>кр!W12</f>
        <v>563.7515216666666</v>
      </c>
      <c r="Y22" s="130">
        <f>кр!X12</f>
        <v>523.4835558333332</v>
      </c>
      <c r="Z22" s="130">
        <f>кр!Y12</f>
        <v>483.21558999999985</v>
      </c>
      <c r="AA22" s="130">
        <f>кр!Z12</f>
        <v>442.9476241666665</v>
      </c>
      <c r="AB22" s="130">
        <f>кр!AA12</f>
        <v>402.6796583333332</v>
      </c>
      <c r="AC22" s="130">
        <f>кр!AB12</f>
        <v>402.6796583333332</v>
      </c>
      <c r="AD22" s="130">
        <f>кр!AO12</f>
        <v>-1.7053025658242404E-13</v>
      </c>
      <c r="AE22" s="130">
        <f>кр!BB12</f>
        <v>-1.7053025658242404E-13</v>
      </c>
      <c r="AF22" s="130">
        <f>кр!BO12</f>
        <v>-1.7053025658242404E-13</v>
      </c>
      <c r="AG22" s="130">
        <f>кр!CB12</f>
        <v>-1.7053025658242404E-13</v>
      </c>
      <c r="AH22" s="130">
        <f>кр!CO12</f>
        <v>-1.7053025658242404E-13</v>
      </c>
      <c r="AI22" s="130">
        <f>кр!DB12</f>
        <v>-1.7053025658242404E-13</v>
      </c>
    </row>
    <row r="23" spans="1:35" ht="15" customHeight="1" hidden="1">
      <c r="A23" s="128" t="s">
        <v>131</v>
      </c>
      <c r="B23" s="130"/>
      <c r="C23" s="130"/>
      <c r="D23" s="130">
        <f>C23</f>
        <v>0</v>
      </c>
      <c r="E23" s="130">
        <f>D23</f>
        <v>0</v>
      </c>
      <c r="F23" s="130">
        <f aca="true" t="shared" si="14" ref="F23:AI23">E23</f>
        <v>0</v>
      </c>
      <c r="G23" s="130">
        <f t="shared" si="14"/>
        <v>0</v>
      </c>
      <c r="H23" s="130">
        <f t="shared" si="14"/>
        <v>0</v>
      </c>
      <c r="I23" s="130">
        <f t="shared" si="14"/>
        <v>0</v>
      </c>
      <c r="J23" s="130">
        <f t="shared" si="14"/>
        <v>0</v>
      </c>
      <c r="K23" s="130">
        <f t="shared" si="14"/>
        <v>0</v>
      </c>
      <c r="L23" s="130">
        <f t="shared" si="14"/>
        <v>0</v>
      </c>
      <c r="M23" s="130">
        <f t="shared" si="14"/>
        <v>0</v>
      </c>
      <c r="N23" s="130">
        <f t="shared" si="14"/>
        <v>0</v>
      </c>
      <c r="O23" s="130">
        <f t="shared" si="14"/>
        <v>0</v>
      </c>
      <c r="P23" s="130">
        <f t="shared" si="14"/>
        <v>0</v>
      </c>
      <c r="Q23" s="130">
        <f t="shared" si="14"/>
        <v>0</v>
      </c>
      <c r="R23" s="130">
        <f t="shared" si="14"/>
        <v>0</v>
      </c>
      <c r="S23" s="130">
        <f t="shared" si="14"/>
        <v>0</v>
      </c>
      <c r="T23" s="130">
        <f t="shared" si="14"/>
        <v>0</v>
      </c>
      <c r="U23" s="130">
        <f t="shared" si="14"/>
        <v>0</v>
      </c>
      <c r="V23" s="130">
        <f t="shared" si="14"/>
        <v>0</v>
      </c>
      <c r="W23" s="130">
        <f t="shared" si="14"/>
        <v>0</v>
      </c>
      <c r="X23" s="130">
        <f t="shared" si="14"/>
        <v>0</v>
      </c>
      <c r="Y23" s="130">
        <f t="shared" si="14"/>
        <v>0</v>
      </c>
      <c r="Z23" s="130">
        <f t="shared" si="14"/>
        <v>0</v>
      </c>
      <c r="AA23" s="130">
        <f t="shared" si="14"/>
        <v>0</v>
      </c>
      <c r="AB23" s="130">
        <f t="shared" si="14"/>
        <v>0</v>
      </c>
      <c r="AC23" s="124">
        <f>AB23</f>
        <v>0</v>
      </c>
      <c r="AD23" s="130">
        <f t="shared" si="14"/>
        <v>0</v>
      </c>
      <c r="AE23" s="130">
        <f t="shared" si="14"/>
        <v>0</v>
      </c>
      <c r="AF23" s="130">
        <f t="shared" si="14"/>
        <v>0</v>
      </c>
      <c r="AG23" s="130">
        <f t="shared" si="14"/>
        <v>0</v>
      </c>
      <c r="AH23" s="130">
        <f t="shared" si="14"/>
        <v>0</v>
      </c>
      <c r="AI23" s="130">
        <f t="shared" si="14"/>
        <v>0</v>
      </c>
    </row>
    <row r="24" spans="1:35" s="127" customFormat="1" ht="15" customHeight="1">
      <c r="A24" s="123" t="s">
        <v>132</v>
      </c>
      <c r="B24" s="124"/>
      <c r="C24" s="124">
        <f aca="true" t="shared" si="15" ref="C24:AH24">SUM(C25:C26)</f>
        <v>0</v>
      </c>
      <c r="D24" s="124">
        <f t="shared" si="15"/>
        <v>0</v>
      </c>
      <c r="E24" s="124">
        <f t="shared" si="15"/>
        <v>0</v>
      </c>
      <c r="F24" s="124">
        <f t="shared" si="15"/>
        <v>0</v>
      </c>
      <c r="G24" s="124">
        <f t="shared" si="15"/>
        <v>0</v>
      </c>
      <c r="H24" s="124">
        <f t="shared" si="15"/>
        <v>0</v>
      </c>
      <c r="I24" s="124">
        <f t="shared" si="15"/>
        <v>0</v>
      </c>
      <c r="J24" s="124">
        <f t="shared" si="15"/>
        <v>0</v>
      </c>
      <c r="K24" s="124">
        <f t="shared" si="15"/>
        <v>0</v>
      </c>
      <c r="L24" s="124">
        <f t="shared" si="15"/>
        <v>0</v>
      </c>
      <c r="M24" s="124">
        <f t="shared" si="15"/>
        <v>0</v>
      </c>
      <c r="N24" s="124">
        <f t="shared" si="15"/>
        <v>-4.336550166666655</v>
      </c>
      <c r="O24" s="124">
        <f t="shared" si="15"/>
        <v>-8.67310033333331</v>
      </c>
      <c r="P24" s="124">
        <f t="shared" si="15"/>
        <v>-8.67310033333331</v>
      </c>
      <c r="Q24" s="124">
        <f t="shared" si="15"/>
        <v>243.95076603333342</v>
      </c>
      <c r="R24" s="124">
        <f t="shared" si="15"/>
        <v>234.36798915200006</v>
      </c>
      <c r="S24" s="124">
        <f t="shared" si="15"/>
        <v>1298.9622291666665</v>
      </c>
      <c r="T24" s="124">
        <f t="shared" si="15"/>
        <v>1141.5580496201387</v>
      </c>
      <c r="U24" s="124">
        <f t="shared" si="15"/>
        <v>984.388766540972</v>
      </c>
      <c r="V24" s="124">
        <f t="shared" si="15"/>
        <v>1086.3391513451666</v>
      </c>
      <c r="W24" s="124">
        <f t="shared" si="15"/>
        <v>1188.5244326167222</v>
      </c>
      <c r="X24" s="124">
        <f t="shared" si="15"/>
        <v>1290.9446103556388</v>
      </c>
      <c r="Y24" s="124">
        <f t="shared" si="15"/>
        <v>1134.7149131459164</v>
      </c>
      <c r="Z24" s="124">
        <f t="shared" si="15"/>
        <v>1131.661259070222</v>
      </c>
      <c r="AA24" s="124">
        <f t="shared" si="15"/>
        <v>1128.8425014618888</v>
      </c>
      <c r="AB24" s="124">
        <f t="shared" si="15"/>
        <v>1126.2586403209166</v>
      </c>
      <c r="AC24" s="124">
        <f t="shared" si="15"/>
        <v>1126.2586403209166</v>
      </c>
      <c r="AD24" s="124">
        <f t="shared" si="15"/>
        <v>1735.395265712055</v>
      </c>
      <c r="AE24" s="124">
        <f t="shared" si="15"/>
        <v>2357.451196808055</v>
      </c>
      <c r="AF24" s="124">
        <f t="shared" si="15"/>
        <v>2979.507127904055</v>
      </c>
      <c r="AG24" s="124">
        <f t="shared" si="15"/>
        <v>3601.5630590000546</v>
      </c>
      <c r="AH24" s="124">
        <f t="shared" si="15"/>
        <v>4223.618990096054</v>
      </c>
      <c r="AI24" s="124">
        <f>SUM(AI25:AI26)</f>
        <v>4845.674921192054</v>
      </c>
    </row>
    <row r="25" spans="1:35" ht="15" customHeight="1">
      <c r="A25" s="128" t="s">
        <v>133</v>
      </c>
      <c r="B25" s="124"/>
      <c r="C25" s="130"/>
      <c r="D25" s="130">
        <f>C25+'1-Ф3'!D29</f>
        <v>0</v>
      </c>
      <c r="E25" s="130">
        <f>D25+'1-Ф3'!E29</f>
        <v>0</v>
      </c>
      <c r="F25" s="130">
        <f>E25+'1-Ф3'!F29</f>
        <v>0</v>
      </c>
      <c r="G25" s="130">
        <f>F25+'1-Ф3'!G29</f>
        <v>0</v>
      </c>
      <c r="H25" s="130">
        <f>G25+'1-Ф3'!H29</f>
        <v>0</v>
      </c>
      <c r="I25" s="130">
        <f>H25+'1-Ф3'!I29</f>
        <v>0</v>
      </c>
      <c r="J25" s="130">
        <f>I25+'1-Ф3'!J29</f>
        <v>0</v>
      </c>
      <c r="K25" s="130">
        <f>J25+'1-Ф3'!K29</f>
        <v>0</v>
      </c>
      <c r="L25" s="130">
        <f>K25+'1-Ф3'!L29</f>
        <v>0</v>
      </c>
      <c r="M25" s="130">
        <f>L25+'1-Ф3'!M29</f>
        <v>0</v>
      </c>
      <c r="N25" s="130">
        <f>M25+'1-Ф3'!N29</f>
        <v>147.68421</v>
      </c>
      <c r="O25" s="130">
        <f>N25+'1-Ф3'!O29</f>
        <v>295.36842</v>
      </c>
      <c r="P25" s="130">
        <f>O25</f>
        <v>295.36842</v>
      </c>
      <c r="Q25" s="130">
        <f>P25+'1-Ф3'!Q29</f>
        <v>705.2699832000001</v>
      </c>
      <c r="R25" s="130">
        <f>Q25+'1-Ф3'!R29</f>
        <v>852.964903152</v>
      </c>
      <c r="S25" s="130">
        <f>R25+'1-Ф3'!S29</f>
        <v>852.964903152</v>
      </c>
      <c r="T25" s="130">
        <f>S25+'1-Ф3'!T29</f>
        <v>852.964903152</v>
      </c>
      <c r="U25" s="130">
        <f>T25+'1-Ф3'!U29</f>
        <v>852.964903152</v>
      </c>
      <c r="V25" s="130">
        <f>U25+'1-Ф3'!V29</f>
        <v>852.964903152</v>
      </c>
      <c r="W25" s="130">
        <f>V25+'1-Ф3'!W29</f>
        <v>852.964903152</v>
      </c>
      <c r="X25" s="130">
        <f>W25+'1-Ф3'!X29</f>
        <v>852.964903152</v>
      </c>
      <c r="Y25" s="130">
        <f>X25+'1-Ф3'!Y29</f>
        <v>852.964903152</v>
      </c>
      <c r="Z25" s="130">
        <f>Y25+'1-Ф3'!Z29</f>
        <v>852.964903152</v>
      </c>
      <c r="AA25" s="130">
        <f>Z25+'1-Ф3'!AA29</f>
        <v>852.964903152</v>
      </c>
      <c r="AB25" s="130">
        <f>AA25+'1-Ф3'!AB29</f>
        <v>852.964903152</v>
      </c>
      <c r="AC25" s="130">
        <f>AB25</f>
        <v>852.964903152</v>
      </c>
      <c r="AD25" s="130">
        <f>AC25+'1-Ф3'!AD29</f>
        <v>852.964903152</v>
      </c>
      <c r="AE25" s="130">
        <f>AD25+'1-Ф3'!AE29</f>
        <v>852.964903152</v>
      </c>
      <c r="AF25" s="130">
        <f>AE25+'1-Ф3'!AF29</f>
        <v>852.964903152</v>
      </c>
      <c r="AG25" s="130">
        <f>AF25+'1-Ф3'!AG29</f>
        <v>852.964903152</v>
      </c>
      <c r="AH25" s="130">
        <f>AG25+'1-Ф3'!AH29</f>
        <v>852.964903152</v>
      </c>
      <c r="AI25" s="130">
        <f>AH25+'1-Ф3'!AI29</f>
        <v>852.964903152</v>
      </c>
    </row>
    <row r="26" spans="1:35" ht="15" customHeight="1">
      <c r="A26" s="128" t="s">
        <v>134</v>
      </c>
      <c r="B26" s="124"/>
      <c r="C26" s="130"/>
      <c r="D26" s="130">
        <f>'2-ф2'!D18</f>
        <v>0</v>
      </c>
      <c r="E26" s="130">
        <f>'2-ф2'!E18</f>
        <v>0</v>
      </c>
      <c r="F26" s="130">
        <f>'2-ф2'!F18</f>
        <v>0</v>
      </c>
      <c r="G26" s="130">
        <f>'2-ф2'!G18</f>
        <v>0</v>
      </c>
      <c r="H26" s="130">
        <f>'2-ф2'!H18</f>
        <v>0</v>
      </c>
      <c r="I26" s="130">
        <f>'2-ф2'!I18</f>
        <v>0</v>
      </c>
      <c r="J26" s="130">
        <f>'2-ф2'!J18</f>
        <v>0</v>
      </c>
      <c r="K26" s="130">
        <f>'2-ф2'!K18</f>
        <v>0</v>
      </c>
      <c r="L26" s="130">
        <f>'2-ф2'!L18</f>
        <v>0</v>
      </c>
      <c r="M26" s="130">
        <f>'2-ф2'!M18</f>
        <v>0</v>
      </c>
      <c r="N26" s="130">
        <f>'2-ф2'!N18</f>
        <v>-152.02076016666666</v>
      </c>
      <c r="O26" s="130">
        <f>'2-ф2'!O18</f>
        <v>-304.0415203333333</v>
      </c>
      <c r="P26" s="130">
        <f>'2-ф2'!P18</f>
        <v>-304.0415203333333</v>
      </c>
      <c r="Q26" s="130">
        <f>'2-ф2'!Q18</f>
        <v>-461.31921716666665</v>
      </c>
      <c r="R26" s="130">
        <f>'2-ф2'!R18</f>
        <v>-618.596914</v>
      </c>
      <c r="S26" s="130">
        <f>'2-ф2'!S18</f>
        <v>445.99732601466644</v>
      </c>
      <c r="T26" s="130">
        <f>'2-ф2'!T18</f>
        <v>288.5931464681387</v>
      </c>
      <c r="U26" s="130">
        <f>'2-ф2'!U18</f>
        <v>131.42386338897202</v>
      </c>
      <c r="V26" s="130">
        <f>'2-ф2'!V18</f>
        <v>233.37424819316644</v>
      </c>
      <c r="W26" s="130">
        <f>'2-ф2'!W18</f>
        <v>335.559529464722</v>
      </c>
      <c r="X26" s="130">
        <f>'2-ф2'!X18</f>
        <v>437.97970720363867</v>
      </c>
      <c r="Y26" s="130">
        <f>'2-ф2'!Y18</f>
        <v>281.7500099939165</v>
      </c>
      <c r="Z26" s="130">
        <f>'2-ф2'!Z18</f>
        <v>278.696355918222</v>
      </c>
      <c r="AA26" s="130">
        <f>'2-ф2'!AA18</f>
        <v>275.8775983098887</v>
      </c>
      <c r="AB26" s="130">
        <f>'2-ф2'!AB18</f>
        <v>273.2937371689165</v>
      </c>
      <c r="AC26" s="130">
        <f>'2-ф2'!AC18</f>
        <v>273.2937371689165</v>
      </c>
      <c r="AD26" s="130">
        <f>'2-ф2'!AD18</f>
        <v>882.4303625600551</v>
      </c>
      <c r="AE26" s="130">
        <f>'2-ф2'!AE18</f>
        <v>1504.4862936560548</v>
      </c>
      <c r="AF26" s="130">
        <f>'2-ф2'!AF18</f>
        <v>2126.5422247520546</v>
      </c>
      <c r="AG26" s="130">
        <f>'2-ф2'!AG18</f>
        <v>2748.5981558480544</v>
      </c>
      <c r="AH26" s="130">
        <f>'2-ф2'!AH18</f>
        <v>3370.654086944054</v>
      </c>
      <c r="AI26" s="130">
        <f>'2-ф2'!AI18</f>
        <v>3992.710018040054</v>
      </c>
    </row>
    <row r="28" spans="1:35" ht="12.75">
      <c r="A28" s="133" t="s">
        <v>135</v>
      </c>
      <c r="B28" s="134"/>
      <c r="C28" s="135">
        <f aca="true" t="shared" si="16" ref="C28:AH28">C5-C16</f>
        <v>0</v>
      </c>
      <c r="D28" s="136">
        <f t="shared" si="16"/>
        <v>0</v>
      </c>
      <c r="E28" s="136">
        <f t="shared" si="16"/>
        <v>0</v>
      </c>
      <c r="F28" s="136">
        <f t="shared" si="16"/>
        <v>0</v>
      </c>
      <c r="G28" s="136">
        <f t="shared" si="16"/>
        <v>0</v>
      </c>
      <c r="H28" s="136">
        <f t="shared" si="16"/>
        <v>0</v>
      </c>
      <c r="I28" s="136">
        <f t="shared" si="16"/>
        <v>0</v>
      </c>
      <c r="J28" s="136">
        <f t="shared" si="16"/>
        <v>0</v>
      </c>
      <c r="K28" s="136">
        <f t="shared" si="16"/>
        <v>0</v>
      </c>
      <c r="L28" s="136">
        <f t="shared" si="16"/>
        <v>0</v>
      </c>
      <c r="M28" s="136">
        <f t="shared" si="16"/>
        <v>0</v>
      </c>
      <c r="N28" s="136">
        <f t="shared" si="16"/>
        <v>0</v>
      </c>
      <c r="O28" s="136">
        <f t="shared" si="16"/>
        <v>0</v>
      </c>
      <c r="P28" s="136">
        <f>P5-P16</f>
        <v>0</v>
      </c>
      <c r="Q28" s="136">
        <f t="shared" si="16"/>
        <v>0</v>
      </c>
      <c r="R28" s="136">
        <f t="shared" si="16"/>
        <v>0</v>
      </c>
      <c r="S28" s="136">
        <f t="shared" si="16"/>
        <v>0</v>
      </c>
      <c r="T28" s="136">
        <f t="shared" si="16"/>
        <v>0</v>
      </c>
      <c r="U28" s="136">
        <f t="shared" si="16"/>
        <v>0</v>
      </c>
      <c r="V28" s="136">
        <f t="shared" si="16"/>
        <v>0</v>
      </c>
      <c r="W28" s="136">
        <f t="shared" si="16"/>
        <v>0</v>
      </c>
      <c r="X28" s="136">
        <f t="shared" si="16"/>
        <v>0</v>
      </c>
      <c r="Y28" s="136">
        <f t="shared" si="16"/>
        <v>0</v>
      </c>
      <c r="Z28" s="136">
        <f t="shared" si="16"/>
        <v>0</v>
      </c>
      <c r="AA28" s="136">
        <f t="shared" si="16"/>
        <v>0</v>
      </c>
      <c r="AB28" s="136">
        <f t="shared" si="16"/>
        <v>0</v>
      </c>
      <c r="AC28" s="136">
        <f t="shared" si="16"/>
        <v>0</v>
      </c>
      <c r="AD28" s="136">
        <f t="shared" si="16"/>
        <v>0</v>
      </c>
      <c r="AE28" s="136">
        <f t="shared" si="16"/>
        <v>0</v>
      </c>
      <c r="AF28" s="136">
        <f t="shared" si="16"/>
        <v>0</v>
      </c>
      <c r="AG28" s="136">
        <f t="shared" si="16"/>
        <v>0</v>
      </c>
      <c r="AH28" s="136">
        <f t="shared" si="16"/>
        <v>0</v>
      </c>
      <c r="AI28" s="136">
        <f>AI5-AI16</f>
        <v>0</v>
      </c>
    </row>
    <row r="29" ht="12.75" hidden="1"/>
    <row r="30" spans="1:35" ht="12.75" hidden="1">
      <c r="A30" s="116" t="s">
        <v>134</v>
      </c>
      <c r="P30" s="117">
        <f>P26</f>
        <v>-304.0415203333333</v>
      </c>
      <c r="Q30" s="117">
        <f>'[45]ф2'!Q32</f>
        <v>109.48954266069855</v>
      </c>
      <c r="R30" s="117">
        <f>'[45]ф2'!R32</f>
        <v>109.48954266069855</v>
      </c>
      <c r="S30" s="117">
        <f>'[45]ф2'!S32</f>
        <v>108.45296951069854</v>
      </c>
      <c r="T30" s="117">
        <f>'[45]ф2'!T32</f>
        <v>106.37982321069852</v>
      </c>
      <c r="U30" s="117">
        <f>'[45]ф2'!U32</f>
        <v>103.27010376069849</v>
      </c>
      <c r="V30" s="117">
        <f>'[45]ф2'!V32</f>
        <v>103.27010376069849</v>
      </c>
      <c r="W30" s="117">
        <f>'[45]ф2'!W32</f>
        <v>103.27010376069849</v>
      </c>
      <c r="X30" s="117">
        <f>'[45]ф2'!X32</f>
        <v>99.20125340855881</v>
      </c>
      <c r="Y30" s="117">
        <f>'[45]ф2'!Y32</f>
        <v>99.20125340855881</v>
      </c>
      <c r="Z30" s="117">
        <f>'[45]ф2'!Z32</f>
        <v>99.20125340855881</v>
      </c>
      <c r="AA30" s="117">
        <f>'[45]ф2'!AA32</f>
        <v>99.20125340855881</v>
      </c>
      <c r="AB30" s="117">
        <f>'[45]ф2'!AB32</f>
        <v>82.61608300855879</v>
      </c>
      <c r="AC30" s="117">
        <f>AC26-P26</f>
        <v>577.3352575022498</v>
      </c>
      <c r="AD30" s="117">
        <f aca="true" t="shared" si="17" ref="AD30:AI30">AD26-AC26</f>
        <v>609.1366253911385</v>
      </c>
      <c r="AE30" s="117">
        <f t="shared" si="17"/>
        <v>622.0559310959998</v>
      </c>
      <c r="AF30" s="117">
        <f t="shared" si="17"/>
        <v>622.0559310959998</v>
      </c>
      <c r="AG30" s="117">
        <f t="shared" si="17"/>
        <v>622.0559310959998</v>
      </c>
      <c r="AH30" s="117">
        <f t="shared" si="17"/>
        <v>622.0559310959998</v>
      </c>
      <c r="AI30" s="117">
        <f t="shared" si="17"/>
        <v>622.0559310959998</v>
      </c>
    </row>
    <row r="31" spans="1:35" ht="12.75" hidden="1">
      <c r="A31" s="116" t="s">
        <v>136</v>
      </c>
      <c r="P31" s="117">
        <f>(P8+P10+P13+P14)-(C8+C10+C13+C14)</f>
        <v>0</v>
      </c>
      <c r="AC31" s="117">
        <f>(AC8+AC10+AC13+AC14)-(P8+P10+P13+P14)</f>
        <v>0</v>
      </c>
      <c r="AD31" s="117">
        <f aca="true" t="shared" si="18" ref="AD31:AI31">(AD8+AD10+AD13+AD14)-(AC8+AC10+AC13+AC14)</f>
        <v>0</v>
      </c>
      <c r="AE31" s="117">
        <f t="shared" si="18"/>
        <v>0</v>
      </c>
      <c r="AF31" s="117">
        <f t="shared" si="18"/>
        <v>0</v>
      </c>
      <c r="AG31" s="117">
        <f t="shared" si="18"/>
        <v>0</v>
      </c>
      <c r="AH31" s="117">
        <f t="shared" si="18"/>
        <v>0</v>
      </c>
      <c r="AI31" s="117">
        <f t="shared" si="18"/>
        <v>0</v>
      </c>
    </row>
    <row r="32" spans="1:35" ht="12.75" hidden="1">
      <c r="A32" s="116" t="s">
        <v>137</v>
      </c>
      <c r="P32" s="117">
        <f>P9-C9</f>
        <v>0</v>
      </c>
      <c r="AC32" s="117">
        <f>AC9-P9</f>
        <v>0</v>
      </c>
      <c r="AD32" s="117">
        <f aca="true" t="shared" si="19" ref="AD32:AI32">AD9-AC9</f>
        <v>0</v>
      </c>
      <c r="AE32" s="117">
        <f t="shared" si="19"/>
        <v>0</v>
      </c>
      <c r="AF32" s="117">
        <f t="shared" si="19"/>
        <v>0</v>
      </c>
      <c r="AG32" s="117">
        <f t="shared" si="19"/>
        <v>0</v>
      </c>
      <c r="AH32" s="117">
        <f t="shared" si="19"/>
        <v>0</v>
      </c>
      <c r="AI32" s="117">
        <f t="shared" si="19"/>
        <v>0</v>
      </c>
    </row>
    <row r="33" spans="1:35" ht="12.75" hidden="1">
      <c r="A33" s="116" t="s">
        <v>138</v>
      </c>
      <c r="P33" s="117">
        <f>(P21+P17)-(C21+C17)</f>
        <v>752.0817003333334</v>
      </c>
      <c r="AC33" s="117">
        <f>(AC21+AC17)-(P21+P17)</f>
        <v>-349.4020420000002</v>
      </c>
      <c r="AD33" s="117">
        <f aca="true" t="shared" si="20" ref="AD33:AI33">(AD21+AD17)-(AC21+AC17)</f>
        <v>-402.67965833333335</v>
      </c>
      <c r="AE33" s="117">
        <f t="shared" si="20"/>
        <v>0</v>
      </c>
      <c r="AF33" s="117">
        <f t="shared" si="20"/>
        <v>0</v>
      </c>
      <c r="AG33" s="117">
        <f t="shared" si="20"/>
        <v>0</v>
      </c>
      <c r="AH33" s="117">
        <f t="shared" si="20"/>
        <v>0</v>
      </c>
      <c r="AI33" s="117">
        <f t="shared" si="20"/>
        <v>0</v>
      </c>
    </row>
    <row r="34" spans="1:35" ht="12.75" hidden="1">
      <c r="A34" s="116" t="s">
        <v>139</v>
      </c>
      <c r="P34" s="117">
        <f>-P31+P32+P33</f>
        <v>752.0817003333334</v>
      </c>
      <c r="Q34" s="117">
        <f aca="true" t="shared" si="21" ref="Q34:AB34">Q31+Q32+Q33</f>
        <v>0</v>
      </c>
      <c r="R34" s="117">
        <f t="shared" si="21"/>
        <v>0</v>
      </c>
      <c r="S34" s="117">
        <f t="shared" si="21"/>
        <v>0</v>
      </c>
      <c r="T34" s="117">
        <f t="shared" si="21"/>
        <v>0</v>
      </c>
      <c r="U34" s="117">
        <f t="shared" si="21"/>
        <v>0</v>
      </c>
      <c r="V34" s="117">
        <f t="shared" si="21"/>
        <v>0</v>
      </c>
      <c r="W34" s="117">
        <f t="shared" si="21"/>
        <v>0</v>
      </c>
      <c r="X34" s="117">
        <f t="shared" si="21"/>
        <v>0</v>
      </c>
      <c r="Y34" s="117">
        <f t="shared" si="21"/>
        <v>0</v>
      </c>
      <c r="Z34" s="117">
        <f t="shared" si="21"/>
        <v>0</v>
      </c>
      <c r="AA34" s="117">
        <f t="shared" si="21"/>
        <v>0</v>
      </c>
      <c r="AB34" s="117">
        <f t="shared" si="21"/>
        <v>0</v>
      </c>
      <c r="AC34" s="117">
        <f aca="true" t="shared" si="22" ref="AC34:AH34">-AC31+AC32+AC33</f>
        <v>-349.4020420000002</v>
      </c>
      <c r="AD34" s="117">
        <f t="shared" si="22"/>
        <v>-402.67965833333335</v>
      </c>
      <c r="AE34" s="117">
        <f t="shared" si="22"/>
        <v>0</v>
      </c>
      <c r="AF34" s="117">
        <f t="shared" si="22"/>
        <v>0</v>
      </c>
      <c r="AG34" s="117">
        <f t="shared" si="22"/>
        <v>0</v>
      </c>
      <c r="AH34" s="117">
        <f t="shared" si="22"/>
        <v>0</v>
      </c>
      <c r="AI34" s="117">
        <f>-AI31+AI32+AI33</f>
        <v>0</v>
      </c>
    </row>
    <row r="35" spans="1:35" ht="12.75" hidden="1">
      <c r="A35" s="116" t="s">
        <v>75</v>
      </c>
      <c r="P35" s="117">
        <f>'2-ф2'!P13</f>
        <v>0</v>
      </c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>
        <f>'2-ф2'!AC13</f>
        <v>47.312430000000006</v>
      </c>
      <c r="AD35" s="117">
        <f>'2-ф2'!AD13</f>
        <v>47.312430000000006</v>
      </c>
      <c r="AE35" s="117">
        <f>'2-ф2'!AE13</f>
        <v>47.312430000000006</v>
      </c>
      <c r="AF35" s="117">
        <f>'2-ф2'!AF13</f>
        <v>47.312430000000006</v>
      </c>
      <c r="AG35" s="117">
        <f>'2-ф2'!AG13</f>
        <v>47.312430000000006</v>
      </c>
      <c r="AH35" s="117">
        <f>'2-ф2'!AH13</f>
        <v>47.312430000000006</v>
      </c>
      <c r="AI35" s="117">
        <f>'2-ф2'!AI13</f>
        <v>47.312430000000006</v>
      </c>
    </row>
    <row r="36" spans="1:35" ht="12.75" hidden="1">
      <c r="A36" s="116" t="s">
        <v>140</v>
      </c>
      <c r="P36" s="117">
        <f>-'1-Ф3'!P22</f>
        <v>-743.4086000000001</v>
      </c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>
        <f>-'1-Ф3'!AC22</f>
        <v>0</v>
      </c>
      <c r="AD36" s="117">
        <f>-'1-Ф3'!AD22</f>
        <v>0</v>
      </c>
      <c r="AE36" s="117">
        <f>-'1-Ф3'!AE22</f>
        <v>0</v>
      </c>
      <c r="AF36" s="117">
        <f>-'1-Ф3'!AF22</f>
        <v>0</v>
      </c>
      <c r="AG36" s="117">
        <f>-'1-Ф3'!AG22</f>
        <v>0</v>
      </c>
      <c r="AH36" s="117">
        <f>-'1-Ф3'!AH22</f>
        <v>0</v>
      </c>
      <c r="AI36" s="117">
        <f>-'1-Ф3'!AI22</f>
        <v>0</v>
      </c>
    </row>
    <row r="37" spans="1:35" ht="12.75" hidden="1">
      <c r="A37" s="116" t="s">
        <v>141</v>
      </c>
      <c r="P37" s="117">
        <f>P30+P34+P35+P36+P25</f>
        <v>0</v>
      </c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>
        <f aca="true" t="shared" si="23" ref="AC37:AH37">AC30+AC34+AC35+AC36</f>
        <v>275.24564550224954</v>
      </c>
      <c r="AD37" s="117">
        <f t="shared" si="23"/>
        <v>253.76939705780518</v>
      </c>
      <c r="AE37" s="117">
        <f t="shared" si="23"/>
        <v>669.3683610959997</v>
      </c>
      <c r="AF37" s="117">
        <f t="shared" si="23"/>
        <v>669.3683610959997</v>
      </c>
      <c r="AG37" s="117">
        <f t="shared" si="23"/>
        <v>669.3683610959997</v>
      </c>
      <c r="AH37" s="117">
        <f t="shared" si="23"/>
        <v>669.3683610959997</v>
      </c>
      <c r="AI37" s="117">
        <f>AI30+AI34+AI35+AI36</f>
        <v>669.3683610959997</v>
      </c>
    </row>
    <row r="38" ht="12.75" hidden="1"/>
    <row r="39" spans="1:35" ht="12.75" hidden="1">
      <c r="A39" s="116" t="s">
        <v>147</v>
      </c>
      <c r="P39" s="117">
        <f>'1-Ф3'!P35</f>
        <v>0</v>
      </c>
      <c r="AC39" s="117">
        <f>'1-Ф3'!AC35</f>
        <v>832.8421286542498</v>
      </c>
      <c r="AD39" s="117">
        <f>'1-Ф3'!AD35</f>
        <v>253.76939705780558</v>
      </c>
      <c r="AE39" s="117">
        <f>'1-Ф3'!AE35</f>
        <v>669.368361096</v>
      </c>
      <c r="AF39" s="117">
        <f>'1-Ф3'!AF35</f>
        <v>669.368361096</v>
      </c>
      <c r="AG39" s="117">
        <f>'1-Ф3'!AG35</f>
        <v>669.368361096</v>
      </c>
      <c r="AH39" s="117">
        <f>'1-Ф3'!AH35</f>
        <v>669.368361096</v>
      </c>
      <c r="AI39" s="117">
        <f>'1-Ф3'!AI35</f>
        <v>669.368361096</v>
      </c>
    </row>
    <row r="40" spans="1:35" ht="12.75" hidden="1">
      <c r="A40" s="133" t="s">
        <v>135</v>
      </c>
      <c r="B40" s="134"/>
      <c r="C40" s="135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>
        <f>P39-P37</f>
        <v>0</v>
      </c>
      <c r="Q40" s="136">
        <f aca="true" t="shared" si="24" ref="Q40:AB40">Q39-Q37</f>
        <v>0</v>
      </c>
      <c r="R40" s="136">
        <f t="shared" si="24"/>
        <v>0</v>
      </c>
      <c r="S40" s="136">
        <f t="shared" si="24"/>
        <v>0</v>
      </c>
      <c r="T40" s="136">
        <f t="shared" si="24"/>
        <v>0</v>
      </c>
      <c r="U40" s="136">
        <f t="shared" si="24"/>
        <v>0</v>
      </c>
      <c r="V40" s="136">
        <f t="shared" si="24"/>
        <v>0</v>
      </c>
      <c r="W40" s="136">
        <f t="shared" si="24"/>
        <v>0</v>
      </c>
      <c r="X40" s="136">
        <f t="shared" si="24"/>
        <v>0</v>
      </c>
      <c r="Y40" s="136">
        <f t="shared" si="24"/>
        <v>0</v>
      </c>
      <c r="Z40" s="136">
        <f t="shared" si="24"/>
        <v>0</v>
      </c>
      <c r="AA40" s="136">
        <f t="shared" si="24"/>
        <v>0</v>
      </c>
      <c r="AB40" s="136">
        <f t="shared" si="24"/>
        <v>0</v>
      </c>
      <c r="AC40" s="136">
        <f aca="true" t="shared" si="25" ref="AC40:AH40">AC39-AC37</f>
        <v>557.5964831520002</v>
      </c>
      <c r="AD40" s="136">
        <f t="shared" si="25"/>
        <v>3.979039320256561E-13</v>
      </c>
      <c r="AE40" s="136">
        <f t="shared" si="25"/>
        <v>0</v>
      </c>
      <c r="AF40" s="136">
        <f t="shared" si="25"/>
        <v>0</v>
      </c>
      <c r="AG40" s="136">
        <f t="shared" si="25"/>
        <v>0</v>
      </c>
      <c r="AH40" s="136">
        <f t="shared" si="25"/>
        <v>0</v>
      </c>
      <c r="AI40" s="136">
        <f>AI39-AI37</f>
        <v>0</v>
      </c>
    </row>
    <row r="41" spans="11:14" ht="12.75">
      <c r="K41" s="233">
        <f>K28-J28</f>
        <v>0</v>
      </c>
      <c r="L41" s="233">
        <f>L28-K28</f>
        <v>0</v>
      </c>
      <c r="M41" s="233">
        <f>M28-L28</f>
        <v>0</v>
      </c>
      <c r="N41" s="233">
        <f>N28-M28</f>
        <v>0</v>
      </c>
    </row>
  </sheetData>
  <sheetProtection/>
  <mergeCells count="4">
    <mergeCell ref="A3:A4"/>
    <mergeCell ref="B3:B4"/>
    <mergeCell ref="D3:P3"/>
    <mergeCell ref="Q3:AC3"/>
  </mergeCells>
  <printOptions/>
  <pageMargins left="0.35433070866141736" right="0.2362204724409449" top="0.7874015748031497" bottom="0.2362204724409449" header="0.3937007874015748" footer="0.15748031496062992"/>
  <pageSetup horizontalDpi="600" verticalDpi="600" orientation="landscape" paperSize="9" r:id="rId1"/>
  <headerFooter alignWithMargins="0">
    <oddHeader>&amp;RПриложение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J45"/>
  <sheetViews>
    <sheetView showGridLines="0" zoomScalePageLayoutView="0" workbookViewId="0" topLeftCell="A1">
      <pane ySplit="3" topLeftCell="A7" activePane="bottomLeft" state="frozen"/>
      <selection pane="topLeft" activeCell="A34" sqref="A34"/>
      <selection pane="bottomLeft" activeCell="G2" sqref="G2"/>
    </sheetView>
  </sheetViews>
  <sheetFormatPr defaultColWidth="9.00390625" defaultRowHeight="12.75"/>
  <cols>
    <col min="1" max="1" width="29.875" style="71" customWidth="1"/>
    <col min="2" max="2" width="18.75390625" style="71" customWidth="1"/>
    <col min="3" max="3" width="20.00390625" style="71" customWidth="1"/>
    <col min="4" max="4" width="19.00390625" style="71" customWidth="1"/>
    <col min="5" max="13" width="9.125" style="71" customWidth="1"/>
    <col min="14" max="14" width="14.375" style="71" customWidth="1"/>
    <col min="15" max="16384" width="9.125" style="71" customWidth="1"/>
  </cols>
  <sheetData>
    <row r="1" spans="1:3" ht="15.75" customHeight="1">
      <c r="A1" s="324" t="s">
        <v>36</v>
      </c>
      <c r="B1" s="324"/>
      <c r="C1" s="324"/>
    </row>
    <row r="2" spans="1:7" ht="12" customHeight="1">
      <c r="A2" s="61"/>
      <c r="G2" s="237">
        <f>'1-Ф3'!B36</f>
        <v>4433.453331192055</v>
      </c>
    </row>
    <row r="3" spans="1:3" ht="12.75">
      <c r="A3" s="72" t="s">
        <v>26</v>
      </c>
      <c r="B3" s="73" t="s">
        <v>37</v>
      </c>
      <c r="C3" s="73" t="s">
        <v>7</v>
      </c>
    </row>
    <row r="4" ht="12.75">
      <c r="A4" s="61" t="s">
        <v>149</v>
      </c>
    </row>
    <row r="5" spans="1:3" ht="12.75">
      <c r="A5" s="74" t="s">
        <v>102</v>
      </c>
      <c r="B5" s="74"/>
      <c r="C5" s="142">
        <v>151.54</v>
      </c>
    </row>
    <row r="6" spans="1:3" ht="12.75">
      <c r="A6" s="74" t="s">
        <v>159</v>
      </c>
      <c r="B6" s="74"/>
      <c r="C6" s="224">
        <v>4.61</v>
      </c>
    </row>
    <row r="7" spans="1:4" ht="12.75">
      <c r="A7" s="74" t="s">
        <v>71</v>
      </c>
      <c r="B7" s="74"/>
      <c r="C7" s="154">
        <f>(20%*C8+C42*(1-C19)*(1-C8))*0+7%</f>
        <v>0.07</v>
      </c>
      <c r="D7" s="71" t="s">
        <v>201</v>
      </c>
    </row>
    <row r="8" spans="1:3" ht="12.75" hidden="1">
      <c r="A8" s="74" t="s">
        <v>198</v>
      </c>
      <c r="B8" s="74"/>
      <c r="C8" s="77">
        <v>0</v>
      </c>
    </row>
    <row r="9" spans="1:3" ht="12.75">
      <c r="A9" s="74" t="s">
        <v>142</v>
      </c>
      <c r="B9" s="74"/>
      <c r="C9" s="78" t="s">
        <v>57</v>
      </c>
    </row>
    <row r="10" ht="12.75">
      <c r="A10" s="61" t="s">
        <v>143</v>
      </c>
    </row>
    <row r="11" spans="1:3" ht="12.75">
      <c r="A11" s="74" t="s">
        <v>45</v>
      </c>
      <c r="B11" s="76" t="s">
        <v>39</v>
      </c>
      <c r="C11" s="77">
        <v>0.1</v>
      </c>
    </row>
    <row r="12" spans="1:3" ht="12.75">
      <c r="A12" s="74" t="s">
        <v>50</v>
      </c>
      <c r="B12" s="76" t="s">
        <v>39</v>
      </c>
      <c r="C12" s="77">
        <v>0.05</v>
      </c>
    </row>
    <row r="13" spans="1:3" ht="12.75">
      <c r="A13" s="74" t="s">
        <v>203</v>
      </c>
      <c r="B13" s="76" t="s">
        <v>39</v>
      </c>
      <c r="C13" s="77">
        <v>0.1</v>
      </c>
    </row>
    <row r="14" spans="1:3" ht="12.75" hidden="1">
      <c r="A14" s="74" t="s">
        <v>48</v>
      </c>
      <c r="B14" s="76" t="s">
        <v>39</v>
      </c>
      <c r="C14" s="77">
        <f>11%*0</f>
        <v>0</v>
      </c>
    </row>
    <row r="15" spans="1:3" ht="12.75">
      <c r="A15" s="74" t="s">
        <v>113</v>
      </c>
      <c r="B15" s="76" t="s">
        <v>57</v>
      </c>
      <c r="C15" s="79">
        <v>18.66</v>
      </c>
    </row>
    <row r="16" spans="1:3" ht="12.75">
      <c r="A16" s="74" t="s">
        <v>1</v>
      </c>
      <c r="B16" s="76"/>
      <c r="C16" s="235">
        <f>1.5%</f>
        <v>0.015</v>
      </c>
    </row>
    <row r="17" spans="1:4" ht="12.75" hidden="1">
      <c r="A17" s="74" t="s">
        <v>38</v>
      </c>
      <c r="B17" s="76" t="s">
        <v>39</v>
      </c>
      <c r="C17" s="77">
        <f>12%*0</f>
        <v>0</v>
      </c>
      <c r="D17" s="71" t="s">
        <v>202</v>
      </c>
    </row>
    <row r="18" spans="1:4" ht="12.75" hidden="1">
      <c r="A18" s="74" t="s">
        <v>58</v>
      </c>
      <c r="B18" s="74"/>
      <c r="C18" s="75">
        <v>1</v>
      </c>
      <c r="D18" s="71" t="s">
        <v>202</v>
      </c>
    </row>
    <row r="19" spans="1:4" ht="12.75">
      <c r="A19" s="74" t="s">
        <v>233</v>
      </c>
      <c r="B19" s="76" t="s">
        <v>39</v>
      </c>
      <c r="C19" s="77">
        <v>0.03</v>
      </c>
      <c r="D19" s="71" t="s">
        <v>232</v>
      </c>
    </row>
    <row r="21" spans="1:10" ht="12.75">
      <c r="A21" s="61" t="s">
        <v>234</v>
      </c>
      <c r="C21" s="144"/>
      <c r="D21" s="144"/>
      <c r="E21" s="144"/>
      <c r="F21" s="144"/>
      <c r="G21" s="144"/>
      <c r="H21" s="144"/>
      <c r="I21" s="144"/>
      <c r="J21" s="144"/>
    </row>
    <row r="22" spans="1:10" ht="12.75">
      <c r="A22" s="74" t="s">
        <v>235</v>
      </c>
      <c r="B22" s="76" t="s">
        <v>236</v>
      </c>
      <c r="C22" s="142">
        <f>12*2.5</f>
        <v>30</v>
      </c>
      <c r="D22" s="144"/>
      <c r="E22" s="144"/>
      <c r="F22" s="144"/>
      <c r="G22" s="144"/>
      <c r="H22" s="144"/>
      <c r="I22" s="144"/>
      <c r="J22" s="144"/>
    </row>
    <row r="23" spans="1:10" ht="12.75">
      <c r="A23" s="74" t="s">
        <v>237</v>
      </c>
      <c r="B23" s="76" t="s">
        <v>238</v>
      </c>
      <c r="C23" s="142">
        <v>2</v>
      </c>
      <c r="D23" s="144"/>
      <c r="E23" s="144"/>
      <c r="F23" s="144"/>
      <c r="G23" s="144"/>
      <c r="H23" s="144"/>
      <c r="I23" s="144"/>
      <c r="J23" s="144"/>
    </row>
    <row r="24" spans="1:10" ht="12.75">
      <c r="A24" s="74" t="s">
        <v>239</v>
      </c>
      <c r="B24" s="76" t="s">
        <v>236</v>
      </c>
      <c r="C24" s="143">
        <f>C22*C23</f>
        <v>60</v>
      </c>
      <c r="D24" s="144"/>
      <c r="E24" s="144"/>
      <c r="F24" s="144"/>
      <c r="G24" s="144"/>
      <c r="H24" s="144"/>
      <c r="I24" s="144"/>
      <c r="J24" s="144"/>
    </row>
    <row r="25" ht="12.75">
      <c r="A25" s="61" t="s">
        <v>208</v>
      </c>
    </row>
    <row r="26" spans="1:3" ht="12.75">
      <c r="A26" s="161" t="s">
        <v>245</v>
      </c>
      <c r="B26" s="76" t="s">
        <v>246</v>
      </c>
      <c r="C26" s="142">
        <v>170</v>
      </c>
    </row>
    <row r="27" spans="1:3" ht="12.75">
      <c r="A27" s="161" t="s">
        <v>247</v>
      </c>
      <c r="B27" s="76" t="s">
        <v>246</v>
      </c>
      <c r="C27" s="142">
        <v>70</v>
      </c>
    </row>
    <row r="28" ht="12.75">
      <c r="A28" s="61" t="s">
        <v>209</v>
      </c>
    </row>
    <row r="29" spans="1:3" ht="12.75">
      <c r="A29" s="161" t="str">
        <f>A26</f>
        <v>Тюльпаны</v>
      </c>
      <c r="B29" s="76" t="s">
        <v>248</v>
      </c>
      <c r="C29" s="142">
        <v>150</v>
      </c>
    </row>
    <row r="30" spans="1:3" ht="12.75">
      <c r="A30" s="161" t="str">
        <f>A27</f>
        <v>Хризантемы</v>
      </c>
      <c r="B30" s="76" t="s">
        <v>248</v>
      </c>
      <c r="C30" s="142">
        <v>250</v>
      </c>
    </row>
    <row r="31" spans="1:3" ht="12.75">
      <c r="A31" s="161" t="s">
        <v>249</v>
      </c>
      <c r="B31" s="218" t="s">
        <v>250</v>
      </c>
      <c r="C31" s="219">
        <f>14.4*1.12</f>
        <v>16.128000000000004</v>
      </c>
    </row>
    <row r="32" spans="1:4" ht="12.75">
      <c r="A32" s="161" t="s">
        <v>251</v>
      </c>
      <c r="B32" s="76" t="s">
        <v>248</v>
      </c>
      <c r="C32" s="219">
        <f>5*1.1*$C$6</f>
        <v>25.355</v>
      </c>
      <c r="D32" s="221" t="s">
        <v>252</v>
      </c>
    </row>
    <row r="33" spans="1:4" ht="25.5">
      <c r="A33" s="161" t="s">
        <v>253</v>
      </c>
      <c r="B33" s="76" t="s">
        <v>248</v>
      </c>
      <c r="C33" s="219">
        <f>45*1.1*$C$6</f>
        <v>228.19500000000005</v>
      </c>
      <c r="D33" s="221" t="s">
        <v>254</v>
      </c>
    </row>
    <row r="34" spans="1:4" ht="12.75">
      <c r="A34" s="161" t="s">
        <v>266</v>
      </c>
      <c r="B34" s="76" t="s">
        <v>272</v>
      </c>
      <c r="C34" s="142">
        <f>41*1.1*$C$6</f>
        <v>207.91100000000003</v>
      </c>
      <c r="D34" s="221" t="s">
        <v>277</v>
      </c>
    </row>
    <row r="35" spans="1:3" ht="12.75">
      <c r="A35" s="74" t="s">
        <v>267</v>
      </c>
      <c r="B35" s="76" t="s">
        <v>272</v>
      </c>
      <c r="C35" s="142">
        <f>17.5*1.1*$C$6</f>
        <v>88.7425</v>
      </c>
    </row>
    <row r="36" spans="1:4" ht="25.5">
      <c r="A36" s="161" t="s">
        <v>268</v>
      </c>
      <c r="B36" s="76" t="s">
        <v>272</v>
      </c>
      <c r="C36" s="142">
        <f>550*1.1*$C$6</f>
        <v>2789.05</v>
      </c>
      <c r="D36" s="221" t="s">
        <v>278</v>
      </c>
    </row>
    <row r="37" spans="1:4" ht="12.75">
      <c r="A37" s="74" t="s">
        <v>269</v>
      </c>
      <c r="B37" s="76" t="s">
        <v>273</v>
      </c>
      <c r="C37" s="142">
        <f>880*1.1*$C$6</f>
        <v>4462.4800000000005</v>
      </c>
      <c r="D37" s="221" t="s">
        <v>276</v>
      </c>
    </row>
    <row r="38" spans="1:4" ht="12.75">
      <c r="A38" s="74" t="s">
        <v>270</v>
      </c>
      <c r="B38" s="76" t="s">
        <v>274</v>
      </c>
      <c r="C38" s="142">
        <f>14*1.1*$C$6</f>
        <v>70.99400000000001</v>
      </c>
      <c r="D38" s="221" t="s">
        <v>275</v>
      </c>
    </row>
    <row r="39" ht="12.75">
      <c r="A39" s="61" t="s">
        <v>244</v>
      </c>
    </row>
    <row r="40" spans="1:3" ht="12.75">
      <c r="A40" s="161" t="s">
        <v>243</v>
      </c>
      <c r="B40" s="218" t="s">
        <v>242</v>
      </c>
      <c r="C40" s="281">
        <v>1.8</v>
      </c>
    </row>
    <row r="41" ht="12.75">
      <c r="A41" s="61" t="s">
        <v>150</v>
      </c>
    </row>
    <row r="42" spans="1:3" ht="12.75">
      <c r="A42" s="74" t="s">
        <v>55</v>
      </c>
      <c r="B42" s="76" t="s">
        <v>39</v>
      </c>
      <c r="C42" s="77">
        <v>0.07</v>
      </c>
    </row>
    <row r="43" spans="1:3" ht="12.75">
      <c r="A43" s="74" t="s">
        <v>151</v>
      </c>
      <c r="B43" s="76" t="s">
        <v>152</v>
      </c>
      <c r="C43" s="142">
        <v>2</v>
      </c>
    </row>
    <row r="44" spans="1:3" ht="12.75">
      <c r="A44" s="74" t="s">
        <v>153</v>
      </c>
      <c r="B44" s="76" t="s">
        <v>155</v>
      </c>
      <c r="C44" s="142">
        <v>5</v>
      </c>
    </row>
    <row r="45" spans="1:3" ht="12.75">
      <c r="A45" s="74" t="s">
        <v>154</v>
      </c>
      <c r="B45" s="76" t="s">
        <v>155</v>
      </c>
      <c r="C45" s="142">
        <v>5</v>
      </c>
    </row>
  </sheetData>
  <sheetProtection/>
  <mergeCells count="1">
    <mergeCell ref="A1:C1"/>
  </mergeCells>
  <hyperlinks>
    <hyperlink ref="D32" r:id="rId1" display="http://www.agroru.com/doska/lukovicy-tjulpanov-optom-452912.htm"/>
    <hyperlink ref="D33" r:id="rId2" display="http://www.greeninfo.ru/cut_flowers/chrysanthemum.html/Article/_/aID/5920"/>
    <hyperlink ref="D38" r:id="rId3" display="http://tdpospelov.ru/index.php/ecommerce/detail/389/flypage/4034?sef=hcfp"/>
    <hyperlink ref="D37" r:id="rId4" display="http://www.agroru.com/doska/fungitsid-skor-99446.htm"/>
    <hyperlink ref="D34" r:id="rId5" display="http://domisad-spb.ru/list/Udobrenija-stimuljatory-rosta/ammiachnaja-selitra-1kg-chudovo.html"/>
    <hyperlink ref="D36" r:id="rId6" display="http://tdpospelov.ru/index.php/ecommerce/detail/377/flypage/2716?sef=hcfp"/>
  </hyperlinks>
  <printOptions/>
  <pageMargins left="0.3" right="0.25" top="0.43" bottom="0.33" header="0.21" footer="0.24"/>
  <pageSetup horizontalDpi="600" verticalDpi="600" orientation="landscape" paperSize="9" r:id="rId7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9"/>
  <sheetViews>
    <sheetView showGridLines="0" zoomScalePageLayoutView="0" workbookViewId="0" topLeftCell="A1">
      <pane ySplit="4" topLeftCell="A5" activePane="bottomLeft" state="frozen"/>
      <selection pane="topLeft" activeCell="C8" sqref="C8"/>
      <selection pane="bottomLeft" activeCell="D26" sqref="D26"/>
    </sheetView>
  </sheetViews>
  <sheetFormatPr defaultColWidth="8.875" defaultRowHeight="12.75"/>
  <cols>
    <col min="1" max="1" width="29.75390625" style="71" customWidth="1"/>
    <col min="2" max="2" width="10.875" style="71" customWidth="1"/>
    <col min="3" max="7" width="8.875" style="71" customWidth="1"/>
    <col min="8" max="16384" width="8.875" style="71" customWidth="1"/>
  </cols>
  <sheetData>
    <row r="1" ht="12.75">
      <c r="A1" s="61" t="s">
        <v>95</v>
      </c>
    </row>
    <row r="2" ht="12.75">
      <c r="A2" s="61"/>
    </row>
    <row r="3" spans="1:7" ht="12.75">
      <c r="A3" s="71" t="s">
        <v>40</v>
      </c>
      <c r="C3" s="137"/>
      <c r="D3" s="137"/>
      <c r="E3" s="137"/>
      <c r="F3" s="137"/>
      <c r="G3" s="137"/>
    </row>
    <row r="4" spans="1:9" ht="12.75">
      <c r="A4" s="217" t="s">
        <v>96</v>
      </c>
      <c r="B4" s="213"/>
      <c r="C4" s="213">
        <v>2012</v>
      </c>
      <c r="D4" s="213">
        <f aca="true" t="shared" si="0" ref="D4:I4">C4+1</f>
        <v>2013</v>
      </c>
      <c r="E4" s="213">
        <f t="shared" si="0"/>
        <v>2014</v>
      </c>
      <c r="F4" s="213">
        <f t="shared" si="0"/>
        <v>2015</v>
      </c>
      <c r="G4" s="213">
        <f t="shared" si="0"/>
        <v>2016</v>
      </c>
      <c r="H4" s="213">
        <f t="shared" si="0"/>
        <v>2017</v>
      </c>
      <c r="I4" s="213">
        <f t="shared" si="0"/>
        <v>2018</v>
      </c>
    </row>
    <row r="5" spans="1:9" ht="12.75">
      <c r="A5" s="214"/>
      <c r="B5" s="216" t="s">
        <v>107</v>
      </c>
      <c r="C5" s="215">
        <f>C8*C9</f>
        <v>0</v>
      </c>
      <c r="D5" s="215">
        <f aca="true" t="shared" si="1" ref="D5:I5">D8*D9</f>
        <v>0</v>
      </c>
      <c r="E5" s="215">
        <f t="shared" si="1"/>
        <v>0</v>
      </c>
      <c r="F5" s="215">
        <f t="shared" si="1"/>
        <v>0</v>
      </c>
      <c r="G5" s="215">
        <f t="shared" si="1"/>
        <v>0</v>
      </c>
      <c r="H5" s="215">
        <f t="shared" si="1"/>
        <v>0</v>
      </c>
      <c r="I5" s="215">
        <f t="shared" si="1"/>
        <v>0</v>
      </c>
    </row>
    <row r="6" spans="1:9" ht="12.75">
      <c r="A6" s="74"/>
      <c r="B6" s="143"/>
      <c r="C6" s="143"/>
      <c r="D6" s="143"/>
      <c r="E6" s="143"/>
      <c r="F6" s="143"/>
      <c r="G6" s="143"/>
      <c r="H6" s="143"/>
      <c r="I6" s="143"/>
    </row>
    <row r="7" spans="1:9" ht="12.75">
      <c r="A7" s="74"/>
      <c r="B7" s="143"/>
      <c r="C7" s="143"/>
      <c r="D7" s="143"/>
      <c r="E7" s="143"/>
      <c r="F7" s="143"/>
      <c r="G7" s="143"/>
      <c r="H7" s="143"/>
      <c r="I7" s="143"/>
    </row>
    <row r="8" spans="1:9" ht="12.75">
      <c r="A8" s="74"/>
      <c r="B8" s="143"/>
      <c r="C8" s="143"/>
      <c r="D8" s="143"/>
      <c r="E8" s="143"/>
      <c r="F8" s="143"/>
      <c r="G8" s="143"/>
      <c r="H8" s="143"/>
      <c r="I8" s="143"/>
    </row>
    <row r="9" spans="1:9" ht="12.75">
      <c r="A9" s="74"/>
      <c r="B9" s="143"/>
      <c r="C9" s="143"/>
      <c r="D9" s="143"/>
      <c r="E9" s="143"/>
      <c r="F9" s="143"/>
      <c r="G9" s="143"/>
      <c r="H9" s="143"/>
      <c r="I9" s="143"/>
    </row>
  </sheetData>
  <sheetProtection/>
  <printOptions/>
  <pageMargins left="0.49" right="0.18" top="0.3" bottom="2.11" header="0.2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P30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8" sqref="J18"/>
    </sheetView>
  </sheetViews>
  <sheetFormatPr defaultColWidth="8.875" defaultRowHeight="12.75"/>
  <cols>
    <col min="1" max="1" width="33.75390625" style="71" customWidth="1"/>
    <col min="2" max="2" width="11.00390625" style="71" bestFit="1" customWidth="1"/>
    <col min="3" max="3" width="13.125" style="71" customWidth="1"/>
    <col min="4" max="4" width="10.375" style="71" customWidth="1"/>
    <col min="5" max="5" width="9.375" style="71" customWidth="1"/>
    <col min="6" max="6" width="10.00390625" style="71" customWidth="1"/>
    <col min="7" max="7" width="9.875" style="71" customWidth="1"/>
    <col min="8" max="8" width="8.375" style="71" customWidth="1"/>
    <col min="9" max="15" width="5.75390625" style="71" customWidth="1"/>
    <col min="16" max="16384" width="8.875" style="71" customWidth="1"/>
  </cols>
  <sheetData>
    <row r="1" spans="1:9" ht="12.75">
      <c r="A1" s="61" t="s">
        <v>255</v>
      </c>
      <c r="B1" s="61"/>
      <c r="I1" s="61"/>
    </row>
    <row r="3" spans="1:7" ht="12.75">
      <c r="A3" s="327" t="s">
        <v>187</v>
      </c>
      <c r="B3" s="325" t="s">
        <v>256</v>
      </c>
      <c r="C3" s="328" t="s">
        <v>260</v>
      </c>
      <c r="D3" s="326" t="s">
        <v>245</v>
      </c>
      <c r="E3" s="326"/>
      <c r="F3" s="326" t="s">
        <v>247</v>
      </c>
      <c r="G3" s="326"/>
    </row>
    <row r="4" spans="1:7" ht="25.5">
      <c r="A4" s="327"/>
      <c r="B4" s="325"/>
      <c r="C4" s="329"/>
      <c r="D4" s="280" t="s">
        <v>304</v>
      </c>
      <c r="E4" s="280" t="s">
        <v>261</v>
      </c>
      <c r="F4" s="280" t="str">
        <f>D4</f>
        <v>Норма на 1 м2</v>
      </c>
      <c r="G4" s="280" t="str">
        <f>E4</f>
        <v>Сумма, тг.</v>
      </c>
    </row>
    <row r="5" spans="1:7" ht="12.75">
      <c r="A5" s="151" t="s">
        <v>257</v>
      </c>
      <c r="B5" s="74"/>
      <c r="C5" s="266"/>
      <c r="D5" s="285"/>
      <c r="E5" s="286">
        <f>SUM(E6:E7)</f>
        <v>4310.35</v>
      </c>
      <c r="F5" s="285"/>
      <c r="G5" s="286">
        <f>SUM(G6:G7)</f>
        <v>3993.412500000001</v>
      </c>
    </row>
    <row r="6" spans="1:7" ht="12.75">
      <c r="A6" s="74" t="s">
        <v>262</v>
      </c>
      <c r="B6" s="76" t="s">
        <v>264</v>
      </c>
      <c r="C6" s="222">
        <f>Исх!C32</f>
        <v>25.355</v>
      </c>
      <c r="D6" s="283">
        <f>1*Исх!$C$26</f>
        <v>170</v>
      </c>
      <c r="E6" s="143">
        <f>$C6*D6</f>
        <v>4310.35</v>
      </c>
      <c r="F6" s="285"/>
      <c r="G6" s="143">
        <f>$C6*F6</f>
        <v>0</v>
      </c>
    </row>
    <row r="7" spans="1:8" ht="12.75">
      <c r="A7" s="74" t="s">
        <v>263</v>
      </c>
      <c r="B7" s="76" t="s">
        <v>264</v>
      </c>
      <c r="C7" s="222">
        <f>Исх!C33</f>
        <v>228.19500000000005</v>
      </c>
      <c r="D7" s="285"/>
      <c r="E7" s="143">
        <f>$C7*D7</f>
        <v>0</v>
      </c>
      <c r="F7" s="283">
        <f>0.25*Исх!$C$27</f>
        <v>17.5</v>
      </c>
      <c r="G7" s="143">
        <f>$C7*F7</f>
        <v>3993.412500000001</v>
      </c>
      <c r="H7" s="71" t="s">
        <v>265</v>
      </c>
    </row>
    <row r="8" spans="1:7" ht="12.75">
      <c r="A8" s="151" t="s">
        <v>258</v>
      </c>
      <c r="B8" s="76"/>
      <c r="C8" s="266"/>
      <c r="D8" s="285"/>
      <c r="E8" s="286">
        <f>SUM(E9:E11)</f>
        <v>59.939220000000006</v>
      </c>
      <c r="F8" s="285"/>
      <c r="G8" s="286">
        <f>SUM(G9:G11)</f>
        <v>36.46049000000001</v>
      </c>
    </row>
    <row r="9" spans="1:8" ht="12.75">
      <c r="A9" s="74" t="s">
        <v>266</v>
      </c>
      <c r="B9" s="76" t="s">
        <v>271</v>
      </c>
      <c r="C9" s="222">
        <f>Исх!C34</f>
        <v>207.91100000000003</v>
      </c>
      <c r="D9" s="288">
        <f>0.02</f>
        <v>0.02</v>
      </c>
      <c r="E9" s="143">
        <f aca="true" t="shared" si="0" ref="E9:G11">$C9*D9</f>
        <v>4.158220000000001</v>
      </c>
      <c r="F9" s="288">
        <f>0.015*2*3</f>
        <v>0.09</v>
      </c>
      <c r="G9" s="143">
        <f t="shared" si="0"/>
        <v>18.711990000000004</v>
      </c>
      <c r="H9" s="71" t="s">
        <v>282</v>
      </c>
    </row>
    <row r="10" spans="1:8" ht="12.75">
      <c r="A10" s="74" t="s">
        <v>267</v>
      </c>
      <c r="B10" s="76" t="s">
        <v>271</v>
      </c>
      <c r="C10" s="222">
        <f>Исх!C35</f>
        <v>88.7425</v>
      </c>
      <c r="D10" s="285"/>
      <c r="E10" s="143">
        <f t="shared" si="0"/>
        <v>0</v>
      </c>
      <c r="F10" s="288">
        <f>0.05*4</f>
        <v>0.2</v>
      </c>
      <c r="G10" s="143">
        <f t="shared" si="0"/>
        <v>17.748500000000003</v>
      </c>
      <c r="H10" s="71" t="s">
        <v>281</v>
      </c>
    </row>
    <row r="11" spans="1:7" ht="25.5">
      <c r="A11" s="161" t="s">
        <v>268</v>
      </c>
      <c r="B11" s="76" t="s">
        <v>271</v>
      </c>
      <c r="C11" s="222">
        <f>Исх!C36</f>
        <v>2789.05</v>
      </c>
      <c r="D11" s="288">
        <v>0.02</v>
      </c>
      <c r="E11" s="143">
        <f t="shared" si="0"/>
        <v>55.781000000000006</v>
      </c>
      <c r="F11" s="285"/>
      <c r="G11" s="143">
        <f t="shared" si="0"/>
        <v>0</v>
      </c>
    </row>
    <row r="12" spans="1:12" s="61" customFormat="1" ht="12.75">
      <c r="A12" s="151" t="s">
        <v>316</v>
      </c>
      <c r="B12" s="287" t="s">
        <v>259</v>
      </c>
      <c r="C12" s="284"/>
      <c r="D12" s="285"/>
      <c r="E12" s="286">
        <f>SUM(E13:E14)</f>
        <v>0.17849920000000002</v>
      </c>
      <c r="F12" s="285"/>
      <c r="G12" s="286">
        <f>SUM(G13:G14)</f>
        <v>0.8884392000000001</v>
      </c>
      <c r="I12" s="71"/>
      <c r="J12" s="71"/>
      <c r="K12" s="71"/>
      <c r="L12" s="71"/>
    </row>
    <row r="13" spans="1:8" ht="12.75">
      <c r="A13" s="111" t="s">
        <v>269</v>
      </c>
      <c r="B13" s="218" t="s">
        <v>279</v>
      </c>
      <c r="C13" s="285">
        <f>Исх!C37</f>
        <v>4462.4800000000005</v>
      </c>
      <c r="D13" s="295">
        <f>1/50/1000*2</f>
        <v>4E-05</v>
      </c>
      <c r="E13" s="294">
        <f aca="true" t="shared" si="1" ref="E13:G14">$C13*D13</f>
        <v>0.17849920000000002</v>
      </c>
      <c r="F13" s="295">
        <f>1/50/1000*2</f>
        <v>4E-05</v>
      </c>
      <c r="G13" s="263">
        <f t="shared" si="1"/>
        <v>0.17849920000000002</v>
      </c>
      <c r="H13" s="71" t="s">
        <v>283</v>
      </c>
    </row>
    <row r="14" spans="1:12" s="145" customFormat="1" ht="12.75">
      <c r="A14" s="74" t="s">
        <v>270</v>
      </c>
      <c r="B14" s="76" t="s">
        <v>280</v>
      </c>
      <c r="C14" s="222">
        <f>Исх!C38</f>
        <v>70.99400000000001</v>
      </c>
      <c r="D14" s="285"/>
      <c r="E14" s="143">
        <f t="shared" si="1"/>
        <v>0</v>
      </c>
      <c r="F14" s="288">
        <v>0.01</v>
      </c>
      <c r="G14" s="143">
        <f t="shared" si="1"/>
        <v>0.7099400000000001</v>
      </c>
      <c r="H14" s="71" t="s">
        <v>284</v>
      </c>
      <c r="I14" s="71"/>
      <c r="J14" s="71"/>
      <c r="K14" s="71"/>
      <c r="L14" s="71"/>
    </row>
    <row r="15" spans="1:7" ht="12.75">
      <c r="A15" s="289" t="s">
        <v>0</v>
      </c>
      <c r="B15" s="290"/>
      <c r="C15" s="291"/>
      <c r="D15" s="292"/>
      <c r="E15" s="293">
        <f>E5+E8+E12</f>
        <v>4370.467719200001</v>
      </c>
      <c r="F15" s="292"/>
      <c r="G15" s="293">
        <f>G5+G8+G12</f>
        <v>4030.7614292000007</v>
      </c>
    </row>
    <row r="17" ht="12.75">
      <c r="A17" s="61"/>
    </row>
    <row r="18" spans="1:16" ht="12.75">
      <c r="A18" s="214" t="s">
        <v>285</v>
      </c>
      <c r="B18" s="223" t="s">
        <v>195</v>
      </c>
      <c r="C18" s="223" t="s">
        <v>305</v>
      </c>
      <c r="D18" s="223" t="s">
        <v>306</v>
      </c>
      <c r="E18" s="223" t="s">
        <v>307</v>
      </c>
      <c r="F18" s="223" t="s">
        <v>308</v>
      </c>
      <c r="G18" s="223" t="s">
        <v>192</v>
      </c>
      <c r="H18" s="223" t="s">
        <v>309</v>
      </c>
      <c r="I18" s="223" t="s">
        <v>310</v>
      </c>
      <c r="J18" s="223" t="s">
        <v>311</v>
      </c>
      <c r="K18" s="223" t="s">
        <v>312</v>
      </c>
      <c r="L18" s="223" t="s">
        <v>313</v>
      </c>
      <c r="M18" s="223" t="s">
        <v>314</v>
      </c>
      <c r="N18" s="223" t="s">
        <v>315</v>
      </c>
      <c r="O18" s="223" t="s">
        <v>0</v>
      </c>
      <c r="P18" s="144"/>
    </row>
    <row r="19" spans="1:16" ht="12.75">
      <c r="A19" s="74" t="str">
        <f>A5</f>
        <v>Посадочный материал</v>
      </c>
      <c r="B19" s="76" t="s">
        <v>57</v>
      </c>
      <c r="C19" s="149">
        <f>$E$5*Исх!$C$24/1000</f>
        <v>258.62100000000004</v>
      </c>
      <c r="D19" s="149"/>
      <c r="E19" s="149">
        <f>$G$5*Исх!$C$24/1000</f>
        <v>239.60475000000005</v>
      </c>
      <c r="F19" s="143"/>
      <c r="G19" s="143"/>
      <c r="H19" s="143"/>
      <c r="I19" s="149"/>
      <c r="J19" s="143"/>
      <c r="K19" s="143"/>
      <c r="L19" s="149"/>
      <c r="M19" s="149"/>
      <c r="N19" s="149"/>
      <c r="O19" s="150">
        <f>SUM(C19:N19)</f>
        <v>498.22575000000006</v>
      </c>
      <c r="P19" s="144"/>
    </row>
    <row r="20" spans="1:15" ht="12.75">
      <c r="A20" s="74" t="str">
        <f>A8</f>
        <v>Удобрения</v>
      </c>
      <c r="B20" s="76" t="s">
        <v>57</v>
      </c>
      <c r="C20" s="149">
        <f>$E$8*Исх!$C$24/1000</f>
        <v>3.5963532000000002</v>
      </c>
      <c r="D20" s="149"/>
      <c r="E20" s="149">
        <f>$G$8*Исх!$C$24/1000/3</f>
        <v>0.7292098</v>
      </c>
      <c r="F20" s="149">
        <f>$G$8*Исх!$C$24/1000/3</f>
        <v>0.7292098</v>
      </c>
      <c r="G20" s="149">
        <f>$G$8*Исх!$C$24/1000/3</f>
        <v>0.7292098</v>
      </c>
      <c r="H20" s="143"/>
      <c r="I20" s="149"/>
      <c r="J20" s="149"/>
      <c r="K20" s="149"/>
      <c r="L20" s="149"/>
      <c r="M20" s="149"/>
      <c r="N20" s="149"/>
      <c r="O20" s="150">
        <f>SUM(C20:N20)</f>
        <v>5.7839826</v>
      </c>
    </row>
    <row r="21" spans="1:15" ht="12.75">
      <c r="A21" s="74" t="str">
        <f>A12</f>
        <v>Хим.препараты</v>
      </c>
      <c r="B21" s="76" t="s">
        <v>57</v>
      </c>
      <c r="C21" s="149"/>
      <c r="D21" s="149">
        <f>$E$12*Исх!$C$24/1000</f>
        <v>0.010709952000000002</v>
      </c>
      <c r="E21" s="149"/>
      <c r="F21" s="149">
        <f>$G$12*Исх!$C$24/1000/2</f>
        <v>0.026653176</v>
      </c>
      <c r="G21" s="149">
        <f>$G$12*Исх!$C$24/1000/2</f>
        <v>0.026653176</v>
      </c>
      <c r="H21" s="143"/>
      <c r="I21" s="149"/>
      <c r="J21" s="149"/>
      <c r="K21" s="149"/>
      <c r="L21" s="149"/>
      <c r="M21" s="149"/>
      <c r="N21" s="149"/>
      <c r="O21" s="150">
        <f>SUM(C21:N21)</f>
        <v>0.064016304</v>
      </c>
    </row>
    <row r="22" spans="1:16" ht="12.75">
      <c r="A22" s="214" t="s">
        <v>86</v>
      </c>
      <c r="B22" s="223" t="s">
        <v>57</v>
      </c>
      <c r="C22" s="215">
        <f>SUM(C19:C21)</f>
        <v>262.21735320000005</v>
      </c>
      <c r="D22" s="215">
        <f aca="true" t="shared" si="2" ref="D22:O22">SUM(D19:D21)</f>
        <v>0.010709952000000002</v>
      </c>
      <c r="E22" s="215">
        <f t="shared" si="2"/>
        <v>240.33395980000006</v>
      </c>
      <c r="F22" s="215">
        <f t="shared" si="2"/>
        <v>0.755862976</v>
      </c>
      <c r="G22" s="215">
        <f t="shared" si="2"/>
        <v>0.755862976</v>
      </c>
      <c r="H22" s="215">
        <f t="shared" si="2"/>
        <v>0</v>
      </c>
      <c r="I22" s="215">
        <f t="shared" si="2"/>
        <v>0</v>
      </c>
      <c r="J22" s="215">
        <f t="shared" si="2"/>
        <v>0</v>
      </c>
      <c r="K22" s="215">
        <f t="shared" si="2"/>
        <v>0</v>
      </c>
      <c r="L22" s="215">
        <f t="shared" si="2"/>
        <v>0</v>
      </c>
      <c r="M22" s="215">
        <f t="shared" si="2"/>
        <v>0</v>
      </c>
      <c r="N22" s="215">
        <f t="shared" si="2"/>
        <v>0</v>
      </c>
      <c r="O22" s="215">
        <f t="shared" si="2"/>
        <v>504.07374890400007</v>
      </c>
      <c r="P22" s="163"/>
    </row>
    <row r="24" ht="12.75">
      <c r="A24" s="61" t="s">
        <v>286</v>
      </c>
    </row>
    <row r="25" spans="1:3" ht="12.75">
      <c r="A25" s="214" t="s">
        <v>26</v>
      </c>
      <c r="B25" s="223" t="str">
        <f>D3</f>
        <v>Тюльпаны</v>
      </c>
      <c r="C25" s="223" t="str">
        <f>F3</f>
        <v>Хризантемы</v>
      </c>
    </row>
    <row r="26" spans="1:3" ht="12.75">
      <c r="A26" s="74" t="s">
        <v>288</v>
      </c>
      <c r="B26" s="205">
        <f>E15</f>
        <v>4370.467719200001</v>
      </c>
      <c r="C26" s="205">
        <f>G15</f>
        <v>4030.7614292000007</v>
      </c>
    </row>
    <row r="27" spans="1:3" ht="12.75">
      <c r="A27" s="74" t="s">
        <v>287</v>
      </c>
      <c r="B27" s="205">
        <f>Исх!C26</f>
        <v>170</v>
      </c>
      <c r="C27" s="205">
        <f>Исх!C27</f>
        <v>70</v>
      </c>
    </row>
    <row r="28" spans="1:3" ht="12.75">
      <c r="A28" s="289" t="s">
        <v>317</v>
      </c>
      <c r="B28" s="296">
        <f>B26/B27</f>
        <v>25.708633642352947</v>
      </c>
      <c r="C28" s="296">
        <f>C26/C27</f>
        <v>57.58230613142858</v>
      </c>
    </row>
    <row r="29" spans="1:3" ht="12.75">
      <c r="A29" s="145" t="s">
        <v>300</v>
      </c>
      <c r="B29" s="301">
        <f>E5/B27</f>
        <v>25.355</v>
      </c>
      <c r="C29" s="301">
        <f>G5/C27</f>
        <v>57.04875000000001</v>
      </c>
    </row>
    <row r="30" spans="1:3" ht="12.75">
      <c r="A30" s="145" t="s">
        <v>301</v>
      </c>
      <c r="B30" s="301">
        <f>(E8+E12)/B27</f>
        <v>0.3536336423529412</v>
      </c>
      <c r="C30" s="301">
        <f>(G8+G12)/C27</f>
        <v>0.5335561314285715</v>
      </c>
    </row>
  </sheetData>
  <sheetProtection/>
  <mergeCells count="5">
    <mergeCell ref="B3:B4"/>
    <mergeCell ref="D3:E3"/>
    <mergeCell ref="F3:G3"/>
    <mergeCell ref="A3:A4"/>
    <mergeCell ref="C3:C4"/>
  </mergeCells>
  <printOptions/>
  <pageMargins left="0.2" right="0.25" top="0.45" bottom="0.38" header="0.2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outlinePr summaryBelow="0"/>
  </sheetPr>
  <dimension ref="A1:AJ7"/>
  <sheetViews>
    <sheetView showGridLines="0" showZeros="0" zoomScalePageLayoutView="0" workbookViewId="0" topLeftCell="A1">
      <pane xSplit="3" ySplit="4" topLeftCell="P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C22" sqref="AC22"/>
    </sheetView>
  </sheetViews>
  <sheetFormatPr defaultColWidth="10.125" defaultRowHeight="12.75" outlineLevelCol="1"/>
  <cols>
    <col min="1" max="1" width="31.375" style="228" customWidth="1"/>
    <col min="2" max="2" width="11.375" style="228" customWidth="1"/>
    <col min="3" max="3" width="4.375" style="228" customWidth="1"/>
    <col min="4" max="10" width="6.25390625" style="228" hidden="1" customWidth="1" outlineLevel="1"/>
    <col min="11" max="12" width="9.00390625" style="228" hidden="1" customWidth="1" outlineLevel="1"/>
    <col min="13" max="14" width="8.625" style="228" hidden="1" customWidth="1" outlineLevel="1"/>
    <col min="15" max="15" width="8.875" style="228" hidden="1" customWidth="1" outlineLevel="1"/>
    <col min="16" max="16" width="9.125" style="228" customWidth="1" collapsed="1"/>
    <col min="17" max="28" width="8.375" style="228" hidden="1" customWidth="1" outlineLevel="1"/>
    <col min="29" max="29" width="9.125" style="228" customWidth="1" collapsed="1"/>
    <col min="30" max="35" width="9.125" style="228" customWidth="1"/>
    <col min="36" max="36" width="10.125" style="226" customWidth="1"/>
    <col min="37" max="16384" width="10.125" style="228" customWidth="1"/>
  </cols>
  <sheetData>
    <row r="1" spans="1:36" ht="12.75">
      <c r="A1" s="230" t="s">
        <v>289</v>
      </c>
      <c r="B1" s="227"/>
      <c r="C1" s="227"/>
      <c r="AJ1" s="228"/>
    </row>
    <row r="2" spans="1:36" ht="12.75">
      <c r="A2" s="230"/>
      <c r="B2" s="231" t="s">
        <v>264</v>
      </c>
      <c r="C2" s="229"/>
      <c r="AJ2" s="228"/>
    </row>
    <row r="3" spans="1:36" ht="12.75" customHeight="1">
      <c r="A3" s="330" t="s">
        <v>193</v>
      </c>
      <c r="B3" s="322" t="s">
        <v>86</v>
      </c>
      <c r="C3" s="119"/>
      <c r="D3" s="323">
        <v>2013</v>
      </c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>
        <v>2014</v>
      </c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120">
        <v>2015</v>
      </c>
      <c r="AE3" s="120">
        <f>AD3+1</f>
        <v>2016</v>
      </c>
      <c r="AF3" s="120">
        <f>AE3+1</f>
        <v>2017</v>
      </c>
      <c r="AG3" s="120">
        <f>AF3+1</f>
        <v>2018</v>
      </c>
      <c r="AH3" s="120">
        <f>AG3+1</f>
        <v>2019</v>
      </c>
      <c r="AI3" s="120">
        <f>AH3+1</f>
        <v>2020</v>
      </c>
      <c r="AJ3" s="228"/>
    </row>
    <row r="4" spans="1:36" ht="12.75">
      <c r="A4" s="331"/>
      <c r="B4" s="322"/>
      <c r="C4" s="121"/>
      <c r="D4" s="122">
        <f aca="true" t="shared" si="0" ref="D4:L4">C4+1</f>
        <v>1</v>
      </c>
      <c r="E4" s="122">
        <f t="shared" si="0"/>
        <v>2</v>
      </c>
      <c r="F4" s="122">
        <f t="shared" si="0"/>
        <v>3</v>
      </c>
      <c r="G4" s="122">
        <f t="shared" si="0"/>
        <v>4</v>
      </c>
      <c r="H4" s="122">
        <f t="shared" si="0"/>
        <v>5</v>
      </c>
      <c r="I4" s="122">
        <f t="shared" si="0"/>
        <v>6</v>
      </c>
      <c r="J4" s="122">
        <f t="shared" si="0"/>
        <v>7</v>
      </c>
      <c r="K4" s="122">
        <f t="shared" si="0"/>
        <v>8</v>
      </c>
      <c r="L4" s="122">
        <f t="shared" si="0"/>
        <v>9</v>
      </c>
      <c r="M4" s="122">
        <f>L4+1</f>
        <v>10</v>
      </c>
      <c r="N4" s="122">
        <f>M4+1</f>
        <v>11</v>
      </c>
      <c r="O4" s="122">
        <f>N4+1</f>
        <v>12</v>
      </c>
      <c r="P4" s="118" t="s">
        <v>0</v>
      </c>
      <c r="Q4" s="122">
        <v>1</v>
      </c>
      <c r="R4" s="122">
        <f aca="true" t="shared" si="1" ref="R4:AB4">Q4+1</f>
        <v>2</v>
      </c>
      <c r="S4" s="122">
        <f t="shared" si="1"/>
        <v>3</v>
      </c>
      <c r="T4" s="122">
        <f t="shared" si="1"/>
        <v>4</v>
      </c>
      <c r="U4" s="122">
        <f t="shared" si="1"/>
        <v>5</v>
      </c>
      <c r="V4" s="122">
        <f t="shared" si="1"/>
        <v>6</v>
      </c>
      <c r="W4" s="122">
        <f t="shared" si="1"/>
        <v>7</v>
      </c>
      <c r="X4" s="122">
        <f t="shared" si="1"/>
        <v>8</v>
      </c>
      <c r="Y4" s="122">
        <f t="shared" si="1"/>
        <v>9</v>
      </c>
      <c r="Z4" s="122">
        <f t="shared" si="1"/>
        <v>10</v>
      </c>
      <c r="AA4" s="122">
        <f t="shared" si="1"/>
        <v>11</v>
      </c>
      <c r="AB4" s="122">
        <f t="shared" si="1"/>
        <v>12</v>
      </c>
      <c r="AC4" s="118" t="s">
        <v>0</v>
      </c>
      <c r="AD4" s="118"/>
      <c r="AE4" s="118"/>
      <c r="AF4" s="118"/>
      <c r="AG4" s="118"/>
      <c r="AH4" s="118"/>
      <c r="AI4" s="118"/>
      <c r="AJ4" s="228"/>
    </row>
    <row r="5" ht="12.75">
      <c r="A5" s="230" t="s">
        <v>194</v>
      </c>
    </row>
    <row r="6" spans="1:36" ht="15" customHeight="1">
      <c r="A6" s="236" t="str">
        <f>Исх!A26</f>
        <v>Тюльпаны</v>
      </c>
      <c r="B6" s="124">
        <f>P6+AC6+AD6+AE6+AF6+AG6+AH6+AI6</f>
        <v>71400</v>
      </c>
      <c r="C6" s="124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24">
        <f>SUM(D6:O6)</f>
        <v>0</v>
      </c>
      <c r="Q6" s="130"/>
      <c r="R6" s="130"/>
      <c r="S6" s="130">
        <f>Исх!$C$26*Исх!$C$24</f>
        <v>10200</v>
      </c>
      <c r="T6" s="130"/>
      <c r="U6" s="130"/>
      <c r="V6" s="130"/>
      <c r="W6" s="130"/>
      <c r="X6" s="130">
        <f>Исх!$D$22*Исх!$C$26/10/2</f>
        <v>0</v>
      </c>
      <c r="Y6" s="130">
        <f>Исх!$D$22*Исх!$C$26/10/2</f>
        <v>0</v>
      </c>
      <c r="Z6" s="130"/>
      <c r="AA6" s="130"/>
      <c r="AB6" s="130"/>
      <c r="AC6" s="124">
        <f>SUM(Q6:AB6)</f>
        <v>10200</v>
      </c>
      <c r="AD6" s="130">
        <f aca="true" t="shared" si="2" ref="AD6:AI7">AC6</f>
        <v>10200</v>
      </c>
      <c r="AE6" s="130">
        <f t="shared" si="2"/>
        <v>10200</v>
      </c>
      <c r="AF6" s="130">
        <f t="shared" si="2"/>
        <v>10200</v>
      </c>
      <c r="AG6" s="130">
        <f t="shared" si="2"/>
        <v>10200</v>
      </c>
      <c r="AH6" s="130">
        <f t="shared" si="2"/>
        <v>10200</v>
      </c>
      <c r="AI6" s="130">
        <f t="shared" si="2"/>
        <v>10200</v>
      </c>
      <c r="AJ6" s="228"/>
    </row>
    <row r="7" spans="1:36" ht="15" customHeight="1">
      <c r="A7" s="236" t="str">
        <f>Исх!A27</f>
        <v>Хризантемы</v>
      </c>
      <c r="B7" s="124">
        <f>P7+AC7+AD7+AE7+AF7+AG7+AH7+AI7</f>
        <v>29400</v>
      </c>
      <c r="C7" s="124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24">
        <f>SUM(D7:O7)</f>
        <v>0</v>
      </c>
      <c r="Q7" s="130"/>
      <c r="R7" s="130"/>
      <c r="S7" s="130"/>
      <c r="T7" s="130"/>
      <c r="U7" s="130"/>
      <c r="V7" s="130">
        <f>Исх!$C$27*Исх!$C$24/3</f>
        <v>1400</v>
      </c>
      <c r="W7" s="130">
        <f>Исх!$C$27*Исх!$C$24/3</f>
        <v>1400</v>
      </c>
      <c r="X7" s="130">
        <f>Исх!$C$27*Исх!$C$24/3</f>
        <v>1400</v>
      </c>
      <c r="Y7" s="130"/>
      <c r="Z7" s="130"/>
      <c r="AA7" s="130"/>
      <c r="AB7" s="130"/>
      <c r="AC7" s="124">
        <f>SUM(Q7:AB7)</f>
        <v>4200</v>
      </c>
      <c r="AD7" s="130">
        <f t="shared" si="2"/>
        <v>4200</v>
      </c>
      <c r="AE7" s="130">
        <f t="shared" si="2"/>
        <v>4200</v>
      </c>
      <c r="AF7" s="130">
        <f t="shared" si="2"/>
        <v>4200</v>
      </c>
      <c r="AG7" s="130">
        <f t="shared" si="2"/>
        <v>4200</v>
      </c>
      <c r="AH7" s="130">
        <f t="shared" si="2"/>
        <v>4200</v>
      </c>
      <c r="AI7" s="130">
        <f t="shared" si="2"/>
        <v>4200</v>
      </c>
      <c r="AJ7" s="228"/>
    </row>
    <row r="8" ht="7.5" customHeight="1"/>
  </sheetData>
  <sheetProtection/>
  <mergeCells count="4">
    <mergeCell ref="A3:A4"/>
    <mergeCell ref="B3:B4"/>
    <mergeCell ref="D3:P3"/>
    <mergeCell ref="Q3:AC3"/>
  </mergeCells>
  <printOptions/>
  <pageMargins left="0.35433070866141736" right="0.2362204724409449" top="0.8267716535433072" bottom="0.2362204724409449" header="0.35433070866141736" footer="0.1574803149606299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2:M26"/>
  <sheetViews>
    <sheetView showGridLines="0" zoomScalePageLayoutView="0" workbookViewId="0" topLeftCell="A1">
      <pane xSplit="1" ySplit="4" topLeftCell="B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H30" sqref="H30"/>
    </sheetView>
  </sheetViews>
  <sheetFormatPr defaultColWidth="9.00390625" defaultRowHeight="12.75"/>
  <cols>
    <col min="1" max="1" width="5.625" style="71" customWidth="1"/>
    <col min="2" max="2" width="33.375" style="71" customWidth="1"/>
    <col min="3" max="3" width="10.00390625" style="71" customWidth="1"/>
    <col min="4" max="4" width="11.625" style="71" customWidth="1"/>
    <col min="5" max="5" width="12.75390625" style="71" customWidth="1"/>
    <col min="6" max="8" width="11.625" style="71" customWidth="1"/>
    <col min="9" max="9" width="11.625" style="71" hidden="1" customWidth="1"/>
    <col min="10" max="10" width="10.125" style="71" customWidth="1"/>
    <col min="11" max="11" width="12.00390625" style="71" customWidth="1"/>
    <col min="12" max="16384" width="9.125" style="71" customWidth="1"/>
  </cols>
  <sheetData>
    <row r="1" ht="5.25" customHeight="1"/>
    <row r="2" spans="1:11" ht="16.5" customHeight="1">
      <c r="A2" s="61" t="s">
        <v>144</v>
      </c>
      <c r="D2" s="160"/>
      <c r="E2" s="160"/>
      <c r="F2" s="160"/>
      <c r="G2" s="160"/>
      <c r="H2" s="160"/>
      <c r="I2" s="160"/>
      <c r="J2" s="160"/>
      <c r="K2" s="212" t="str">
        <f>Исх!C9</f>
        <v>тыс.тг.</v>
      </c>
    </row>
    <row r="3" spans="1:11" ht="8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3" ht="42" customHeight="1">
      <c r="A4" s="264" t="s">
        <v>33</v>
      </c>
      <c r="B4" s="220" t="s">
        <v>34</v>
      </c>
      <c r="C4" s="220" t="s">
        <v>35</v>
      </c>
      <c r="D4" s="147" t="s">
        <v>93</v>
      </c>
      <c r="E4" s="147" t="s">
        <v>94</v>
      </c>
      <c r="F4" s="147" t="s">
        <v>45</v>
      </c>
      <c r="G4" s="147" t="s">
        <v>46</v>
      </c>
      <c r="H4" s="147" t="s">
        <v>47</v>
      </c>
      <c r="I4" s="147" t="s">
        <v>48</v>
      </c>
      <c r="J4" s="147" t="s">
        <v>49</v>
      </c>
      <c r="K4" s="147" t="s">
        <v>42</v>
      </c>
      <c r="M4" s="237">
        <f>'1-Ф3'!B2</f>
        <v>0</v>
      </c>
    </row>
    <row r="5" spans="1:11" s="61" customFormat="1" ht="12.75">
      <c r="A5" s="140"/>
      <c r="B5" s="148" t="s">
        <v>92</v>
      </c>
      <c r="C5" s="140"/>
      <c r="D5" s="140"/>
      <c r="E5" s="140"/>
      <c r="F5" s="140"/>
      <c r="G5" s="140"/>
      <c r="H5" s="140"/>
      <c r="I5" s="140"/>
      <c r="J5" s="140"/>
      <c r="K5" s="140"/>
    </row>
    <row r="6" spans="1:11" ht="12.75">
      <c r="A6" s="74">
        <v>1</v>
      </c>
      <c r="B6" s="74" t="s">
        <v>290</v>
      </c>
      <c r="C6" s="74">
        <v>1</v>
      </c>
      <c r="D6" s="142">
        <f>20</f>
        <v>20</v>
      </c>
      <c r="E6" s="149">
        <f>C6*D6</f>
        <v>20</v>
      </c>
      <c r="F6" s="149">
        <f>E6*$C$21</f>
        <v>2</v>
      </c>
      <c r="G6" s="149">
        <f>(E6-$C$25*C6-F6)*$C$23</f>
        <v>-0.06600000000000002</v>
      </c>
      <c r="H6" s="149">
        <f>(E6-F6)*$C$22</f>
        <v>0.9</v>
      </c>
      <c r="I6" s="149">
        <f>((E6-F6)*$C$24-H6)*0</f>
        <v>0</v>
      </c>
      <c r="J6" s="149">
        <f>E6-F6-G6</f>
        <v>18.066</v>
      </c>
      <c r="K6" s="150">
        <f>SUM(F6:J6)</f>
        <v>20.9</v>
      </c>
    </row>
    <row r="7" spans="1:11" s="61" customFormat="1" ht="12.75">
      <c r="A7" s="151"/>
      <c r="B7" s="151" t="s">
        <v>0</v>
      </c>
      <c r="C7" s="31">
        <f aca="true" t="shared" si="0" ref="C7:K7">SUM(C6:C6)</f>
        <v>1</v>
      </c>
      <c r="D7" s="31">
        <f t="shared" si="0"/>
        <v>20</v>
      </c>
      <c r="E7" s="31">
        <f t="shared" si="0"/>
        <v>20</v>
      </c>
      <c r="F7" s="31">
        <f t="shared" si="0"/>
        <v>2</v>
      </c>
      <c r="G7" s="31">
        <f t="shared" si="0"/>
        <v>-0.06600000000000002</v>
      </c>
      <c r="H7" s="31">
        <f t="shared" si="0"/>
        <v>0.9</v>
      </c>
      <c r="I7" s="31">
        <f t="shared" si="0"/>
        <v>0</v>
      </c>
      <c r="J7" s="31">
        <f t="shared" si="0"/>
        <v>18.066</v>
      </c>
      <c r="K7" s="31">
        <f t="shared" si="0"/>
        <v>20.9</v>
      </c>
    </row>
    <row r="8" spans="1:11" s="61" customFormat="1" ht="12.75">
      <c r="A8" s="140"/>
      <c r="B8" s="140" t="s">
        <v>99</v>
      </c>
      <c r="C8" s="140"/>
      <c r="D8" s="141"/>
      <c r="E8" s="141"/>
      <c r="F8" s="141"/>
      <c r="G8" s="141"/>
      <c r="H8" s="141"/>
      <c r="I8" s="141"/>
      <c r="J8" s="141"/>
      <c r="K8" s="141"/>
    </row>
    <row r="9" spans="1:11" ht="12.75">
      <c r="A9" s="74">
        <v>1</v>
      </c>
      <c r="B9" s="74" t="s">
        <v>291</v>
      </c>
      <c r="C9" s="74">
        <v>1</v>
      </c>
      <c r="D9" s="142">
        <v>30</v>
      </c>
      <c r="E9" s="149">
        <f>C9*D9</f>
        <v>30</v>
      </c>
      <c r="F9" s="149">
        <f>E9*$C$21</f>
        <v>3</v>
      </c>
      <c r="G9" s="149">
        <f>(E9-$C$25*C9-F9)*$C$23</f>
        <v>0.8340000000000001</v>
      </c>
      <c r="H9" s="149">
        <f>(E9-F9)*$C$22</f>
        <v>1.35</v>
      </c>
      <c r="I9" s="149">
        <f>((E9-F9)*$C$24-H9)*0</f>
        <v>0</v>
      </c>
      <c r="J9" s="149">
        <f>E9-F9-G9</f>
        <v>26.166</v>
      </c>
      <c r="K9" s="150">
        <f>SUM(F9:J9)</f>
        <v>31.35</v>
      </c>
    </row>
    <row r="10" spans="1:11" ht="12.75" hidden="1">
      <c r="A10" s="74"/>
      <c r="B10" s="74"/>
      <c r="C10" s="149"/>
      <c r="D10" s="143"/>
      <c r="E10" s="149">
        <f>C10*D10</f>
        <v>0</v>
      </c>
      <c r="F10" s="149">
        <f>E10*$C$21</f>
        <v>0</v>
      </c>
      <c r="G10" s="149">
        <f>(E10-$C$25*C10-F10)*$C$23</f>
        <v>0</v>
      </c>
      <c r="H10" s="149">
        <f>(E10-F10)*$C$22</f>
        <v>0</v>
      </c>
      <c r="I10" s="149">
        <f>((E10-F10)*$C$24-H10)*0</f>
        <v>0</v>
      </c>
      <c r="J10" s="149">
        <f>E10-F10-G10</f>
        <v>0</v>
      </c>
      <c r="K10" s="150">
        <f>SUM(F10:J10)</f>
        <v>0</v>
      </c>
    </row>
    <row r="11" spans="1:11" s="61" customFormat="1" ht="12.75">
      <c r="A11" s="151"/>
      <c r="B11" s="152" t="s">
        <v>0</v>
      </c>
      <c r="C11" s="151">
        <f aca="true" t="shared" si="1" ref="C11:K11">SUM(C8:C10)</f>
        <v>1</v>
      </c>
      <c r="D11" s="150">
        <f t="shared" si="1"/>
        <v>30</v>
      </c>
      <c r="E11" s="150">
        <f t="shared" si="1"/>
        <v>30</v>
      </c>
      <c r="F11" s="150">
        <f t="shared" si="1"/>
        <v>3</v>
      </c>
      <c r="G11" s="150">
        <f t="shared" si="1"/>
        <v>0.8340000000000001</v>
      </c>
      <c r="H11" s="150">
        <f t="shared" si="1"/>
        <v>1.35</v>
      </c>
      <c r="I11" s="150">
        <f t="shared" si="1"/>
        <v>0</v>
      </c>
      <c r="J11" s="150">
        <f t="shared" si="1"/>
        <v>26.166</v>
      </c>
      <c r="K11" s="150">
        <f t="shared" si="1"/>
        <v>31.35</v>
      </c>
    </row>
    <row r="12" spans="1:11" s="61" customFormat="1" ht="12.75" hidden="1">
      <c r="A12" s="140"/>
      <c r="B12" s="140" t="s">
        <v>100</v>
      </c>
      <c r="C12" s="140"/>
      <c r="D12" s="141"/>
      <c r="E12" s="141"/>
      <c r="F12" s="141"/>
      <c r="G12" s="141"/>
      <c r="H12" s="141"/>
      <c r="I12" s="141"/>
      <c r="J12" s="141"/>
      <c r="K12" s="141"/>
    </row>
    <row r="13" spans="1:11" ht="12.75" hidden="1">
      <c r="A13" s="74"/>
      <c r="B13" s="74"/>
      <c r="C13" s="149"/>
      <c r="D13" s="142"/>
      <c r="E13" s="149">
        <f>C13*D13</f>
        <v>0</v>
      </c>
      <c r="F13" s="149">
        <f>E13*$C$21</f>
        <v>0</v>
      </c>
      <c r="G13" s="149">
        <f>(E13-$C$25*C13-F13)*$C$23</f>
        <v>0</v>
      </c>
      <c r="H13" s="149">
        <f>(E13-F13)*$C$22</f>
        <v>0</v>
      </c>
      <c r="I13" s="149">
        <f>((E13-F13)*$C$24-H13)*0</f>
        <v>0</v>
      </c>
      <c r="J13" s="149">
        <f>E13-F13-G13</f>
        <v>0</v>
      </c>
      <c r="K13" s="150">
        <f>SUM(F13:J13)</f>
        <v>0</v>
      </c>
    </row>
    <row r="14" spans="1:11" s="61" customFormat="1" ht="12.75" hidden="1">
      <c r="A14" s="151"/>
      <c r="B14" s="152" t="s">
        <v>0</v>
      </c>
      <c r="C14" s="151">
        <f aca="true" t="shared" si="2" ref="C14:K14">SUM(C13:C13)</f>
        <v>0</v>
      </c>
      <c r="D14" s="150">
        <f t="shared" si="2"/>
        <v>0</v>
      </c>
      <c r="E14" s="150">
        <f t="shared" si="2"/>
        <v>0</v>
      </c>
      <c r="F14" s="150">
        <f t="shared" si="2"/>
        <v>0</v>
      </c>
      <c r="G14" s="150">
        <f t="shared" si="2"/>
        <v>0</v>
      </c>
      <c r="H14" s="150">
        <f t="shared" si="2"/>
        <v>0</v>
      </c>
      <c r="I14" s="150">
        <f t="shared" si="2"/>
        <v>0</v>
      </c>
      <c r="J14" s="150">
        <f t="shared" si="2"/>
        <v>0</v>
      </c>
      <c r="K14" s="150">
        <f t="shared" si="2"/>
        <v>0</v>
      </c>
    </row>
    <row r="15" spans="1:11" s="61" customFormat="1" ht="12.75" hidden="1">
      <c r="A15" s="140"/>
      <c r="B15" s="140" t="s">
        <v>108</v>
      </c>
      <c r="C15" s="140"/>
      <c r="D15" s="141"/>
      <c r="E15" s="141"/>
      <c r="F15" s="141"/>
      <c r="G15" s="141"/>
      <c r="H15" s="141"/>
      <c r="I15" s="141"/>
      <c r="J15" s="141"/>
      <c r="K15" s="141"/>
    </row>
    <row r="16" spans="1:11" ht="12.75" hidden="1">
      <c r="A16" s="74"/>
      <c r="B16" s="74"/>
      <c r="C16" s="149"/>
      <c r="D16" s="142"/>
      <c r="E16" s="149">
        <f>C16*D16</f>
        <v>0</v>
      </c>
      <c r="F16" s="149">
        <f>E16*$C$21</f>
        <v>0</v>
      </c>
      <c r="G16" s="149">
        <f>(E16-$C$25*C16-F16)*$C$23</f>
        <v>0</v>
      </c>
      <c r="H16" s="149">
        <f>(E16-F16)*$C$22</f>
        <v>0</v>
      </c>
      <c r="I16" s="149">
        <f>((E16-F16)*$C$24-H16)*0</f>
        <v>0</v>
      </c>
      <c r="J16" s="149">
        <f>E16-F16-G16</f>
        <v>0</v>
      </c>
      <c r="K16" s="150">
        <f>SUM(F16:J16)</f>
        <v>0</v>
      </c>
    </row>
    <row r="17" spans="1:11" s="61" customFormat="1" ht="12.75" hidden="1">
      <c r="A17" s="151"/>
      <c r="B17" s="152" t="s">
        <v>0</v>
      </c>
      <c r="C17" s="151">
        <f aca="true" t="shared" si="3" ref="C17:K17">SUM(C16:C16)</f>
        <v>0</v>
      </c>
      <c r="D17" s="150">
        <f t="shared" si="3"/>
        <v>0</v>
      </c>
      <c r="E17" s="150">
        <f t="shared" si="3"/>
        <v>0</v>
      </c>
      <c r="F17" s="150">
        <f t="shared" si="3"/>
        <v>0</v>
      </c>
      <c r="G17" s="150">
        <f t="shared" si="3"/>
        <v>0</v>
      </c>
      <c r="H17" s="150">
        <f t="shared" si="3"/>
        <v>0</v>
      </c>
      <c r="I17" s="150">
        <f t="shared" si="3"/>
        <v>0</v>
      </c>
      <c r="J17" s="150">
        <f t="shared" si="3"/>
        <v>0</v>
      </c>
      <c r="K17" s="150">
        <f t="shared" si="3"/>
        <v>0</v>
      </c>
    </row>
    <row r="18" spans="1:11" ht="12.75" hidden="1">
      <c r="A18" s="74"/>
      <c r="B18" s="74"/>
      <c r="C18" s="74"/>
      <c r="D18" s="149"/>
      <c r="E18" s="149"/>
      <c r="F18" s="149"/>
      <c r="G18" s="149"/>
      <c r="H18" s="149"/>
      <c r="I18" s="149"/>
      <c r="J18" s="149"/>
      <c r="K18" s="149"/>
    </row>
    <row r="19" spans="1:11" s="61" customFormat="1" ht="12.75">
      <c r="A19" s="151"/>
      <c r="B19" s="151" t="s">
        <v>109</v>
      </c>
      <c r="C19" s="150">
        <f aca="true" t="shared" si="4" ref="C19:K19">C7+C11+C14+C17</f>
        <v>2</v>
      </c>
      <c r="D19" s="150">
        <f t="shared" si="4"/>
        <v>50</v>
      </c>
      <c r="E19" s="150">
        <f t="shared" si="4"/>
        <v>50</v>
      </c>
      <c r="F19" s="150">
        <f t="shared" si="4"/>
        <v>5</v>
      </c>
      <c r="G19" s="150">
        <f t="shared" si="4"/>
        <v>0.768</v>
      </c>
      <c r="H19" s="150">
        <f t="shared" si="4"/>
        <v>2.25</v>
      </c>
      <c r="I19" s="150">
        <f t="shared" si="4"/>
        <v>0</v>
      </c>
      <c r="J19" s="150">
        <f t="shared" si="4"/>
        <v>44.232</v>
      </c>
      <c r="K19" s="153">
        <f t="shared" si="4"/>
        <v>52.25</v>
      </c>
    </row>
    <row r="21" spans="2:10" ht="12.75">
      <c r="B21" s="74" t="s">
        <v>45</v>
      </c>
      <c r="C21" s="154">
        <f>Исх!C11</f>
        <v>0.1</v>
      </c>
      <c r="D21" s="155"/>
      <c r="E21" s="155"/>
      <c r="F21" s="155"/>
      <c r="G21" s="332"/>
      <c r="H21" s="332"/>
      <c r="I21" s="332"/>
      <c r="J21" s="332"/>
    </row>
    <row r="22" spans="2:10" ht="12.75">
      <c r="B22" s="74" t="s">
        <v>50</v>
      </c>
      <c r="C22" s="154">
        <f>Исх!C12</f>
        <v>0.05</v>
      </c>
      <c r="D22" s="155"/>
      <c r="E22" s="155"/>
      <c r="F22" s="155"/>
      <c r="G22" s="155"/>
      <c r="H22" s="155"/>
      <c r="I22" s="156"/>
      <c r="J22" s="157"/>
    </row>
    <row r="23" spans="2:10" ht="12.75">
      <c r="B23" s="74" t="s">
        <v>46</v>
      </c>
      <c r="C23" s="154">
        <f>Исх!C13</f>
        <v>0.1</v>
      </c>
      <c r="D23" s="155"/>
      <c r="E23" s="155"/>
      <c r="F23" s="155"/>
      <c r="G23" s="155"/>
      <c r="H23" s="155"/>
      <c r="I23" s="156"/>
      <c r="J23" s="157"/>
    </row>
    <row r="24" spans="2:10" ht="12.75">
      <c r="B24" s="74" t="s">
        <v>48</v>
      </c>
      <c r="C24" s="154">
        <f>Исх!C14</f>
        <v>0</v>
      </c>
      <c r="D24" s="158"/>
      <c r="E24" s="158"/>
      <c r="F24" s="155"/>
      <c r="G24" s="155"/>
      <c r="H24" s="155"/>
      <c r="I24" s="156"/>
      <c r="J24" s="157"/>
    </row>
    <row r="25" spans="2:3" ht="12.75">
      <c r="B25" s="74" t="s">
        <v>113</v>
      </c>
      <c r="C25" s="159">
        <f>Исх!C15</f>
        <v>18.66</v>
      </c>
    </row>
    <row r="26" spans="7:10" ht="12.75">
      <c r="G26" s="155"/>
      <c r="H26" s="155"/>
      <c r="I26" s="156"/>
      <c r="J26" s="157"/>
    </row>
  </sheetData>
  <sheetProtection/>
  <mergeCells count="1">
    <mergeCell ref="G21:J21"/>
  </mergeCells>
  <printOptions/>
  <pageMargins left="0.4" right="0.2755905511811024" top="0.35433070866141736" bottom="0.35433070866141736" header="0.2362204724409449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V48"/>
  <sheetViews>
    <sheetView showGridLines="0" zoomScalePageLayoutView="0" workbookViewId="0" topLeftCell="A1">
      <pane ySplit="5" topLeftCell="A6" activePane="bottomLeft" state="frozen"/>
      <selection pane="topLeft" activeCell="A34" sqref="A34"/>
      <selection pane="bottomLeft" activeCell="K17" sqref="K17"/>
    </sheetView>
  </sheetViews>
  <sheetFormatPr defaultColWidth="8.875" defaultRowHeight="12.75" outlineLevelRow="1"/>
  <cols>
    <col min="1" max="1" width="34.00390625" style="71" customWidth="1"/>
    <col min="2" max="2" width="11.25390625" style="71" customWidth="1"/>
    <col min="3" max="10" width="8.25390625" style="71" customWidth="1"/>
    <col min="11" max="11" width="20.00390625" style="71" customWidth="1"/>
    <col min="12" max="12" width="8.875" style="71" customWidth="1"/>
    <col min="13" max="13" width="34.25390625" style="71" customWidth="1"/>
    <col min="14" max="14" width="8.25390625" style="71" customWidth="1"/>
    <col min="15" max="16384" width="8.875" style="71" customWidth="1"/>
  </cols>
  <sheetData>
    <row r="1" spans="1:13" ht="12.75">
      <c r="A1" s="61" t="s">
        <v>148</v>
      </c>
      <c r="M1" s="61" t="s">
        <v>292</v>
      </c>
    </row>
    <row r="2" ht="12.75">
      <c r="A2" s="61"/>
    </row>
    <row r="3" spans="1:13" ht="12.75" hidden="1">
      <c r="A3" s="61"/>
      <c r="B3" s="61"/>
      <c r="C3" s="302" t="s">
        <v>302</v>
      </c>
      <c r="D3" s="303">
        <v>0</v>
      </c>
      <c r="E3" s="61"/>
      <c r="F3" s="61"/>
      <c r="G3" s="61"/>
      <c r="H3" s="61"/>
      <c r="I3" s="61"/>
      <c r="J3" s="61"/>
      <c r="K3" s="61"/>
      <c r="L3" s="61"/>
      <c r="M3" s="61"/>
    </row>
    <row r="4" spans="3:22" ht="12.75">
      <c r="C4" s="137"/>
      <c r="D4" s="137"/>
      <c r="E4" s="137"/>
      <c r="F4" s="137"/>
      <c r="G4" s="137"/>
      <c r="H4" s="137"/>
      <c r="J4" s="144" t="str">
        <f>Исх!C9</f>
        <v>тыс.тг.</v>
      </c>
      <c r="V4" s="144" t="str">
        <f>Исх!C9</f>
        <v>тыс.тг.</v>
      </c>
    </row>
    <row r="5" spans="1:22" ht="25.5">
      <c r="A5" s="282" t="s">
        <v>41</v>
      </c>
      <c r="B5" s="280" t="s">
        <v>296</v>
      </c>
      <c r="C5" s="267">
        <v>2013</v>
      </c>
      <c r="D5" s="267">
        <f aca="true" t="shared" si="0" ref="D5:J5">C5+1</f>
        <v>2014</v>
      </c>
      <c r="E5" s="267">
        <f t="shared" si="0"/>
        <v>2015</v>
      </c>
      <c r="F5" s="267">
        <f t="shared" si="0"/>
        <v>2016</v>
      </c>
      <c r="G5" s="267">
        <f t="shared" si="0"/>
        <v>2017</v>
      </c>
      <c r="H5" s="267">
        <f t="shared" si="0"/>
        <v>2018</v>
      </c>
      <c r="I5" s="267">
        <f t="shared" si="0"/>
        <v>2019</v>
      </c>
      <c r="J5" s="267">
        <f t="shared" si="0"/>
        <v>2020</v>
      </c>
      <c r="K5" s="267" t="s">
        <v>297</v>
      </c>
      <c r="L5" s="300"/>
      <c r="M5" s="282" t="s">
        <v>41</v>
      </c>
      <c r="N5" s="267"/>
      <c r="O5" s="267">
        <v>2013</v>
      </c>
      <c r="P5" s="267">
        <f aca="true" t="shared" si="1" ref="P5:V5">O5+1</f>
        <v>2014</v>
      </c>
      <c r="Q5" s="267">
        <f t="shared" si="1"/>
        <v>2015</v>
      </c>
      <c r="R5" s="267">
        <f t="shared" si="1"/>
        <v>2016</v>
      </c>
      <c r="S5" s="267">
        <f t="shared" si="1"/>
        <v>2017</v>
      </c>
      <c r="T5" s="267">
        <f t="shared" si="1"/>
        <v>2018</v>
      </c>
      <c r="U5" s="267">
        <f t="shared" si="1"/>
        <v>2019</v>
      </c>
      <c r="V5" s="267">
        <f t="shared" si="1"/>
        <v>2020</v>
      </c>
    </row>
    <row r="6" spans="1:22" ht="12.75">
      <c r="A6" s="74" t="s">
        <v>42</v>
      </c>
      <c r="B6" s="143"/>
      <c r="C6" s="149">
        <f>ФОТ!K19</f>
        <v>52.25</v>
      </c>
      <c r="D6" s="149">
        <f aca="true" t="shared" si="2" ref="D6:J6">C6</f>
        <v>52.25</v>
      </c>
      <c r="E6" s="149">
        <f t="shared" si="2"/>
        <v>52.25</v>
      </c>
      <c r="F6" s="149">
        <f t="shared" si="2"/>
        <v>52.25</v>
      </c>
      <c r="G6" s="149">
        <f t="shared" si="2"/>
        <v>52.25</v>
      </c>
      <c r="H6" s="149">
        <f t="shared" si="2"/>
        <v>52.25</v>
      </c>
      <c r="I6" s="149">
        <f t="shared" si="2"/>
        <v>52.25</v>
      </c>
      <c r="J6" s="149">
        <f t="shared" si="2"/>
        <v>52.25</v>
      </c>
      <c r="K6" s="149"/>
      <c r="M6" s="74" t="s">
        <v>42</v>
      </c>
      <c r="N6" s="143"/>
      <c r="O6" s="149">
        <f aca="true" t="shared" si="3" ref="O6:V13">C6*9</f>
        <v>470.25</v>
      </c>
      <c r="P6" s="149">
        <f t="shared" si="3"/>
        <v>470.25</v>
      </c>
      <c r="Q6" s="149">
        <f t="shared" si="3"/>
        <v>470.25</v>
      </c>
      <c r="R6" s="149">
        <f t="shared" si="3"/>
        <v>470.25</v>
      </c>
      <c r="S6" s="149">
        <f t="shared" si="3"/>
        <v>470.25</v>
      </c>
      <c r="T6" s="149">
        <f t="shared" si="3"/>
        <v>470.25</v>
      </c>
      <c r="U6" s="149">
        <f t="shared" si="3"/>
        <v>470.25</v>
      </c>
      <c r="V6" s="149">
        <f t="shared" si="3"/>
        <v>470.25</v>
      </c>
    </row>
    <row r="7" spans="1:22" ht="12.75">
      <c r="A7" s="74" t="s">
        <v>101</v>
      </c>
      <c r="B7" s="143"/>
      <c r="C7" s="142">
        <v>4</v>
      </c>
      <c r="D7" s="149">
        <f aca="true" t="shared" si="4" ref="D7:J8">C7+C7*$D$3</f>
        <v>4</v>
      </c>
      <c r="E7" s="149">
        <f t="shared" si="4"/>
        <v>4</v>
      </c>
      <c r="F7" s="149">
        <f t="shared" si="4"/>
        <v>4</v>
      </c>
      <c r="G7" s="149">
        <f t="shared" si="4"/>
        <v>4</v>
      </c>
      <c r="H7" s="149">
        <f t="shared" si="4"/>
        <v>4</v>
      </c>
      <c r="I7" s="149">
        <f t="shared" si="4"/>
        <v>4</v>
      </c>
      <c r="J7" s="149">
        <f t="shared" si="4"/>
        <v>4</v>
      </c>
      <c r="K7" s="149"/>
      <c r="M7" s="74" t="s">
        <v>101</v>
      </c>
      <c r="N7" s="143"/>
      <c r="O7" s="149">
        <f t="shared" si="3"/>
        <v>36</v>
      </c>
      <c r="P7" s="149">
        <f t="shared" si="3"/>
        <v>36</v>
      </c>
      <c r="Q7" s="149">
        <f t="shared" si="3"/>
        <v>36</v>
      </c>
      <c r="R7" s="149">
        <f t="shared" si="3"/>
        <v>36</v>
      </c>
      <c r="S7" s="149">
        <f t="shared" si="3"/>
        <v>36</v>
      </c>
      <c r="T7" s="149">
        <f t="shared" si="3"/>
        <v>36</v>
      </c>
      <c r="U7" s="149">
        <f t="shared" si="3"/>
        <v>36</v>
      </c>
      <c r="V7" s="149">
        <f t="shared" si="3"/>
        <v>36</v>
      </c>
    </row>
    <row r="8" spans="1:22" ht="12.75">
      <c r="A8" s="161" t="s">
        <v>295</v>
      </c>
      <c r="B8" s="222"/>
      <c r="C8" s="142">
        <v>5</v>
      </c>
      <c r="D8" s="149">
        <f>C8+C8*$D$3</f>
        <v>5</v>
      </c>
      <c r="E8" s="149">
        <f t="shared" si="4"/>
        <v>5</v>
      </c>
      <c r="F8" s="149">
        <f t="shared" si="4"/>
        <v>5</v>
      </c>
      <c r="G8" s="149">
        <f t="shared" si="4"/>
        <v>5</v>
      </c>
      <c r="H8" s="149">
        <f t="shared" si="4"/>
        <v>5</v>
      </c>
      <c r="I8" s="149">
        <f t="shared" si="4"/>
        <v>5</v>
      </c>
      <c r="J8" s="149">
        <f t="shared" si="4"/>
        <v>5</v>
      </c>
      <c r="K8" s="149"/>
      <c r="M8" s="161" t="s">
        <v>211</v>
      </c>
      <c r="N8" s="222"/>
      <c r="O8" s="149">
        <f t="shared" si="3"/>
        <v>45</v>
      </c>
      <c r="P8" s="149">
        <f t="shared" si="3"/>
        <v>45</v>
      </c>
      <c r="Q8" s="149">
        <f t="shared" si="3"/>
        <v>45</v>
      </c>
      <c r="R8" s="149">
        <f t="shared" si="3"/>
        <v>45</v>
      </c>
      <c r="S8" s="149">
        <f t="shared" si="3"/>
        <v>45</v>
      </c>
      <c r="T8" s="149">
        <f t="shared" si="3"/>
        <v>45</v>
      </c>
      <c r="U8" s="149">
        <f t="shared" si="3"/>
        <v>45</v>
      </c>
      <c r="V8" s="149">
        <f t="shared" si="3"/>
        <v>45</v>
      </c>
    </row>
    <row r="9" spans="1:22" ht="12.75">
      <c r="A9" s="161" t="s">
        <v>294</v>
      </c>
      <c r="B9" s="143"/>
      <c r="C9" s="142">
        <f>4.5+3</f>
        <v>7.5</v>
      </c>
      <c r="D9" s="149">
        <f aca="true" t="shared" si="5" ref="D9:J13">C9+C9*$D$3</f>
        <v>7.5</v>
      </c>
      <c r="E9" s="149">
        <f t="shared" si="5"/>
        <v>7.5</v>
      </c>
      <c r="F9" s="149">
        <f t="shared" si="5"/>
        <v>7.5</v>
      </c>
      <c r="G9" s="149">
        <f t="shared" si="5"/>
        <v>7.5</v>
      </c>
      <c r="H9" s="149">
        <f t="shared" si="5"/>
        <v>7.5</v>
      </c>
      <c r="I9" s="149">
        <f t="shared" si="5"/>
        <v>7.5</v>
      </c>
      <c r="J9" s="149">
        <f t="shared" si="5"/>
        <v>7.5</v>
      </c>
      <c r="K9" s="149"/>
      <c r="M9" s="161" t="s">
        <v>110</v>
      </c>
      <c r="N9" s="143"/>
      <c r="O9" s="149">
        <f t="shared" si="3"/>
        <v>67.5</v>
      </c>
      <c r="P9" s="149">
        <f t="shared" si="3"/>
        <v>67.5</v>
      </c>
      <c r="Q9" s="149">
        <f t="shared" si="3"/>
        <v>67.5</v>
      </c>
      <c r="R9" s="149">
        <f t="shared" si="3"/>
        <v>67.5</v>
      </c>
      <c r="S9" s="149">
        <f t="shared" si="3"/>
        <v>67.5</v>
      </c>
      <c r="T9" s="149">
        <f t="shared" si="3"/>
        <v>67.5</v>
      </c>
      <c r="U9" s="149">
        <f t="shared" si="3"/>
        <v>67.5</v>
      </c>
      <c r="V9" s="149">
        <f t="shared" si="3"/>
        <v>67.5</v>
      </c>
    </row>
    <row r="10" spans="1:22" ht="12.75">
      <c r="A10" s="74" t="s">
        <v>249</v>
      </c>
      <c r="B10" s="143">
        <f>Исх!$C$40*20*30*Инв!$B$11</f>
        <v>4320</v>
      </c>
      <c r="C10" s="142">
        <f>B10*Исх!$C$31/1000</f>
        <v>69.67296000000002</v>
      </c>
      <c r="D10" s="149">
        <f aca="true" t="shared" si="6" ref="D10:J10">C10+C10*$D$3</f>
        <v>69.67296000000002</v>
      </c>
      <c r="E10" s="149">
        <f t="shared" si="6"/>
        <v>69.67296000000002</v>
      </c>
      <c r="F10" s="149">
        <f t="shared" si="6"/>
        <v>69.67296000000002</v>
      </c>
      <c r="G10" s="149">
        <f t="shared" si="6"/>
        <v>69.67296000000002</v>
      </c>
      <c r="H10" s="149">
        <f t="shared" si="6"/>
        <v>69.67296000000002</v>
      </c>
      <c r="I10" s="149">
        <f t="shared" si="6"/>
        <v>69.67296000000002</v>
      </c>
      <c r="J10" s="149">
        <f t="shared" si="6"/>
        <v>69.67296000000002</v>
      </c>
      <c r="K10" s="149" t="s">
        <v>303</v>
      </c>
      <c r="M10" s="74" t="s">
        <v>43</v>
      </c>
      <c r="N10" s="143"/>
      <c r="O10" s="149">
        <f t="shared" si="3"/>
        <v>627.0566400000001</v>
      </c>
      <c r="P10" s="149">
        <f t="shared" si="3"/>
        <v>627.0566400000001</v>
      </c>
      <c r="Q10" s="149">
        <f t="shared" si="3"/>
        <v>627.0566400000001</v>
      </c>
      <c r="R10" s="149">
        <f t="shared" si="3"/>
        <v>627.0566400000001</v>
      </c>
      <c r="S10" s="149">
        <f t="shared" si="3"/>
        <v>627.0566400000001</v>
      </c>
      <c r="T10" s="149">
        <f t="shared" si="3"/>
        <v>627.0566400000001</v>
      </c>
      <c r="U10" s="149">
        <f t="shared" si="3"/>
        <v>627.0566400000001</v>
      </c>
      <c r="V10" s="149">
        <f t="shared" si="3"/>
        <v>627.0566400000001</v>
      </c>
    </row>
    <row r="11" spans="1:22" ht="12.75">
      <c r="A11" s="74" t="s">
        <v>43</v>
      </c>
      <c r="B11" s="143"/>
      <c r="C11" s="142">
        <v>1</v>
      </c>
      <c r="D11" s="149">
        <f t="shared" si="5"/>
        <v>1</v>
      </c>
      <c r="E11" s="149">
        <f t="shared" si="5"/>
        <v>1</v>
      </c>
      <c r="F11" s="149">
        <f t="shared" si="5"/>
        <v>1</v>
      </c>
      <c r="G11" s="149">
        <f t="shared" si="5"/>
        <v>1</v>
      </c>
      <c r="H11" s="149">
        <f t="shared" si="5"/>
        <v>1</v>
      </c>
      <c r="I11" s="149">
        <f t="shared" si="5"/>
        <v>1</v>
      </c>
      <c r="J11" s="149">
        <f t="shared" si="5"/>
        <v>1</v>
      </c>
      <c r="K11" s="149"/>
      <c r="M11" s="74" t="s">
        <v>43</v>
      </c>
      <c r="N11" s="143"/>
      <c r="O11" s="149">
        <f t="shared" si="3"/>
        <v>9</v>
      </c>
      <c r="P11" s="149">
        <f t="shared" si="3"/>
        <v>9</v>
      </c>
      <c r="Q11" s="149">
        <f t="shared" si="3"/>
        <v>9</v>
      </c>
      <c r="R11" s="149">
        <f t="shared" si="3"/>
        <v>9</v>
      </c>
      <c r="S11" s="149">
        <f t="shared" si="3"/>
        <v>9</v>
      </c>
      <c r="T11" s="149">
        <f t="shared" si="3"/>
        <v>9</v>
      </c>
      <c r="U11" s="149">
        <f t="shared" si="3"/>
        <v>9</v>
      </c>
      <c r="V11" s="149">
        <f t="shared" si="3"/>
        <v>9</v>
      </c>
    </row>
    <row r="12" spans="1:22" ht="12.75">
      <c r="A12" s="74" t="s">
        <v>318</v>
      </c>
      <c r="B12" s="143"/>
      <c r="C12" s="142">
        <v>2</v>
      </c>
      <c r="D12" s="149">
        <f t="shared" si="5"/>
        <v>2</v>
      </c>
      <c r="E12" s="149">
        <f t="shared" si="5"/>
        <v>2</v>
      </c>
      <c r="F12" s="149">
        <f t="shared" si="5"/>
        <v>2</v>
      </c>
      <c r="G12" s="149">
        <f t="shared" si="5"/>
        <v>2</v>
      </c>
      <c r="H12" s="149">
        <f t="shared" si="5"/>
        <v>2</v>
      </c>
      <c r="I12" s="149">
        <f t="shared" si="5"/>
        <v>2</v>
      </c>
      <c r="J12" s="149">
        <f t="shared" si="5"/>
        <v>2</v>
      </c>
      <c r="K12" s="149"/>
      <c r="M12" s="74" t="s">
        <v>224</v>
      </c>
      <c r="N12" s="143"/>
      <c r="O12" s="149">
        <f t="shared" si="3"/>
        <v>18</v>
      </c>
      <c r="P12" s="149">
        <f t="shared" si="3"/>
        <v>18</v>
      </c>
      <c r="Q12" s="149">
        <f t="shared" si="3"/>
        <v>18</v>
      </c>
      <c r="R12" s="149">
        <f t="shared" si="3"/>
        <v>18</v>
      </c>
      <c r="S12" s="149">
        <f t="shared" si="3"/>
        <v>18</v>
      </c>
      <c r="T12" s="149">
        <f t="shared" si="3"/>
        <v>18</v>
      </c>
      <c r="U12" s="149">
        <f t="shared" si="3"/>
        <v>18</v>
      </c>
      <c r="V12" s="149">
        <f t="shared" si="3"/>
        <v>18</v>
      </c>
    </row>
    <row r="13" spans="1:22" ht="12.75">
      <c r="A13" s="74" t="s">
        <v>44</v>
      </c>
      <c r="B13" s="149"/>
      <c r="C13" s="142">
        <v>5</v>
      </c>
      <c r="D13" s="149">
        <f t="shared" si="5"/>
        <v>5</v>
      </c>
      <c r="E13" s="149">
        <f t="shared" si="5"/>
        <v>5</v>
      </c>
      <c r="F13" s="149">
        <f t="shared" si="5"/>
        <v>5</v>
      </c>
      <c r="G13" s="149">
        <f t="shared" si="5"/>
        <v>5</v>
      </c>
      <c r="H13" s="149">
        <f t="shared" si="5"/>
        <v>5</v>
      </c>
      <c r="I13" s="149">
        <f t="shared" si="5"/>
        <v>5</v>
      </c>
      <c r="J13" s="149">
        <f t="shared" si="5"/>
        <v>5</v>
      </c>
      <c r="K13" s="149"/>
      <c r="M13" s="74" t="s">
        <v>44</v>
      </c>
      <c r="N13" s="149"/>
      <c r="O13" s="149">
        <f t="shared" si="3"/>
        <v>45</v>
      </c>
      <c r="P13" s="149">
        <f t="shared" si="3"/>
        <v>45</v>
      </c>
      <c r="Q13" s="149">
        <f t="shared" si="3"/>
        <v>45</v>
      </c>
      <c r="R13" s="149">
        <f t="shared" si="3"/>
        <v>45</v>
      </c>
      <c r="S13" s="149">
        <f t="shared" si="3"/>
        <v>45</v>
      </c>
      <c r="T13" s="149">
        <f t="shared" si="3"/>
        <v>45</v>
      </c>
      <c r="U13" s="149">
        <f t="shared" si="3"/>
        <v>45</v>
      </c>
      <c r="V13" s="149">
        <f t="shared" si="3"/>
        <v>45</v>
      </c>
    </row>
    <row r="14" spans="1:22" ht="12.75">
      <c r="A14" s="214" t="s">
        <v>0</v>
      </c>
      <c r="B14" s="215"/>
      <c r="C14" s="215">
        <f aca="true" t="shared" si="7" ref="C14:J14">SUM(C6:C13)</f>
        <v>146.42296000000002</v>
      </c>
      <c r="D14" s="215">
        <f t="shared" si="7"/>
        <v>146.42296000000002</v>
      </c>
      <c r="E14" s="215">
        <f t="shared" si="7"/>
        <v>146.42296000000002</v>
      </c>
      <c r="F14" s="215">
        <f t="shared" si="7"/>
        <v>146.42296000000002</v>
      </c>
      <c r="G14" s="215">
        <f t="shared" si="7"/>
        <v>146.42296000000002</v>
      </c>
      <c r="H14" s="215">
        <f t="shared" si="7"/>
        <v>146.42296000000002</v>
      </c>
      <c r="I14" s="215">
        <f t="shared" si="7"/>
        <v>146.42296000000002</v>
      </c>
      <c r="J14" s="215">
        <f t="shared" si="7"/>
        <v>146.42296000000002</v>
      </c>
      <c r="K14" s="215"/>
      <c r="M14" s="214" t="s">
        <v>0</v>
      </c>
      <c r="N14" s="215"/>
      <c r="O14" s="215">
        <f aca="true" t="shared" si="8" ref="O14:V14">SUM(O6:O13)</f>
        <v>1317.8066400000002</v>
      </c>
      <c r="P14" s="215">
        <f t="shared" si="8"/>
        <v>1317.8066400000002</v>
      </c>
      <c r="Q14" s="215">
        <f t="shared" si="8"/>
        <v>1317.8066400000002</v>
      </c>
      <c r="R14" s="215">
        <f t="shared" si="8"/>
        <v>1317.8066400000002</v>
      </c>
      <c r="S14" s="215">
        <f t="shared" si="8"/>
        <v>1317.8066400000002</v>
      </c>
      <c r="T14" s="215">
        <f t="shared" si="8"/>
        <v>1317.8066400000002</v>
      </c>
      <c r="U14" s="215">
        <f t="shared" si="8"/>
        <v>1317.8066400000002</v>
      </c>
      <c r="V14" s="215">
        <f t="shared" si="8"/>
        <v>1317.8066400000002</v>
      </c>
    </row>
    <row r="16" spans="1:22" ht="12.75">
      <c r="A16" s="61" t="s">
        <v>77</v>
      </c>
      <c r="C16" s="163">
        <f aca="true" t="shared" si="9" ref="C16:J16">SUM(C17:C17)</f>
        <v>0.26125</v>
      </c>
      <c r="D16" s="163">
        <f t="shared" si="9"/>
        <v>0.26125</v>
      </c>
      <c r="E16" s="163">
        <f t="shared" si="9"/>
        <v>0.26125</v>
      </c>
      <c r="F16" s="163">
        <f t="shared" si="9"/>
        <v>0.26125</v>
      </c>
      <c r="G16" s="163">
        <f t="shared" si="9"/>
        <v>0.26125</v>
      </c>
      <c r="H16" s="163">
        <f t="shared" si="9"/>
        <v>0.26125</v>
      </c>
      <c r="I16" s="163">
        <f t="shared" si="9"/>
        <v>0.26125</v>
      </c>
      <c r="J16" s="163">
        <f t="shared" si="9"/>
        <v>0.26125</v>
      </c>
      <c r="M16" s="61" t="s">
        <v>77</v>
      </c>
      <c r="O16" s="194">
        <f aca="true" t="shared" si="10" ref="O16:V16">SUM(O17:O17)</f>
        <v>2.35125</v>
      </c>
      <c r="P16" s="194">
        <f t="shared" si="10"/>
        <v>2.35125</v>
      </c>
      <c r="Q16" s="194">
        <f t="shared" si="10"/>
        <v>2.35125</v>
      </c>
      <c r="R16" s="194">
        <f t="shared" si="10"/>
        <v>2.35125</v>
      </c>
      <c r="S16" s="194">
        <f t="shared" si="10"/>
        <v>2.35125</v>
      </c>
      <c r="T16" s="194">
        <f t="shared" si="10"/>
        <v>2.35125</v>
      </c>
      <c r="U16" s="194">
        <f t="shared" si="10"/>
        <v>2.35125</v>
      </c>
      <c r="V16" s="194">
        <f t="shared" si="10"/>
        <v>2.35125</v>
      </c>
    </row>
    <row r="17" spans="1:22" ht="25.5">
      <c r="A17" s="161" t="s">
        <v>78</v>
      </c>
      <c r="B17" s="164">
        <v>0.005</v>
      </c>
      <c r="C17" s="165">
        <f aca="true" t="shared" si="11" ref="C17:J17">C6*$B$17</f>
        <v>0.26125</v>
      </c>
      <c r="D17" s="165">
        <f t="shared" si="11"/>
        <v>0.26125</v>
      </c>
      <c r="E17" s="165">
        <f t="shared" si="11"/>
        <v>0.26125</v>
      </c>
      <c r="F17" s="165">
        <f t="shared" si="11"/>
        <v>0.26125</v>
      </c>
      <c r="G17" s="165">
        <f t="shared" si="11"/>
        <v>0.26125</v>
      </c>
      <c r="H17" s="165">
        <f t="shared" si="11"/>
        <v>0.26125</v>
      </c>
      <c r="I17" s="165">
        <f t="shared" si="11"/>
        <v>0.26125</v>
      </c>
      <c r="J17" s="165">
        <f t="shared" si="11"/>
        <v>0.26125</v>
      </c>
      <c r="M17" s="161" t="s">
        <v>78</v>
      </c>
      <c r="N17" s="167">
        <f>B17</f>
        <v>0.005</v>
      </c>
      <c r="O17" s="149">
        <f>C17*9</f>
        <v>2.35125</v>
      </c>
      <c r="P17" s="149">
        <f aca="true" t="shared" si="12" ref="P17:V17">D17*9</f>
        <v>2.35125</v>
      </c>
      <c r="Q17" s="149">
        <f t="shared" si="12"/>
        <v>2.35125</v>
      </c>
      <c r="R17" s="149">
        <f t="shared" si="12"/>
        <v>2.35125</v>
      </c>
      <c r="S17" s="149">
        <f t="shared" si="12"/>
        <v>2.35125</v>
      </c>
      <c r="T17" s="149">
        <f t="shared" si="12"/>
        <v>2.35125</v>
      </c>
      <c r="U17" s="149">
        <f t="shared" si="12"/>
        <v>2.35125</v>
      </c>
      <c r="V17" s="149">
        <f t="shared" si="12"/>
        <v>2.35125</v>
      </c>
    </row>
    <row r="19" spans="1:22" ht="12.75">
      <c r="A19" s="61" t="s">
        <v>79</v>
      </c>
      <c r="C19" s="166">
        <f>SUM(C20:C21)</f>
        <v>1</v>
      </c>
      <c r="D19" s="166">
        <f aca="true" t="shared" si="13" ref="D19:I19">SUM(D20:D21)</f>
        <v>1</v>
      </c>
      <c r="E19" s="166">
        <f t="shared" si="13"/>
        <v>1</v>
      </c>
      <c r="F19" s="166">
        <f t="shared" si="13"/>
        <v>1</v>
      </c>
      <c r="G19" s="166">
        <f t="shared" si="13"/>
        <v>1</v>
      </c>
      <c r="H19" s="166">
        <f t="shared" si="13"/>
        <v>1</v>
      </c>
      <c r="I19" s="166">
        <f t="shared" si="13"/>
        <v>1</v>
      </c>
      <c r="J19" s="166">
        <f>SUM(J20:J21)</f>
        <v>1</v>
      </c>
      <c r="M19" s="61" t="s">
        <v>79</v>
      </c>
      <c r="O19" s="166">
        <f>SUM(O20:O21)</f>
        <v>9</v>
      </c>
      <c r="P19" s="166">
        <f aca="true" t="shared" si="14" ref="P19:U19">SUM(P20:P21)</f>
        <v>9</v>
      </c>
      <c r="Q19" s="166">
        <f t="shared" si="14"/>
        <v>9</v>
      </c>
      <c r="R19" s="166">
        <f t="shared" si="14"/>
        <v>9</v>
      </c>
      <c r="S19" s="166">
        <f t="shared" si="14"/>
        <v>9</v>
      </c>
      <c r="T19" s="166">
        <f t="shared" si="14"/>
        <v>9</v>
      </c>
      <c r="U19" s="166">
        <f t="shared" si="14"/>
        <v>9</v>
      </c>
      <c r="V19" s="166">
        <f>SUM(V20:V21)</f>
        <v>9</v>
      </c>
    </row>
    <row r="20" spans="1:22" ht="12.75">
      <c r="A20" s="74" t="s">
        <v>1</v>
      </c>
      <c r="B20" s="167">
        <f>Исх!C16</f>
        <v>0.015</v>
      </c>
      <c r="C20" s="149">
        <f>(C33+C36)/2*$B$20/12*0</f>
        <v>0</v>
      </c>
      <c r="D20" s="149">
        <f aca="true" t="shared" si="15" ref="D20:J20">(D33+D36)/2*$B$20/12*0</f>
        <v>0</v>
      </c>
      <c r="E20" s="149">
        <f t="shared" si="15"/>
        <v>0</v>
      </c>
      <c r="F20" s="149">
        <f t="shared" si="15"/>
        <v>0</v>
      </c>
      <c r="G20" s="149">
        <f t="shared" si="15"/>
        <v>0</v>
      </c>
      <c r="H20" s="149">
        <f t="shared" si="15"/>
        <v>0</v>
      </c>
      <c r="I20" s="149">
        <f t="shared" si="15"/>
        <v>0</v>
      </c>
      <c r="J20" s="149">
        <f t="shared" si="15"/>
        <v>0</v>
      </c>
      <c r="M20" s="74" t="s">
        <v>1</v>
      </c>
      <c r="N20" s="167">
        <f>B20</f>
        <v>0.015</v>
      </c>
      <c r="O20" s="149">
        <f>C20*9</f>
        <v>0</v>
      </c>
      <c r="P20" s="149">
        <f aca="true" t="shared" si="16" ref="P20:V21">D20*9</f>
        <v>0</v>
      </c>
      <c r="Q20" s="149">
        <f t="shared" si="16"/>
        <v>0</v>
      </c>
      <c r="R20" s="149">
        <f t="shared" si="16"/>
        <v>0</v>
      </c>
      <c r="S20" s="149">
        <f t="shared" si="16"/>
        <v>0</v>
      </c>
      <c r="T20" s="149">
        <f t="shared" si="16"/>
        <v>0</v>
      </c>
      <c r="U20" s="149">
        <f t="shared" si="16"/>
        <v>0</v>
      </c>
      <c r="V20" s="149">
        <f t="shared" si="16"/>
        <v>0</v>
      </c>
    </row>
    <row r="21" spans="1:22" ht="12.75">
      <c r="A21" s="74" t="s">
        <v>210</v>
      </c>
      <c r="B21" s="74"/>
      <c r="C21" s="142">
        <v>1</v>
      </c>
      <c r="D21" s="149">
        <f aca="true" t="shared" si="17" ref="D21:J21">C21+C21*$D$3</f>
        <v>1</v>
      </c>
      <c r="E21" s="149">
        <f t="shared" si="17"/>
        <v>1</v>
      </c>
      <c r="F21" s="149">
        <f t="shared" si="17"/>
        <v>1</v>
      </c>
      <c r="G21" s="149">
        <f t="shared" si="17"/>
        <v>1</v>
      </c>
      <c r="H21" s="149">
        <f t="shared" si="17"/>
        <v>1</v>
      </c>
      <c r="I21" s="149">
        <f t="shared" si="17"/>
        <v>1</v>
      </c>
      <c r="J21" s="149">
        <f t="shared" si="17"/>
        <v>1</v>
      </c>
      <c r="M21" s="74" t="s">
        <v>210</v>
      </c>
      <c r="N21" s="74"/>
      <c r="O21" s="149">
        <f>C21*9</f>
        <v>9</v>
      </c>
      <c r="P21" s="149">
        <f t="shared" si="16"/>
        <v>9</v>
      </c>
      <c r="Q21" s="149">
        <f t="shared" si="16"/>
        <v>9</v>
      </c>
      <c r="R21" s="149">
        <f t="shared" si="16"/>
        <v>9</v>
      </c>
      <c r="S21" s="149">
        <f t="shared" si="16"/>
        <v>9</v>
      </c>
      <c r="T21" s="149">
        <f t="shared" si="16"/>
        <v>9</v>
      </c>
      <c r="U21" s="149">
        <f t="shared" si="16"/>
        <v>9</v>
      </c>
      <c r="V21" s="149">
        <f t="shared" si="16"/>
        <v>9</v>
      </c>
    </row>
    <row r="23" spans="3:13" ht="12.75">
      <c r="C23" s="168"/>
      <c r="M23" s="71" t="s">
        <v>293</v>
      </c>
    </row>
    <row r="24" spans="1:10" ht="12.75">
      <c r="A24" s="61" t="s">
        <v>80</v>
      </c>
      <c r="C24" s="166"/>
      <c r="D24" s="166"/>
      <c r="E24" s="166"/>
      <c r="F24" s="166"/>
      <c r="G24" s="166"/>
      <c r="H24" s="166"/>
      <c r="I24" s="166"/>
      <c r="J24" s="166"/>
    </row>
    <row r="25" spans="1:10" ht="12.75">
      <c r="A25" s="138" t="s">
        <v>86</v>
      </c>
      <c r="B25" s="74"/>
      <c r="C25" s="139">
        <f aca="true" t="shared" si="18" ref="C25:J25">C5</f>
        <v>2013</v>
      </c>
      <c r="D25" s="139">
        <f t="shared" si="18"/>
        <v>2014</v>
      </c>
      <c r="E25" s="139">
        <f t="shared" si="18"/>
        <v>2015</v>
      </c>
      <c r="F25" s="139">
        <f t="shared" si="18"/>
        <v>2016</v>
      </c>
      <c r="G25" s="139">
        <f t="shared" si="18"/>
        <v>2017</v>
      </c>
      <c r="H25" s="139">
        <f t="shared" si="18"/>
        <v>2018</v>
      </c>
      <c r="I25" s="139">
        <f t="shared" si="18"/>
        <v>2019</v>
      </c>
      <c r="J25" s="139">
        <f t="shared" si="18"/>
        <v>2020</v>
      </c>
    </row>
    <row r="26" spans="1:10" ht="12.75">
      <c r="A26" s="74" t="s">
        <v>81</v>
      </c>
      <c r="B26" s="169"/>
      <c r="C26" s="74"/>
      <c r="D26" s="74"/>
      <c r="E26" s="74"/>
      <c r="F26" s="74"/>
      <c r="G26" s="74"/>
      <c r="H26" s="74"/>
      <c r="I26" s="74"/>
      <c r="J26" s="74"/>
    </row>
    <row r="27" spans="1:10" ht="12.75">
      <c r="A27" s="74" t="s">
        <v>82</v>
      </c>
      <c r="B27" s="170"/>
      <c r="C27" s="149">
        <f>C33+C39+C45</f>
        <v>0</v>
      </c>
      <c r="D27" s="149">
        <f aca="true" t="shared" si="19" ref="D27:I27">D33+D39+D45</f>
        <v>743.4086000000001</v>
      </c>
      <c r="E27" s="149">
        <f t="shared" si="19"/>
        <v>696.0961700000001</v>
      </c>
      <c r="F27" s="149">
        <f t="shared" si="19"/>
        <v>648.7837400000001</v>
      </c>
      <c r="G27" s="149">
        <f t="shared" si="19"/>
        <v>601.4713100000001</v>
      </c>
      <c r="H27" s="149">
        <f t="shared" si="19"/>
        <v>554.1588800000001</v>
      </c>
      <c r="I27" s="149">
        <f t="shared" si="19"/>
        <v>506.8464500000001</v>
      </c>
      <c r="J27" s="149">
        <f>J33+J39+J45</f>
        <v>459.53402000000006</v>
      </c>
    </row>
    <row r="28" spans="1:10" ht="12.75">
      <c r="A28" s="74" t="s">
        <v>83</v>
      </c>
      <c r="B28" s="170"/>
      <c r="C28" s="149">
        <f>C34+C40+C46</f>
        <v>743.4086000000001</v>
      </c>
      <c r="D28" s="149">
        <f aca="true" t="shared" si="20" ref="D28:I28">D34+D40+D46</f>
        <v>0</v>
      </c>
      <c r="E28" s="149">
        <f t="shared" si="20"/>
        <v>0</v>
      </c>
      <c r="F28" s="149">
        <f t="shared" si="20"/>
        <v>0</v>
      </c>
      <c r="G28" s="149">
        <f t="shared" si="20"/>
        <v>0</v>
      </c>
      <c r="H28" s="149">
        <f t="shared" si="20"/>
        <v>0</v>
      </c>
      <c r="I28" s="149">
        <f t="shared" si="20"/>
        <v>0</v>
      </c>
      <c r="J28" s="149">
        <f>J34+J40+J46</f>
        <v>0</v>
      </c>
    </row>
    <row r="29" spans="1:10" ht="12.75">
      <c r="A29" s="151" t="s">
        <v>84</v>
      </c>
      <c r="B29" s="151"/>
      <c r="C29" s="150">
        <f>C35+C41+C47</f>
        <v>0</v>
      </c>
      <c r="D29" s="150">
        <f aca="true" t="shared" si="21" ref="D29:I29">D35+D41+D47</f>
        <v>47.312430000000006</v>
      </c>
      <c r="E29" s="150">
        <f t="shared" si="21"/>
        <v>47.312430000000006</v>
      </c>
      <c r="F29" s="150">
        <f t="shared" si="21"/>
        <v>47.312430000000006</v>
      </c>
      <c r="G29" s="150">
        <f t="shared" si="21"/>
        <v>47.312430000000006</v>
      </c>
      <c r="H29" s="150">
        <f t="shared" si="21"/>
        <v>47.312430000000006</v>
      </c>
      <c r="I29" s="150">
        <f t="shared" si="21"/>
        <v>47.312430000000006</v>
      </c>
      <c r="J29" s="150">
        <f>J35+J41+J47</f>
        <v>47.312430000000006</v>
      </c>
    </row>
    <row r="30" spans="1:10" ht="12.75">
      <c r="A30" s="74" t="s">
        <v>85</v>
      </c>
      <c r="B30" s="170"/>
      <c r="C30" s="149">
        <f aca="true" t="shared" si="22" ref="C30:I30">C27+C28-C29</f>
        <v>743.4086000000001</v>
      </c>
      <c r="D30" s="149">
        <f t="shared" si="22"/>
        <v>696.09617</v>
      </c>
      <c r="E30" s="149">
        <f t="shared" si="22"/>
        <v>648.7837400000001</v>
      </c>
      <c r="F30" s="149">
        <f t="shared" si="22"/>
        <v>601.4713100000001</v>
      </c>
      <c r="G30" s="149">
        <f t="shared" si="22"/>
        <v>554.1588800000002</v>
      </c>
      <c r="H30" s="149">
        <f t="shared" si="22"/>
        <v>506.84645000000006</v>
      </c>
      <c r="I30" s="149">
        <f t="shared" si="22"/>
        <v>459.5340200000001</v>
      </c>
      <c r="J30" s="149">
        <f>J27+J28-J29</f>
        <v>412.22159000000005</v>
      </c>
    </row>
    <row r="31" spans="1:10" ht="12.75" hidden="1" outlineLevel="1">
      <c r="A31" s="72" t="s">
        <v>186</v>
      </c>
      <c r="C31" s="139"/>
      <c r="D31" s="139"/>
      <c r="E31" s="139"/>
      <c r="F31" s="139"/>
      <c r="G31" s="139"/>
      <c r="H31" s="139"/>
      <c r="I31" s="139"/>
      <c r="J31" s="139"/>
    </row>
    <row r="32" spans="1:10" ht="12.75" hidden="1" outlineLevel="1">
      <c r="A32" s="74" t="s">
        <v>81</v>
      </c>
      <c r="B32" s="171">
        <v>0.05</v>
      </c>
      <c r="C32" s="74"/>
      <c r="D32" s="74"/>
      <c r="E32" s="74"/>
      <c r="F32" s="74"/>
      <c r="G32" s="74"/>
      <c r="H32" s="74"/>
      <c r="I32" s="74"/>
      <c r="J32" s="74"/>
    </row>
    <row r="33" spans="1:10" ht="12.75" hidden="1" outlineLevel="1">
      <c r="A33" s="74" t="s">
        <v>82</v>
      </c>
      <c r="B33" s="170"/>
      <c r="C33" s="143"/>
      <c r="D33" s="149">
        <f aca="true" t="shared" si="23" ref="D33:J33">C36</f>
        <v>540.5686000000001</v>
      </c>
      <c r="E33" s="149">
        <f t="shared" si="23"/>
        <v>513.5401700000001</v>
      </c>
      <c r="F33" s="149">
        <f t="shared" si="23"/>
        <v>486.5117400000001</v>
      </c>
      <c r="G33" s="149">
        <f t="shared" si="23"/>
        <v>459.4833100000001</v>
      </c>
      <c r="H33" s="149">
        <f t="shared" si="23"/>
        <v>432.45488000000006</v>
      </c>
      <c r="I33" s="149">
        <f t="shared" si="23"/>
        <v>405.42645000000005</v>
      </c>
      <c r="J33" s="149">
        <f t="shared" si="23"/>
        <v>378.39802000000003</v>
      </c>
    </row>
    <row r="34" spans="1:10" ht="12.75" hidden="1" outlineLevel="1">
      <c r="A34" s="74" t="s">
        <v>83</v>
      </c>
      <c r="B34" s="170"/>
      <c r="C34" s="149">
        <f>Инв!C18</f>
        <v>540.5686000000001</v>
      </c>
      <c r="D34" s="149"/>
      <c r="E34" s="149"/>
      <c r="F34" s="149"/>
      <c r="G34" s="149"/>
      <c r="H34" s="149"/>
      <c r="I34" s="149"/>
      <c r="J34" s="149"/>
    </row>
    <row r="35" spans="1:10" ht="12.75" hidden="1" outlineLevel="1">
      <c r="A35" s="151" t="s">
        <v>84</v>
      </c>
      <c r="B35" s="151"/>
      <c r="C35" s="150">
        <f>$C34*$B32/12*0</f>
        <v>0</v>
      </c>
      <c r="D35" s="150">
        <f aca="true" t="shared" si="24" ref="D35:J35">$C34*$B32</f>
        <v>27.028430000000004</v>
      </c>
      <c r="E35" s="150">
        <f t="shared" si="24"/>
        <v>27.028430000000004</v>
      </c>
      <c r="F35" s="150">
        <f t="shared" si="24"/>
        <v>27.028430000000004</v>
      </c>
      <c r="G35" s="150">
        <f t="shared" si="24"/>
        <v>27.028430000000004</v>
      </c>
      <c r="H35" s="150">
        <f t="shared" si="24"/>
        <v>27.028430000000004</v>
      </c>
      <c r="I35" s="150">
        <f t="shared" si="24"/>
        <v>27.028430000000004</v>
      </c>
      <c r="J35" s="150">
        <f t="shared" si="24"/>
        <v>27.028430000000004</v>
      </c>
    </row>
    <row r="36" spans="1:10" ht="12.75" hidden="1" outlineLevel="1">
      <c r="A36" s="74" t="s">
        <v>85</v>
      </c>
      <c r="B36" s="170"/>
      <c r="C36" s="149">
        <f aca="true" t="shared" si="25" ref="C36:I36">C33+C34-C35</f>
        <v>540.5686000000001</v>
      </c>
      <c r="D36" s="149">
        <f t="shared" si="25"/>
        <v>513.5401700000001</v>
      </c>
      <c r="E36" s="149">
        <f t="shared" si="25"/>
        <v>486.5117400000001</v>
      </c>
      <c r="F36" s="149">
        <f t="shared" si="25"/>
        <v>459.4833100000001</v>
      </c>
      <c r="G36" s="149">
        <f t="shared" si="25"/>
        <v>432.45488000000006</v>
      </c>
      <c r="H36" s="149">
        <f t="shared" si="25"/>
        <v>405.42645000000005</v>
      </c>
      <c r="I36" s="149">
        <f t="shared" si="25"/>
        <v>378.39802000000003</v>
      </c>
      <c r="J36" s="149">
        <f>J33+J34-J35</f>
        <v>351.36959</v>
      </c>
    </row>
    <row r="37" spans="1:10" ht="12.75" hidden="1" outlineLevel="1">
      <c r="A37" s="72" t="s">
        <v>105</v>
      </c>
      <c r="C37" s="139"/>
      <c r="D37" s="139"/>
      <c r="E37" s="139"/>
      <c r="F37" s="139"/>
      <c r="G37" s="139"/>
      <c r="H37" s="139"/>
      <c r="I37" s="139"/>
      <c r="J37" s="139"/>
    </row>
    <row r="38" spans="1:10" ht="12.75" hidden="1" outlineLevel="1">
      <c r="A38" s="74" t="s">
        <v>81</v>
      </c>
      <c r="B38" s="171">
        <v>0.1</v>
      </c>
      <c r="C38" s="74"/>
      <c r="D38" s="74"/>
      <c r="E38" s="74"/>
      <c r="F38" s="74"/>
      <c r="G38" s="74"/>
      <c r="H38" s="74"/>
      <c r="I38" s="74"/>
      <c r="J38" s="74"/>
    </row>
    <row r="39" spans="1:10" ht="12.75" hidden="1" outlineLevel="1">
      <c r="A39" s="74" t="s">
        <v>82</v>
      </c>
      <c r="B39" s="170"/>
      <c r="C39" s="149"/>
      <c r="D39" s="149">
        <f aca="true" t="shared" si="26" ref="D39:J39">C42</f>
        <v>202.84000000000003</v>
      </c>
      <c r="E39" s="149">
        <f t="shared" si="26"/>
        <v>182.55600000000004</v>
      </c>
      <c r="F39" s="149">
        <f t="shared" si="26"/>
        <v>162.27200000000005</v>
      </c>
      <c r="G39" s="149">
        <f t="shared" si="26"/>
        <v>141.98800000000006</v>
      </c>
      <c r="H39" s="149">
        <f t="shared" si="26"/>
        <v>121.70400000000005</v>
      </c>
      <c r="I39" s="149">
        <f t="shared" si="26"/>
        <v>101.42000000000004</v>
      </c>
      <c r="J39" s="149">
        <f t="shared" si="26"/>
        <v>81.13600000000004</v>
      </c>
    </row>
    <row r="40" spans="1:10" ht="12.75" hidden="1" outlineLevel="1">
      <c r="A40" s="74" t="s">
        <v>83</v>
      </c>
      <c r="B40" s="170"/>
      <c r="C40" s="149">
        <f>Инв!C19</f>
        <v>202.84000000000003</v>
      </c>
      <c r="D40" s="149"/>
      <c r="E40" s="149"/>
      <c r="F40" s="149"/>
      <c r="G40" s="149"/>
      <c r="H40" s="149"/>
      <c r="I40" s="149"/>
      <c r="J40" s="149"/>
    </row>
    <row r="41" spans="1:10" ht="12.75" hidden="1" outlineLevel="1">
      <c r="A41" s="151" t="s">
        <v>84</v>
      </c>
      <c r="B41" s="151"/>
      <c r="C41" s="150">
        <f>$C40*$B38/12*0</f>
        <v>0</v>
      </c>
      <c r="D41" s="150">
        <f aca="true" t="shared" si="27" ref="D41:J41">$C40*$B38</f>
        <v>20.284000000000006</v>
      </c>
      <c r="E41" s="150">
        <f t="shared" si="27"/>
        <v>20.284000000000006</v>
      </c>
      <c r="F41" s="150">
        <f t="shared" si="27"/>
        <v>20.284000000000006</v>
      </c>
      <c r="G41" s="150">
        <f t="shared" si="27"/>
        <v>20.284000000000006</v>
      </c>
      <c r="H41" s="150">
        <f t="shared" si="27"/>
        <v>20.284000000000006</v>
      </c>
      <c r="I41" s="150">
        <f t="shared" si="27"/>
        <v>20.284000000000006</v>
      </c>
      <c r="J41" s="150">
        <f t="shared" si="27"/>
        <v>20.284000000000006</v>
      </c>
    </row>
    <row r="42" spans="1:10" ht="12.75" hidden="1" outlineLevel="1">
      <c r="A42" s="74" t="s">
        <v>85</v>
      </c>
      <c r="B42" s="170"/>
      <c r="C42" s="149">
        <f aca="true" t="shared" si="28" ref="C42:I42">C39+C40-C41</f>
        <v>202.84000000000003</v>
      </c>
      <c r="D42" s="149">
        <f t="shared" si="28"/>
        <v>182.55600000000004</v>
      </c>
      <c r="E42" s="149">
        <f t="shared" si="28"/>
        <v>162.27200000000005</v>
      </c>
      <c r="F42" s="149">
        <f t="shared" si="28"/>
        <v>141.98800000000006</v>
      </c>
      <c r="G42" s="149">
        <f t="shared" si="28"/>
        <v>121.70400000000005</v>
      </c>
      <c r="H42" s="149">
        <f t="shared" si="28"/>
        <v>101.42000000000004</v>
      </c>
      <c r="I42" s="149">
        <f t="shared" si="28"/>
        <v>81.13600000000004</v>
      </c>
      <c r="J42" s="149">
        <f>J39+J40-J41</f>
        <v>60.85200000000003</v>
      </c>
    </row>
    <row r="43" spans="1:10" ht="12.75" hidden="1" outlineLevel="1">
      <c r="A43" s="72" t="s">
        <v>191</v>
      </c>
      <c r="C43" s="139"/>
      <c r="D43" s="139"/>
      <c r="E43" s="139"/>
      <c r="F43" s="139"/>
      <c r="G43" s="139"/>
      <c r="H43" s="139"/>
      <c r="I43" s="139"/>
      <c r="J43" s="139"/>
    </row>
    <row r="44" spans="1:10" ht="12.75" hidden="1" outlineLevel="1">
      <c r="A44" s="74" t="s">
        <v>81</v>
      </c>
      <c r="B44" s="171">
        <f>1/8</f>
        <v>0.125</v>
      </c>
      <c r="C44" s="74"/>
      <c r="D44" s="74"/>
      <c r="E44" s="74"/>
      <c r="F44" s="74"/>
      <c r="G44" s="74"/>
      <c r="H44" s="74"/>
      <c r="I44" s="74"/>
      <c r="J44" s="74"/>
    </row>
    <row r="45" spans="1:10" ht="12.75" hidden="1" outlineLevel="1">
      <c r="A45" s="74" t="s">
        <v>82</v>
      </c>
      <c r="B45" s="170"/>
      <c r="C45" s="149"/>
      <c r="D45" s="149">
        <f aca="true" t="shared" si="29" ref="D45:J45">C48</f>
        <v>0</v>
      </c>
      <c r="E45" s="149">
        <f t="shared" si="29"/>
        <v>0</v>
      </c>
      <c r="F45" s="149">
        <f t="shared" si="29"/>
        <v>0</v>
      </c>
      <c r="G45" s="149">
        <f t="shared" si="29"/>
        <v>0</v>
      </c>
      <c r="H45" s="149">
        <f t="shared" si="29"/>
        <v>0</v>
      </c>
      <c r="I45" s="149">
        <f t="shared" si="29"/>
        <v>0</v>
      </c>
      <c r="J45" s="149">
        <f t="shared" si="29"/>
        <v>0</v>
      </c>
    </row>
    <row r="46" spans="1:10" ht="12.75" hidden="1" outlineLevel="1">
      <c r="A46" s="74" t="s">
        <v>83</v>
      </c>
      <c r="B46" s="170"/>
      <c r="C46" s="149">
        <f>Инв!C20</f>
        <v>0</v>
      </c>
      <c r="D46" s="149"/>
      <c r="E46" s="149"/>
      <c r="F46" s="149"/>
      <c r="G46" s="149"/>
      <c r="H46" s="149"/>
      <c r="I46" s="149"/>
      <c r="J46" s="149"/>
    </row>
    <row r="47" spans="1:10" ht="12.75" hidden="1" outlineLevel="1">
      <c r="A47" s="151" t="s">
        <v>84</v>
      </c>
      <c r="B47" s="151"/>
      <c r="C47" s="150">
        <f>$C46*$B44/12*0</f>
        <v>0</v>
      </c>
      <c r="D47" s="150">
        <f>$C46*$B44</f>
        <v>0</v>
      </c>
      <c r="E47" s="150">
        <f aca="true" t="shared" si="30" ref="E47:J47">$C46*$B44</f>
        <v>0</v>
      </c>
      <c r="F47" s="150">
        <f t="shared" si="30"/>
        <v>0</v>
      </c>
      <c r="G47" s="150">
        <f t="shared" si="30"/>
        <v>0</v>
      </c>
      <c r="H47" s="150">
        <f t="shared" si="30"/>
        <v>0</v>
      </c>
      <c r="I47" s="150">
        <f t="shared" si="30"/>
        <v>0</v>
      </c>
      <c r="J47" s="150">
        <f t="shared" si="30"/>
        <v>0</v>
      </c>
    </row>
    <row r="48" spans="1:10" ht="12.75" hidden="1" outlineLevel="1">
      <c r="A48" s="74" t="s">
        <v>85</v>
      </c>
      <c r="B48" s="170"/>
      <c r="C48" s="149">
        <f aca="true" t="shared" si="31" ref="C48:I48">C45+C46-C47</f>
        <v>0</v>
      </c>
      <c r="D48" s="149">
        <f t="shared" si="31"/>
        <v>0</v>
      </c>
      <c r="E48" s="149">
        <f t="shared" si="31"/>
        <v>0</v>
      </c>
      <c r="F48" s="149">
        <f t="shared" si="31"/>
        <v>0</v>
      </c>
      <c r="G48" s="149">
        <f t="shared" si="31"/>
        <v>0</v>
      </c>
      <c r="H48" s="149">
        <f t="shared" si="31"/>
        <v>0</v>
      </c>
      <c r="I48" s="149">
        <f t="shared" si="31"/>
        <v>0</v>
      </c>
      <c r="J48" s="149">
        <f>J45+J46-J47</f>
        <v>0</v>
      </c>
    </row>
    <row r="49" ht="12.75" collapsed="1"/>
  </sheetData>
  <sheetProtection/>
  <printOptions/>
  <pageMargins left="0.4" right="0.75" top="0.3" bottom="1.87" header="0.2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ТЭО</dc:title>
  <dc:subject/>
  <dc:creator>m_anfinogenov</dc:creator>
  <cp:keywords/>
  <dc:description/>
  <cp:lastModifiedBy>МСБ консалтинг</cp:lastModifiedBy>
  <cp:lastPrinted>2013-08-09T11:22:05Z</cp:lastPrinted>
  <dcterms:created xsi:type="dcterms:W3CDTF">2006-03-01T15:11:19Z</dcterms:created>
  <dcterms:modified xsi:type="dcterms:W3CDTF">2013-09-24T07:56:16Z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