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390" windowHeight="8445" tabRatio="653" activeTab="12"/>
  </bookViews>
  <sheets>
    <sheet name="1-Ф3" sheetId="1" r:id="rId1"/>
    <sheet name="2-ф2" sheetId="2" r:id="rId2"/>
    <sheet name="3-Баланс" sheetId="3" r:id="rId3"/>
    <sheet name="Исх" sheetId="4" r:id="rId4"/>
    <sheet name="Дох" sheetId="5" r:id="rId5"/>
    <sheet name="Расх перем" sheetId="6" r:id="rId6"/>
    <sheet name="Производство" sheetId="7" r:id="rId7"/>
    <sheet name="Пост" sheetId="8" r:id="rId8"/>
    <sheet name="ФОТ" sheetId="9" r:id="rId9"/>
    <sheet name="кр" sheetId="10" r:id="rId10"/>
    <sheet name="Инв" sheetId="11" r:id="rId11"/>
    <sheet name="безубыт" sheetId="12" r:id="rId12"/>
    <sheet name="Осн.пок-ли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</externalReferences>
  <definedNames>
    <definedName name="_kpn1" localSheetId="2">'[46]Главн'!$D$46</definedName>
    <definedName name="_kpn1">'[47]Главн'!$D$46</definedName>
    <definedName name="_kpn2" localSheetId="2">'[46]Главн'!$E$46</definedName>
    <definedName name="_kpn2">'[47]Главн'!$E$46</definedName>
    <definedName name="_kpn3" localSheetId="2">'[46]Главн'!$F$46</definedName>
    <definedName name="_kpn3">'[47]Главн'!$F$46</definedName>
    <definedName name="_kpn4" localSheetId="2">'[46]Главн'!$G$46</definedName>
    <definedName name="_kpn4">'[47]Главн'!$G$46</definedName>
    <definedName name="_kpn5" localSheetId="2">'[46]Главн'!$H$46</definedName>
    <definedName name="_kpn5">'[47]Главн'!$H$46</definedName>
    <definedName name="_kpn6" localSheetId="2">'[46]Главн'!$I$46</definedName>
    <definedName name="_kpn6">'[47]Главн'!$I$46</definedName>
    <definedName name="_kpn7" localSheetId="2">'[46]Главн'!$J$46</definedName>
    <definedName name="_kpn7">'[47]Главн'!$J$46</definedName>
    <definedName name="_kpn8" localSheetId="2">'[46]Главн'!$K$46</definedName>
    <definedName name="_kpn8">'[47]Главн'!$K$46</definedName>
    <definedName name="_nds1" localSheetId="2">'[46]Главн'!$D$42</definedName>
    <definedName name="_nds1">'[47]Главн'!$D$42</definedName>
    <definedName name="_nds2" localSheetId="2">'[46]Главн'!$E$42</definedName>
    <definedName name="_nds2">'[47]Главн'!$E$42</definedName>
    <definedName name="_nds3" localSheetId="2">'[46]Главн'!$F$42</definedName>
    <definedName name="_nds3">'[47]Главн'!$F$42</definedName>
    <definedName name="_nds4" localSheetId="2">'[46]Главн'!$G$42</definedName>
    <definedName name="_nds4">'[47]Главн'!$G$42</definedName>
    <definedName name="_nds5" localSheetId="2">'[46]Главн'!$H$42</definedName>
    <definedName name="_nds5">'[47]Главн'!$H$42</definedName>
    <definedName name="_nds6" localSheetId="2">'[46]Главн'!$I$42</definedName>
    <definedName name="_nds6">'[47]Главн'!$I$42</definedName>
    <definedName name="_xlfn.BAHTTEXT" hidden="1">#NAME?</definedName>
    <definedName name="areket" localSheetId="2">#REF!</definedName>
    <definedName name="areket">#REF!</definedName>
    <definedName name="areket2" localSheetId="2">#REF!</definedName>
    <definedName name="areket2">#REF!</definedName>
    <definedName name="cfb">'[3]NPV'!$F$18</definedName>
    <definedName name="curr" localSheetId="2">#REF!</definedName>
    <definedName name="curr">#REF!</definedName>
    <definedName name="DcB">'[11]Дин. оборотн. ср-в!!!'!$B$17+'[11]Дин. оборотн. ср-в!!!'!$B$18+'[11]Дин. оборотн. ср-в!!!'!$B$19+'[11]Дин. оборотн. ср-в!!!'!$B$20</definedName>
    <definedName name="DcF">'[11]Дин. оборотн. ср-в!!!'!$F$17+'[11]Дин. оборотн. ср-в!!!'!$F$18+'[11]Дин. оборотн. ср-в!!!'!$F$19+'[11]Дин. оборотн. ср-в!!!'!$F$20</definedName>
    <definedName name="DF">'[11]Дин. оборотн. ср-в!!!'!$F$25+'[11]Дин. оборотн. ср-в!!!'!$F$26+'[11]Дин. оборотн. ср-в!!!'!$F$27+'[11]Дин. оборотн. ср-в!!!'!$F$28+'[11]Дин. оборотн. ср-в!!!'!$F$29+'[11]Дин. оборотн. ср-в!!!'!$F$30+'[11]Дин. оборотн. ср-в!!!'!$F$31</definedName>
    <definedName name="DG">'[11]Дин. оборотн. ср-в!!!'!$B$25+'[11]Дин. оборотн. ср-в!!!'!$B$26+'[11]Дин. оборотн. ср-в!!!'!$B$27+'[11]Дин. оборотн. ср-в!!!'!$B$28+'[11]Дин. оборотн. ср-в!!!'!$B$29+'[11]Дин. оборотн. ср-в!!!'!$B$30+'[11]Дин. оборотн. ср-в!!!'!$B$31</definedName>
    <definedName name="Ed." localSheetId="2">#REF!</definedName>
    <definedName name="Ed." localSheetId="4">#REF!</definedName>
    <definedName name="Ed." localSheetId="7">#REF!</definedName>
    <definedName name="Ed." localSheetId="6">#REF!</definedName>
    <definedName name="Ed." localSheetId="5">#REF!</definedName>
    <definedName name="Ed." localSheetId="8">#REF!</definedName>
    <definedName name="Ed.">#REF!</definedName>
    <definedName name="EUR">'[7]Свод'!$C$9</definedName>
    <definedName name="EURO">'[12]Осн. пара'!$C$8</definedName>
    <definedName name="imush1" localSheetId="2">'[46]Главн'!$D$44</definedName>
    <definedName name="imush1" localSheetId="9">'[32]Главн'!$D$44</definedName>
    <definedName name="imush1" localSheetId="6">'[59]Главн'!$D$44</definedName>
    <definedName name="imush1">'[21]Главн'!$D$44</definedName>
    <definedName name="imush2" localSheetId="2">'[46]Главн'!$E$44</definedName>
    <definedName name="imush2" localSheetId="9">'[32]Главн'!$E$44</definedName>
    <definedName name="imush2" localSheetId="6">'[59]Главн'!$E$44</definedName>
    <definedName name="imush2">'[21]Главн'!$E$44</definedName>
    <definedName name="imush3" localSheetId="2">'[46]Главн'!$F$44</definedName>
    <definedName name="imush3" localSheetId="9">'[32]Главн'!$F$44</definedName>
    <definedName name="imush3" localSheetId="6">'[59]Главн'!$F$44</definedName>
    <definedName name="imush3">'[21]Главн'!$F$44</definedName>
    <definedName name="imush4" localSheetId="2">'[46]Главн'!$G$44</definedName>
    <definedName name="imush4" localSheetId="9">'[32]Главн'!$G$44</definedName>
    <definedName name="imush4" localSheetId="6">'[59]Главн'!$G$44</definedName>
    <definedName name="imush4">'[21]Главн'!$G$44</definedName>
    <definedName name="imush5" localSheetId="2">'[46]Главн'!$H$44</definedName>
    <definedName name="imush5" localSheetId="9">'[32]Главн'!$H$44</definedName>
    <definedName name="imush5" localSheetId="6">'[59]Главн'!$H$44</definedName>
    <definedName name="imush5">'[21]Главн'!$H$44</definedName>
    <definedName name="imush6" localSheetId="2">'[46]Главн'!$I$44</definedName>
    <definedName name="imush6" localSheetId="9">'[32]Главн'!$I$44</definedName>
    <definedName name="imush6" localSheetId="6">'[59]Главн'!$I$44</definedName>
    <definedName name="imush6">'[21]Главн'!$I$44</definedName>
    <definedName name="imush7" localSheetId="2">'[46]Главн'!$J$44</definedName>
    <definedName name="imush7" localSheetId="9">'[32]Главн'!$J$44</definedName>
    <definedName name="imush7" localSheetId="6">'[59]Главн'!$J$44</definedName>
    <definedName name="imush7">'[21]Главн'!$J$44</definedName>
    <definedName name="imush8" localSheetId="2">'[46]Главн'!$K$44</definedName>
    <definedName name="imush8" localSheetId="9">'[32]Главн'!$K$44</definedName>
    <definedName name="imush8" localSheetId="6">'[59]Главн'!$K$44</definedName>
    <definedName name="imush8">'[21]Главн'!$K$44</definedName>
    <definedName name="inf" localSheetId="2">'[46]Главн'!$C$35</definedName>
    <definedName name="inf" localSheetId="9">'[32]Главн'!$C$35</definedName>
    <definedName name="inf" localSheetId="6">'[59]Главн'!$C$35</definedName>
    <definedName name="inf">'[21]Главн'!$C$35</definedName>
    <definedName name="kpn1" localSheetId="9">'[32]Главн'!$D$46</definedName>
    <definedName name="kpn1" localSheetId="6">'[59]Главн'!$D$46</definedName>
    <definedName name="kpn1">'[21]Главн'!$D$46</definedName>
    <definedName name="kpn2" localSheetId="9">'[32]Главн'!$E$46</definedName>
    <definedName name="kpn2" localSheetId="6">'[59]Главн'!$E$46</definedName>
    <definedName name="kpn2">'[21]Главн'!$E$46</definedName>
    <definedName name="kpn3" localSheetId="9">'[32]Главн'!$F$46</definedName>
    <definedName name="kpn3" localSheetId="6">'[59]Главн'!$F$46</definedName>
    <definedName name="kpn3">'[21]Главн'!$F$46</definedName>
    <definedName name="kpn4" localSheetId="9">'[32]Главн'!$G$46</definedName>
    <definedName name="kpn4" localSheetId="6">'[59]Главн'!$G$46</definedName>
    <definedName name="kpn4">'[21]Главн'!$G$46</definedName>
    <definedName name="kpn5" localSheetId="9">'[32]Главн'!$H$46</definedName>
    <definedName name="kpn5" localSheetId="6">'[59]Главн'!$H$46</definedName>
    <definedName name="kpn5">'[21]Главн'!$H$46</definedName>
    <definedName name="kpn6" localSheetId="9">'[32]Главн'!$I$46</definedName>
    <definedName name="kpn6" localSheetId="6">'[59]Главн'!$I$46</definedName>
    <definedName name="kpn6">'[21]Главн'!$I$46</definedName>
    <definedName name="kpn7" localSheetId="9">'[32]Главн'!$J$46</definedName>
    <definedName name="kpn7" localSheetId="6">'[59]Главн'!$J$46</definedName>
    <definedName name="kpn7">'[21]Главн'!$J$46</definedName>
    <definedName name="kpn8" localSheetId="9">'[32]Главн'!$K$46</definedName>
    <definedName name="kpn8" localSheetId="6">'[59]Главн'!$K$46</definedName>
    <definedName name="kpn8">'[21]Главн'!$K$46</definedName>
    <definedName name="kurs" localSheetId="2">#REF!</definedName>
    <definedName name="kurs">#REF!</definedName>
    <definedName name="kurs2" localSheetId="2">'[46]Главн'!$C$31</definedName>
    <definedName name="kurs2" localSheetId="9">'[32]Главн'!$C$31</definedName>
    <definedName name="kurs2" localSheetId="6">'[59]Главн'!$C$31</definedName>
    <definedName name="kurs2">'[21]Главн'!$C$31</definedName>
    <definedName name="lgot1" localSheetId="2">'[46]Главн'!$D$41</definedName>
    <definedName name="lgot1" localSheetId="9">'[32]Главн'!$D$41</definedName>
    <definedName name="lgot1" localSheetId="6">'[59]Главн'!$D$41</definedName>
    <definedName name="lgot1">'[21]Главн'!$D$41</definedName>
    <definedName name="lgot2" localSheetId="2">'[46]Главн'!$E$41</definedName>
    <definedName name="lgot2" localSheetId="9">'[32]Главн'!$E$41</definedName>
    <definedName name="lgot2" localSheetId="6">'[59]Главн'!$E$41</definedName>
    <definedName name="lgot2">'[21]Главн'!$E$41</definedName>
    <definedName name="lgot3" localSheetId="2">'[46]Главн'!$F$41</definedName>
    <definedName name="lgot3" localSheetId="9">'[32]Главн'!$F$41</definedName>
    <definedName name="lgot3" localSheetId="6">'[59]Главн'!$F$41</definedName>
    <definedName name="lgot3">'[21]Главн'!$F$41</definedName>
    <definedName name="lgot4" localSheetId="2">'[46]Главн'!$G$41</definedName>
    <definedName name="lgot4" localSheetId="9">'[32]Главн'!$G$41</definedName>
    <definedName name="lgot4" localSheetId="6">'[59]Главн'!$G$41</definedName>
    <definedName name="lgot4">'[21]Главн'!$G$41</definedName>
    <definedName name="lgot5" localSheetId="2">'[46]Главн'!$H$41</definedName>
    <definedName name="lgot5" localSheetId="9">'[32]Главн'!$H$41</definedName>
    <definedName name="lgot5" localSheetId="6">'[59]Главн'!$H$41</definedName>
    <definedName name="lgot5">'[21]Главн'!$H$41</definedName>
    <definedName name="name" localSheetId="2">'[46]Главн'!$C$2</definedName>
    <definedName name="name" localSheetId="9">'[32]Главн'!$C$2</definedName>
    <definedName name="name" localSheetId="6">'[59]Главн'!$C$2</definedName>
    <definedName name="name">'[21]Главн'!$C$2</definedName>
    <definedName name="nds1" localSheetId="9">'[32]Главн'!$D$42</definedName>
    <definedName name="nds1" localSheetId="6">'[59]Главн'!$D$42</definedName>
    <definedName name="nds1">'[21]Главн'!$D$42</definedName>
    <definedName name="nds2" localSheetId="9">'[32]Главн'!$E$42</definedName>
    <definedName name="nds2" localSheetId="6">'[59]Главн'!$E$42</definedName>
    <definedName name="nds2">'[21]Главн'!$E$42</definedName>
    <definedName name="nds3" localSheetId="9">'[32]Главн'!$F$42</definedName>
    <definedName name="nds3" localSheetId="6">'[59]Главн'!$F$42</definedName>
    <definedName name="nds3">'[21]Главн'!$F$42</definedName>
    <definedName name="nds4" localSheetId="9">'[32]Главн'!$G$42</definedName>
    <definedName name="nds4" localSheetId="6">'[59]Главн'!$G$42</definedName>
    <definedName name="nds4">'[21]Главн'!$G$42</definedName>
    <definedName name="nds5" localSheetId="9">'[32]Главн'!$H$42</definedName>
    <definedName name="nds5" localSheetId="6">'[59]Главн'!$H$42</definedName>
    <definedName name="nds5">'[21]Главн'!$H$42</definedName>
    <definedName name="nds6" localSheetId="9">'[32]Главн'!$I$42</definedName>
    <definedName name="nds6" localSheetId="6">'[59]Главн'!$I$42</definedName>
    <definedName name="nds6">'[21]Главн'!$I$42</definedName>
    <definedName name="price">'[7]Свод'!$C$11</definedName>
    <definedName name="remont" localSheetId="2">'[46]Амортиз'!$F$125</definedName>
    <definedName name="remont" localSheetId="9">'[32]Амортиз'!$F$125</definedName>
    <definedName name="remont" localSheetId="6">'[59]Амортиз'!$F$125</definedName>
    <definedName name="remont">'[21]Амортиз'!$F$125</definedName>
    <definedName name="RUR" localSheetId="2">'[7]Свод'!#REF!</definedName>
    <definedName name="RUR" localSheetId="4">'[7]Свод'!#REF!</definedName>
    <definedName name="RUR" localSheetId="7">'[7]Свод'!#REF!</definedName>
    <definedName name="RUR" localSheetId="6">'[7]Свод'!#REF!</definedName>
    <definedName name="RUR" localSheetId="5">'[7]Свод'!#REF!</definedName>
    <definedName name="RUR" localSheetId="8">'[7]Свод'!#REF!</definedName>
    <definedName name="RUR">'[7]Свод'!#REF!</definedName>
    <definedName name="USD" localSheetId="9">'[7]Свод'!#REF!</definedName>
    <definedName name="USD">'[12]Осн. пара'!$C$4</definedName>
    <definedName name="valuta" localSheetId="2">'[46]Главн'!$C$21</definedName>
    <definedName name="valuta" localSheetId="9">'[32]Главн'!$C$21</definedName>
    <definedName name="valuta" localSheetId="6">'[59]Главн'!$C$21</definedName>
    <definedName name="valuta">'[21]Главн'!$C$21</definedName>
    <definedName name="valuta2" localSheetId="2">'[46]Главн'!$C$19</definedName>
    <definedName name="valuta2" localSheetId="9">'[32]Главн'!$C$19</definedName>
    <definedName name="valuta2" localSheetId="6">'[59]Главн'!$C$19</definedName>
    <definedName name="valuta2">'[21]Главн'!$C$19</definedName>
    <definedName name="Z_9D8A7FE8_EB32_11D6_AAD8_00E04C390749_.wvu.Cols" localSheetId="2" hidden="1">#REF!</definedName>
    <definedName name="Z_9D8A7FE8_EB32_11D6_AAD8_00E04C390749_.wvu.Cols" hidden="1">#REF!</definedName>
    <definedName name="АвПокуп" localSheetId="2">#REF!</definedName>
    <definedName name="АвПокуп">#REF!</definedName>
    <definedName name="АвПокуп1" localSheetId="2">#REF!</definedName>
    <definedName name="АвПокуп1">#REF!</definedName>
    <definedName name="АвПост" localSheetId="2">#REF!</definedName>
    <definedName name="АвПост">#REF!</definedName>
    <definedName name="АвПост1" localSheetId="2">#REF!</definedName>
    <definedName name="АвПост1">#REF!</definedName>
    <definedName name="адм" localSheetId="2">#REF!</definedName>
    <definedName name="адм" localSheetId="9">#REF!</definedName>
    <definedName name="адм" localSheetId="6">#REF!</definedName>
    <definedName name="адм">#REF!</definedName>
    <definedName name="арекет" localSheetId="0">#REF!</definedName>
    <definedName name="арекет" localSheetId="2">#REF!</definedName>
    <definedName name="арекет">#REF!</definedName>
    <definedName name="арекет2" localSheetId="0">#REF!</definedName>
    <definedName name="арекет2" localSheetId="2">#REF!</definedName>
    <definedName name="арекет2">#REF!</definedName>
    <definedName name="арекет3" localSheetId="0">#REF!</definedName>
    <definedName name="арекет3" localSheetId="2">#REF!</definedName>
    <definedName name="арекет3">#REF!</definedName>
    <definedName name="арэк" localSheetId="0">#REF!</definedName>
    <definedName name="арэк" localSheetId="2">#REF!</definedName>
    <definedName name="арэк">#REF!</definedName>
    <definedName name="арэк2" localSheetId="0">#REF!</definedName>
    <definedName name="арэк2" localSheetId="2">#REF!</definedName>
    <definedName name="арэк2">#REF!</definedName>
    <definedName name="арэк3" localSheetId="0">#REF!</definedName>
    <definedName name="арэк3" localSheetId="2">#REF!</definedName>
    <definedName name="арэк3">#REF!</definedName>
    <definedName name="аств" localSheetId="0">#REF!</definedName>
    <definedName name="аств" localSheetId="2">#REF!</definedName>
    <definedName name="аств">#REF!</definedName>
    <definedName name="аств2" localSheetId="0">#REF!</definedName>
    <definedName name="аств2" localSheetId="2">#REF!</definedName>
    <definedName name="аств2">#REF!</definedName>
    <definedName name="аств3" localSheetId="0">#REF!</definedName>
    <definedName name="аств3" localSheetId="2">#REF!</definedName>
    <definedName name="аств3">#REF!</definedName>
    <definedName name="атырау" localSheetId="0">#REF!</definedName>
    <definedName name="атырау" localSheetId="2">#REF!</definedName>
    <definedName name="атырау">#REF!</definedName>
    <definedName name="атырау2" localSheetId="0">#REF!</definedName>
    <definedName name="атырау2" localSheetId="2">#REF!</definedName>
    <definedName name="атырау2">#REF!</definedName>
    <definedName name="атырау3" localSheetId="0">#REF!</definedName>
    <definedName name="атырау3" localSheetId="2">#REF!</definedName>
    <definedName name="атырау3">#REF!</definedName>
    <definedName name="баланс_стоимость" localSheetId="2">'[48]объекты обществаКокшетау'!#REF!</definedName>
    <definedName name="баланс_стоимость" localSheetId="4">'[23]объекты обществаКокшетау'!#REF!</definedName>
    <definedName name="баланс_стоимость" localSheetId="9">'[34]объекты обществаКокшетау'!#REF!</definedName>
    <definedName name="баланс_стоимость" localSheetId="7">'[23]объекты обществаКокшетау'!#REF!</definedName>
    <definedName name="баланс_стоимость" localSheetId="6">'[61]объекты обществаКокшетау'!#REF!</definedName>
    <definedName name="баланс_стоимость" localSheetId="5">'[23]объекты обществаКокшетау'!#REF!</definedName>
    <definedName name="баланс_стоимость" localSheetId="8">'[23]объекты обществаКокшетау'!#REF!</definedName>
    <definedName name="баланс_стоимость">'[23]объекты обществаКокшетау'!#REF!</definedName>
    <definedName name="бву">'[2]Фин. пок-ли'!$C$17</definedName>
    <definedName name="ВА1" localSheetId="2">#REF!</definedName>
    <definedName name="ВА1">#REF!</definedName>
    <definedName name="Вал" localSheetId="2">#REF!</definedName>
    <definedName name="Вал" localSheetId="9">#REF!</definedName>
    <definedName name="Вал" localSheetId="6">#REF!</definedName>
    <definedName name="Вал">#REF!</definedName>
    <definedName name="ВалП1" localSheetId="2">#REF!</definedName>
    <definedName name="ВалП1" localSheetId="4">#REF!</definedName>
    <definedName name="ВалП1" localSheetId="7">#REF!</definedName>
    <definedName name="ВалП1" localSheetId="6">#REF!</definedName>
    <definedName name="ВалП1" localSheetId="5">#REF!</definedName>
    <definedName name="ВалП1" localSheetId="8">#REF!</definedName>
    <definedName name="ВалП1">#REF!</definedName>
    <definedName name="Валюта" localSheetId="2">#REF!</definedName>
    <definedName name="Валюта">#REF!</definedName>
    <definedName name="вид_инвестиций" localSheetId="2">'[46]Invest'!$C$7:$C$240</definedName>
    <definedName name="вид_инвестиций" localSheetId="9">'[32]Invest'!$C$7:$C$240</definedName>
    <definedName name="вид_инвестиций" localSheetId="6">'[59]Invest'!$C$7:$C$240</definedName>
    <definedName name="вид_инвестиций">'[21]Invest'!$C$7:$C$240</definedName>
    <definedName name="Вита_осн">'[10]ИсхД+'!$A$2</definedName>
    <definedName name="ВК" localSheetId="2">#REF!</definedName>
    <definedName name="ВК">#REF!</definedName>
    <definedName name="ВК1" localSheetId="2">#REF!</definedName>
    <definedName name="ВК1">#REF!</definedName>
    <definedName name="ВК2" localSheetId="2">#REF!</definedName>
    <definedName name="ВК2">#REF!</definedName>
    <definedName name="ВК3" localSheetId="2">#REF!</definedName>
    <definedName name="ВК3">#REF!</definedName>
    <definedName name="вложения" localSheetId="2">'[46]Граф кап инвестиц'!$B$8:$B$12</definedName>
    <definedName name="вложения" localSheetId="9">'[32]Граф кап инвестиц'!$B$8:$B$12</definedName>
    <definedName name="вложения" localSheetId="6">'[59]Граф кап инвестиц'!$B$8:$B$12</definedName>
    <definedName name="вложения">'[21]Граф кап инвестиц'!$B$8:$B$12</definedName>
    <definedName name="ВР1" localSheetId="2">#REF!</definedName>
    <definedName name="ВР1">#REF!</definedName>
    <definedName name="ВРО1" localSheetId="2">#REF!</definedName>
    <definedName name="ВРО1">#REF!</definedName>
    <definedName name="всего_долл" localSheetId="2">'[48]объекты обществаКокшетау'!#REF!</definedName>
    <definedName name="всего_долл" localSheetId="4">'[23]объекты обществаКокшетау'!#REF!</definedName>
    <definedName name="всего_долл" localSheetId="9">'[34]объекты обществаКокшетау'!#REF!</definedName>
    <definedName name="всего_долл" localSheetId="7">'[23]объекты обществаКокшетау'!#REF!</definedName>
    <definedName name="всего_долл" localSheetId="6">'[61]объекты обществаКокшетау'!#REF!</definedName>
    <definedName name="всего_долл" localSheetId="5">'[23]объекты обществаКокшетау'!#REF!</definedName>
    <definedName name="всего_долл" localSheetId="8">'[23]объекты обществаКокшетау'!#REF!</definedName>
    <definedName name="всего_долл">'[23]объекты обществаКокшетау'!#REF!</definedName>
    <definedName name="газсервис" localSheetId="0">#REF!</definedName>
    <definedName name="газсервис" localSheetId="2">#REF!</definedName>
    <definedName name="газсервис">#REF!</definedName>
    <definedName name="газсервис2" localSheetId="0">#REF!</definedName>
    <definedName name="газсервис2" localSheetId="2">#REF!</definedName>
    <definedName name="газсервис2">#REF!</definedName>
    <definedName name="газсервис3" localSheetId="0">#REF!</definedName>
    <definedName name="газсервис3" localSheetId="2">#REF!</definedName>
    <definedName name="газсервис3">#REF!</definedName>
    <definedName name="год">'[5]Осн.показ'!$D$8</definedName>
    <definedName name="год1">'[5]Осн.показ'!$D$9</definedName>
    <definedName name="ГотПр" localSheetId="2">#REF!</definedName>
    <definedName name="ГотПр">#REF!</definedName>
    <definedName name="ГотПр1" localSheetId="2">#REF!</definedName>
    <definedName name="ГотПр1">#REF!</definedName>
    <definedName name="д" localSheetId="2">#REF!</definedName>
    <definedName name="д">#REF!</definedName>
    <definedName name="Дебиторская__задолженность">'[11]Дин. оборотн. ср-в!!!'!$B$25+'[11]Дин. оборотн. ср-в!!!'!$B$26+'[11]Дин. оборотн. ср-в!!!'!$B$27+'[11]Дин. оборотн. ср-в!!!'!$B$28+'[11]Дин. оборотн. ср-в!!!'!$B$29+'[11]Дин. оборотн. ср-в!!!'!$B$30+'[11]Дин. оборотн. ср-в!!!'!$B$31+'[11]Дин. оборотн. ср-в!!!'!$B$33</definedName>
    <definedName name="Дебиторская_задолженность_Ст_сть_всех_активов">'[11]Уровень показателей!!!'!$E$18/'[11]Б3!!!'!$C$58</definedName>
    <definedName name="ДЗ" localSheetId="2">#REF!</definedName>
    <definedName name="ДЗ">#REF!</definedName>
    <definedName name="ДЗ1" localSheetId="2">#REF!</definedName>
    <definedName name="ДЗ1">#REF!</definedName>
    <definedName name="дз1к">'[11]Б1'!$D$34+'[11]Б1'!$D$35+'[11]Б1'!$D$36+'[11]Б1'!$D$37+'[11]Б1'!$D$38+'[11]Б1'!$D$39</definedName>
    <definedName name="дз1н">'[11]Б1'!$C$34++'[11]Б1'!$C$35+'[11]Б1'!$C$36+'[11]Б1'!$C$37+'[11]Б1'!$C$38+'[11]Б1'!$C$39</definedName>
    <definedName name="дз94к" localSheetId="2">'[11]Б1'!#REF!+'[11]Б1'!#REF!+'[11]Б1'!#REF!+'[11]Б1'!#REF!+'[11]Б1'!#REF!+'[11]Б1'!#REF!+'[11]Б1'!#REF!</definedName>
    <definedName name="дз94к" localSheetId="4">'[11]Б1'!#REF!+'[11]Б1'!#REF!+'[11]Б1'!#REF!+'[11]Б1'!#REF!+'[11]Б1'!#REF!+'[11]Б1'!#REF!+'[11]Б1'!#REF!</definedName>
    <definedName name="дз94к" localSheetId="7">'[11]Б1'!#REF!+'[11]Б1'!#REF!+'[11]Б1'!#REF!+'[11]Б1'!#REF!+'[11]Б1'!#REF!+'[11]Б1'!#REF!+'[11]Б1'!#REF!</definedName>
    <definedName name="дз94к" localSheetId="6">'[11]Б1'!#REF!+'[11]Б1'!#REF!+'[11]Б1'!#REF!+'[11]Б1'!#REF!+'[11]Б1'!#REF!+'[11]Б1'!#REF!+'[11]Б1'!#REF!</definedName>
    <definedName name="дз94к" localSheetId="5">'[11]Б1'!#REF!+'[11]Б1'!#REF!+'[11]Б1'!#REF!+'[11]Б1'!#REF!+'[11]Б1'!#REF!+'[11]Б1'!#REF!+'[11]Б1'!#REF!</definedName>
    <definedName name="дз94к" localSheetId="8">'[11]Б1'!#REF!+'[11]Б1'!#REF!+'[11]Б1'!#REF!+'[11]Б1'!#REF!+'[11]Б1'!#REF!+'[11]Б1'!#REF!+'[11]Б1'!#REF!</definedName>
    <definedName name="дз94к">'[11]Б1'!#REF!+'[11]Б1'!#REF!+'[11]Б1'!#REF!+'[11]Б1'!#REF!+'[11]Б1'!#REF!+'[11]Б1'!#REF!+'[11]Б1'!#REF!</definedName>
    <definedName name="дз94н" localSheetId="2">'[11]Б1'!#REF!+'[11]Б1'!#REF!+'[11]Б1'!#REF!+'[11]Б1'!#REF!+'[11]Б1'!#REF!+'[11]Б1'!#REF!+'[11]Б1'!#REF!</definedName>
    <definedName name="дз94н" localSheetId="4">'[11]Б1'!#REF!+'[11]Б1'!#REF!+'[11]Б1'!#REF!+'[11]Б1'!#REF!+'[11]Б1'!#REF!+'[11]Б1'!#REF!+'[11]Б1'!#REF!</definedName>
    <definedName name="дз94н" localSheetId="7">'[11]Б1'!#REF!+'[11]Б1'!#REF!+'[11]Б1'!#REF!+'[11]Б1'!#REF!+'[11]Б1'!#REF!+'[11]Б1'!#REF!+'[11]Б1'!#REF!</definedName>
    <definedName name="дз94н" localSheetId="6">'[11]Б1'!#REF!+'[11]Б1'!#REF!+'[11]Б1'!#REF!+'[11]Б1'!#REF!+'[11]Б1'!#REF!+'[11]Б1'!#REF!+'[11]Б1'!#REF!</definedName>
    <definedName name="дз94н" localSheetId="5">'[11]Б1'!#REF!+'[11]Б1'!#REF!+'[11]Б1'!#REF!+'[11]Б1'!#REF!+'[11]Б1'!#REF!+'[11]Б1'!#REF!+'[11]Б1'!#REF!</definedName>
    <definedName name="дз94н" localSheetId="8">'[11]Б1'!#REF!+'[11]Б1'!#REF!+'[11]Б1'!#REF!+'[11]Б1'!#REF!+'[11]Б1'!#REF!+'[11]Б1'!#REF!+'[11]Б1'!#REF!</definedName>
    <definedName name="дз94н">'[11]Б1'!#REF!+'[11]Б1'!#REF!+'[11]Б1'!#REF!+'[11]Б1'!#REF!+'[11]Б1'!#REF!+'[11]Б1'!#REF!+'[11]Б1'!#REF!</definedName>
    <definedName name="ДК1" localSheetId="2">#REF!</definedName>
    <definedName name="ДК1">#REF!</definedName>
    <definedName name="дол" localSheetId="2">#REF!</definedName>
    <definedName name="дол">#REF!</definedName>
    <definedName name="долл" localSheetId="2">#REF!</definedName>
    <definedName name="долл" localSheetId="4">#REF!</definedName>
    <definedName name="долл" localSheetId="9">'[35]Исх'!$C$16</definedName>
    <definedName name="долл" localSheetId="7">#REF!</definedName>
    <definedName name="долл" localSheetId="6">#REF!</definedName>
    <definedName name="долл" localSheetId="5">#REF!</definedName>
    <definedName name="долл" localSheetId="8">'ФОТ'!#REF!</definedName>
    <definedName name="долл">#REF!</definedName>
    <definedName name="доллар" localSheetId="2">'[49]Параметры'!$C$18</definedName>
    <definedName name="доллар" localSheetId="9">'[36]Параметры'!$C$18</definedName>
    <definedName name="доллар" localSheetId="6">'[62]Параметры'!$C$18</definedName>
    <definedName name="доллар">'[25]Параметры'!$C$18</definedName>
    <definedName name="дох" localSheetId="2">#REF!</definedName>
    <definedName name="дох" localSheetId="9">#REF!</definedName>
    <definedName name="дох" localSheetId="6">#REF!</definedName>
    <definedName name="дох">#REF!</definedName>
    <definedName name="дсша" localSheetId="2">#REF!</definedName>
    <definedName name="дсша" localSheetId="4">#REF!</definedName>
    <definedName name="дсша" localSheetId="9">#REF!</definedName>
    <definedName name="дсша" localSheetId="7">#REF!</definedName>
    <definedName name="дсша" localSheetId="6">#REF!</definedName>
    <definedName name="дсша" localSheetId="5">#REF!</definedName>
    <definedName name="дсша" localSheetId="8">#REF!</definedName>
    <definedName name="дсша">#REF!</definedName>
    <definedName name="дт" localSheetId="2">'[50]пост. пар.'!$C$13</definedName>
    <definedName name="дт" localSheetId="9">'[37]пост. пар.'!$C$13</definedName>
    <definedName name="дт" localSheetId="6">'[63]пост. пар.'!$C$13</definedName>
    <definedName name="дт">'[26]пост. пар.'!$C$13</definedName>
    <definedName name="евр">'[5]Осн.показ'!$D$13</definedName>
    <definedName name="евро" localSheetId="2">#REF!</definedName>
    <definedName name="евро" localSheetId="12">'[8]Общ_Д'!$B$16</definedName>
    <definedName name="евро">#REF!</definedName>
    <definedName name="ждд" localSheetId="2">#REF!</definedName>
    <definedName name="ждд" localSheetId="9">#REF!</definedName>
    <definedName name="ждд" localSheetId="6">#REF!</definedName>
    <definedName name="ждд">#REF!</definedName>
    <definedName name="_xlnm.Print_Titles" localSheetId="1">'2-ф2'!$A:$A</definedName>
    <definedName name="_xlnm.Print_Titles" localSheetId="2">'3-Баланс'!$A:$A</definedName>
    <definedName name="_xlnm.Print_Titles" localSheetId="10">'Инв'!$4:$4</definedName>
    <definedName name="_xlnm.Print_Titles" localSheetId="9">'кр'!$A:$B</definedName>
    <definedName name="_xlnm.Print_Titles" localSheetId="6">'Производство'!$A:$A</definedName>
    <definedName name="_xlnm.Print_Titles" localSheetId="8">'ФОТ'!$4:$4</definedName>
    <definedName name="Зап" localSheetId="2">#REF!</definedName>
    <definedName name="Зап">#REF!</definedName>
    <definedName name="Зап1" localSheetId="2">#REF!</definedName>
    <definedName name="Зап1">#REF!</definedName>
    <definedName name="имя" localSheetId="2">#REF!</definedName>
    <definedName name="имя">#REF!</definedName>
    <definedName name="Инвестор1" localSheetId="2">'[46]Главн'!$C$8</definedName>
    <definedName name="Инвестор1" localSheetId="9">'[32]Главн'!$C$8</definedName>
    <definedName name="Инвестор1" localSheetId="6">'[59]Главн'!$C$8</definedName>
    <definedName name="Инвестор1">'[21]Главн'!$C$8</definedName>
    <definedName name="Инвестор2" localSheetId="2">'[46]Главн'!$C$9</definedName>
    <definedName name="Инвестор2" localSheetId="9">'[32]Главн'!$C$9</definedName>
    <definedName name="Инвестор2" localSheetId="6">'[59]Главн'!$C$9</definedName>
    <definedName name="Инвестор2">'[21]Главн'!$C$9</definedName>
    <definedName name="Инвестор3" localSheetId="2">'[46]Главн'!$C$10</definedName>
    <definedName name="Инвестор3" localSheetId="9">'[32]Главн'!$C$10</definedName>
    <definedName name="Инвестор3" localSheetId="6">'[59]Главн'!$C$10</definedName>
    <definedName name="Инвестор3">'[21]Главн'!$C$10</definedName>
    <definedName name="инициатор" localSheetId="2">'[46]Главн'!$C$7</definedName>
    <definedName name="инициатор" localSheetId="9">'[32]Главн'!$C$7</definedName>
    <definedName name="инициатор" localSheetId="6">'[59]Главн'!$C$7</definedName>
    <definedName name="инициатор">'[21]Главн'!$C$7</definedName>
    <definedName name="Инт" localSheetId="2">#REF!</definedName>
    <definedName name="Инт" localSheetId="4">#REF!</definedName>
    <definedName name="Инт" localSheetId="7">#REF!</definedName>
    <definedName name="Инт" localSheetId="6">#REF!</definedName>
    <definedName name="Инт" localSheetId="5">#REF!</definedName>
    <definedName name="Инт" localSheetId="8">#REF!</definedName>
    <definedName name="Инт">#REF!</definedName>
    <definedName name="итого_в_долл" localSheetId="2">'[48]объекты обществаКокшетау'!#REF!</definedName>
    <definedName name="итого_в_долл" localSheetId="4">'[23]объекты обществаКокшетау'!#REF!</definedName>
    <definedName name="итого_в_долл" localSheetId="9">'[34]объекты обществаКокшетау'!#REF!</definedName>
    <definedName name="итого_в_долл" localSheetId="7">'[23]объекты обществаКокшетау'!#REF!</definedName>
    <definedName name="итого_в_долл" localSheetId="6">'[61]объекты обществаКокшетау'!#REF!</definedName>
    <definedName name="итого_в_долл" localSheetId="5">'[23]объекты обществаКокшетау'!#REF!</definedName>
    <definedName name="итого_в_долл" localSheetId="8">'[23]объекты обществаКокшетау'!#REF!</definedName>
    <definedName name="итого_в_долл">'[23]объекты обществаКокшетау'!#REF!</definedName>
    <definedName name="июль" localSheetId="2">#REF!</definedName>
    <definedName name="июль" localSheetId="9">#REF!</definedName>
    <definedName name="июль" localSheetId="6">#REF!</definedName>
    <definedName name="июль">#REF!</definedName>
    <definedName name="Каламкас" localSheetId="2">'[27]объекты обществаКокшетау'!#REF!</definedName>
    <definedName name="Каламкас" localSheetId="4">'[27]объекты обществаКокшетау'!#REF!</definedName>
    <definedName name="Каламкас" localSheetId="7">'[27]объекты обществаКокшетау'!#REF!</definedName>
    <definedName name="Каламкас" localSheetId="6">'[27]объекты обществаКокшетау'!#REF!</definedName>
    <definedName name="Каламкас" localSheetId="5">'[27]объекты обществаКокшетау'!#REF!</definedName>
    <definedName name="Каламкас" localSheetId="8">'[27]объекты обществаКокшетау'!#REF!</definedName>
    <definedName name="Каламкас">'[27]объекты обществаКокшетау'!#REF!</definedName>
    <definedName name="кндс" localSheetId="2">#REF!</definedName>
    <definedName name="кндс" localSheetId="4">#REF!</definedName>
    <definedName name="кндс" localSheetId="9">'[5]Осн.показ'!$D$15</definedName>
    <definedName name="кндс" localSheetId="7">#REF!</definedName>
    <definedName name="кндс" localSheetId="6">#REF!</definedName>
    <definedName name="кндс" localSheetId="5">#REF!</definedName>
    <definedName name="кндс" localSheetId="8">'ФОТ'!#REF!</definedName>
    <definedName name="кндс">#REF!</definedName>
    <definedName name="кндс1" localSheetId="2">'[51]Исх'!$C$8</definedName>
    <definedName name="кндс1" localSheetId="11">'[17]Исх'!$C$8</definedName>
    <definedName name="кндс1" localSheetId="9">'[35]Исх'!$C$8</definedName>
    <definedName name="кндс1" localSheetId="6">'[65]Исх'!$C$8</definedName>
    <definedName name="кндс1">'[15]Исх'!$C$8</definedName>
    <definedName name="Код" localSheetId="2">#REF!</definedName>
    <definedName name="Код">#REF!</definedName>
    <definedName name="компресс" localSheetId="2">#REF!</definedName>
    <definedName name="компресс" localSheetId="4">#REF!</definedName>
    <definedName name="компресс" localSheetId="7">#REF!</definedName>
    <definedName name="компресс" localSheetId="6">#REF!</definedName>
    <definedName name="компресс" localSheetId="5">#REF!</definedName>
    <definedName name="компресс" localSheetId="8">#REF!</definedName>
    <definedName name="компресс">#REF!</definedName>
    <definedName name="кре" localSheetId="2">#REF!</definedName>
    <definedName name="кре" localSheetId="9">#REF!</definedName>
    <definedName name="кре" localSheetId="6">#REF!</definedName>
    <definedName name="кре">#REF!</definedName>
    <definedName name="Кредит_перераб" localSheetId="2">'[9]Общ_Д'!#REF!</definedName>
    <definedName name="Кредит_перераб" localSheetId="4">'[9]Общ_Д'!#REF!</definedName>
    <definedName name="Кредит_перераб" localSheetId="7">'[9]Общ_Д'!#REF!</definedName>
    <definedName name="Кредит_перераб" localSheetId="6">'[9]Общ_Д'!#REF!</definedName>
    <definedName name="Кредит_перераб" localSheetId="5">'[9]Общ_Д'!#REF!</definedName>
    <definedName name="Кредит_перераб" localSheetId="8">'[9]Общ_Д'!#REF!</definedName>
    <definedName name="Кредит_перераб">'[9]Общ_Д'!#REF!</definedName>
    <definedName name="Кредит_произв" localSheetId="2">'[9]Общ_Д'!#REF!</definedName>
    <definedName name="Кредит_произв" localSheetId="4">'[9]Общ_Д'!#REF!</definedName>
    <definedName name="Кредит_произв" localSheetId="7">'[9]Общ_Д'!#REF!</definedName>
    <definedName name="Кредит_произв" localSheetId="6">'[9]Общ_Д'!#REF!</definedName>
    <definedName name="Кредит_произв" localSheetId="5">'[9]Общ_Д'!#REF!</definedName>
    <definedName name="Кредит_произв" localSheetId="8">'[9]Общ_Д'!#REF!</definedName>
    <definedName name="Кредит_произв">'[9]Общ_Д'!#REF!</definedName>
    <definedName name="Кредит_производство" localSheetId="2">'[9]Общ_Д'!#REF!</definedName>
    <definedName name="Кредит_производство" localSheetId="4">'[9]Общ_Д'!#REF!</definedName>
    <definedName name="Кредит_производство" localSheetId="7">'[9]Общ_Д'!#REF!</definedName>
    <definedName name="Кредит_производство" localSheetId="6">'[9]Общ_Д'!#REF!</definedName>
    <definedName name="Кредит_производство" localSheetId="5">'[9]Общ_Д'!#REF!</definedName>
    <definedName name="Кредит_производство" localSheetId="8">'[9]Общ_Д'!#REF!</definedName>
    <definedName name="Кредит_производство">'[9]Общ_Д'!#REF!</definedName>
    <definedName name="кросс_курс">'[4]Приобретение О.С.'!$F$3</definedName>
    <definedName name="кулагер" localSheetId="0">#REF!</definedName>
    <definedName name="кулагер" localSheetId="2">#REF!</definedName>
    <definedName name="кулагер">#REF!</definedName>
    <definedName name="кулагер2" localSheetId="0">#REF!</definedName>
    <definedName name="кулагер2" localSheetId="2">#REF!</definedName>
    <definedName name="кулагер2">#REF!</definedName>
    <definedName name="кулагер3" localSheetId="0">#REF!</definedName>
    <definedName name="кулагер3" localSheetId="2">#REF!</definedName>
    <definedName name="кулагер3">#REF!</definedName>
    <definedName name="кумыскаскыр" localSheetId="0">#REF!</definedName>
    <definedName name="кумыскаскыр" localSheetId="2">#REF!</definedName>
    <definedName name="кумыскаскыр">#REF!</definedName>
    <definedName name="кумыскаскыр2" localSheetId="0">#REF!</definedName>
    <definedName name="кумыскаскыр2" localSheetId="2">#REF!</definedName>
    <definedName name="кумыскаскыр2">#REF!</definedName>
    <definedName name="кумыскаскыр3" localSheetId="0">#REF!</definedName>
    <definedName name="кумыскаскыр3" localSheetId="2">#REF!</definedName>
    <definedName name="кумыскаскыр3">#REF!</definedName>
    <definedName name="Курс" localSheetId="0">'[4]Перем. затраты'!$P$45</definedName>
    <definedName name="курс" localSheetId="2">'[52]Исх'!$C$5</definedName>
    <definedName name="курс" localSheetId="11">'[19]Данные,рентаб'!$C$23</definedName>
    <definedName name="Курс" localSheetId="9">'[13]Перем. затраты'!$P$45</definedName>
    <definedName name="курс" localSheetId="6">'[58]Исх'!$C$5</definedName>
    <definedName name="курс">'Исх'!#REF!</definedName>
    <definedName name="курс_доллара_сегодня" localSheetId="2">'[53]константы'!$A$15</definedName>
    <definedName name="курс_доллара_сегодня" localSheetId="9">'[39]константы'!$A$15</definedName>
    <definedName name="курс_доллара_сегодня" localSheetId="6">'[66]константы'!$A$15</definedName>
    <definedName name="курс_доллара_сегодня">'[28]константы'!$A$15</definedName>
    <definedName name="курс_НБРК" localSheetId="2">'[48]объекты обществаКокшетау'!#REF!</definedName>
    <definedName name="курс_НБРК" localSheetId="4">'[23]объекты обществаКокшетау'!#REF!</definedName>
    <definedName name="курс_НБРК" localSheetId="9">'[34]объекты обществаКокшетау'!#REF!</definedName>
    <definedName name="курс_НБРК" localSheetId="7">'[23]объекты обществаКокшетау'!#REF!</definedName>
    <definedName name="курс_НБРК" localSheetId="6">'[61]объекты обществаКокшетау'!#REF!</definedName>
    <definedName name="курс_НБРК" localSheetId="5">'[23]объекты обществаКокшетау'!#REF!</definedName>
    <definedName name="курс_НБРК" localSheetId="8">'[23]объекты обществаКокшетау'!#REF!</definedName>
    <definedName name="курс_НБРК">'[23]объекты обществаКокшетау'!#REF!</definedName>
    <definedName name="Курс1" localSheetId="2">#REF!</definedName>
    <definedName name="Курс1" localSheetId="4">#REF!</definedName>
    <definedName name="Курс1" localSheetId="9">#REF!</definedName>
    <definedName name="Курс1" localSheetId="7">#REF!</definedName>
    <definedName name="Курс1" localSheetId="6">#REF!</definedName>
    <definedName name="Курс1" localSheetId="5">#REF!</definedName>
    <definedName name="Курс1" localSheetId="8">#REF!</definedName>
    <definedName name="Курс1">#REF!</definedName>
    <definedName name="Курс10" localSheetId="2">'[14]Финпоки1'!#REF!</definedName>
    <definedName name="Курс10" localSheetId="4">'[14]Финпоки1'!#REF!</definedName>
    <definedName name="Курс10" localSheetId="7">'[14]Финпоки1'!#REF!</definedName>
    <definedName name="Курс10" localSheetId="6">'[14]Финпоки1'!#REF!</definedName>
    <definedName name="Курс10" localSheetId="5">'[14]Финпоки1'!#REF!</definedName>
    <definedName name="Курс10" localSheetId="8">'[14]Финпоки1'!#REF!</definedName>
    <definedName name="Курс10">'[14]Финпоки1'!#REF!</definedName>
    <definedName name="курсСША" localSheetId="2">#REF!</definedName>
    <definedName name="курсСША" localSheetId="9">#REF!</definedName>
    <definedName name="курсСША" localSheetId="6">#REF!</definedName>
    <definedName name="курсСША">#REF!</definedName>
    <definedName name="мес" localSheetId="2">'[54]Осн.показ'!$C$10</definedName>
    <definedName name="мес" localSheetId="9">'[41]Осн.показ'!$C$10</definedName>
    <definedName name="мес" localSheetId="6">'[67]Осн.показ'!$C$10</definedName>
    <definedName name="мес">'[24]Осн.показ'!$C$10</definedName>
    <definedName name="мес1" localSheetId="2">'[54]Осн.показ'!$C$11</definedName>
    <definedName name="мес1" localSheetId="9">'[41]Осн.показ'!$C$11</definedName>
    <definedName name="мес1" localSheetId="6">'[67]Осн.показ'!$C$11</definedName>
    <definedName name="мес1">'[24]Осн.показ'!$C$11</definedName>
    <definedName name="металлоформы" localSheetId="2">#REF!</definedName>
    <definedName name="металлоформы" localSheetId="4">#REF!</definedName>
    <definedName name="металлоформы" localSheetId="7">#REF!</definedName>
    <definedName name="металлоформы" localSheetId="6">#REF!</definedName>
    <definedName name="металлоформы" localSheetId="5">#REF!</definedName>
    <definedName name="металлоформы" localSheetId="8">#REF!</definedName>
    <definedName name="металлоформы">#REF!</definedName>
    <definedName name="МОВ" localSheetId="2">#REF!</definedName>
    <definedName name="МОВ">#REF!</definedName>
    <definedName name="Мощность" localSheetId="2">'[55]Параметры'!$C$2</definedName>
    <definedName name="Мощность" localSheetId="9">'[42]Параметры'!$C$2</definedName>
    <definedName name="Мощность" localSheetId="6">'[68]Параметры'!$C$2</definedName>
    <definedName name="Мощность">'[29]Параметры'!$C$2</definedName>
    <definedName name="МРП">'[4]Перем. затраты'!$P$46</definedName>
    <definedName name="Название" localSheetId="2">#REF!</definedName>
    <definedName name="Название">#REF!</definedName>
    <definedName name="Наименование">'[7]План пр-ва'!$A$6</definedName>
    <definedName name="ндс" localSheetId="2">'[52]Исх'!$C$8</definedName>
    <definedName name="ндс" localSheetId="11">'[18]Исх'!$C$9</definedName>
    <definedName name="НДС" localSheetId="9">'[13]Перем. затраты'!$P$47</definedName>
    <definedName name="ндс" localSheetId="6">'[58]Исх'!$C$7</definedName>
    <definedName name="НДС" localSheetId="8">'ФОТ'!#REF!</definedName>
    <definedName name="ндс">'Исх'!$C$17</definedName>
    <definedName name="НДС_2003" localSheetId="9">'[13]Перем. затраты'!$P$48</definedName>
    <definedName name="НДС_2003" localSheetId="12">'[13]Перем. затраты'!$P$48</definedName>
    <definedName name="НДС_2003">'[4]Перем. затраты'!$P$48</definedName>
    <definedName name="НДС1" localSheetId="2">'[51]Исх'!$C$7</definedName>
    <definedName name="НДС1" localSheetId="11">'[17]Исх'!$C$7</definedName>
    <definedName name="НДС1" localSheetId="9">'[35]Исх'!$C$7</definedName>
    <definedName name="НДС1" localSheetId="6">'[65]Исх'!$C$7</definedName>
    <definedName name="НДС1">'[15]Исх'!$C$7</definedName>
    <definedName name="НДС2">'[4]Перем. затраты'!$P$47</definedName>
    <definedName name="недвижКонсал" localSheetId="0">#REF!</definedName>
    <definedName name="недвижКонсал" localSheetId="2">#REF!</definedName>
    <definedName name="недвижКонсал">#REF!</definedName>
    <definedName name="недвижКонсал2" localSheetId="0">#REF!</definedName>
    <definedName name="недвижКонсал2" localSheetId="2">#REF!</definedName>
    <definedName name="недвижКонсал2">#REF!</definedName>
    <definedName name="недвижКонсал3" localSheetId="0">#REF!</definedName>
    <definedName name="недвижКонсал3" localSheetId="2">#REF!</definedName>
    <definedName name="недвижКонсал3">#REF!</definedName>
    <definedName name="НПр" localSheetId="2">#REF!</definedName>
    <definedName name="НПр">#REF!</definedName>
    <definedName name="НПр1" localSheetId="2">#REF!</definedName>
    <definedName name="НПр1">#REF!</definedName>
    <definedName name="_xlnm.Print_Area" localSheetId="0">'1-Ф3'!$A$1:$AI$35</definedName>
    <definedName name="_xlnm.Print_Area" localSheetId="1">'2-ф2'!$A$1:$AI$27</definedName>
    <definedName name="_xlnm.Print_Area" localSheetId="2">'3-Баланс'!$A$1:$AI$26</definedName>
    <definedName name="_xlnm.Print_Area" localSheetId="10">'Инв'!$A$1:$Q$22</definedName>
    <definedName name="_xlnm.Print_Area" localSheetId="3">'Исх'!$A$1:$E$63</definedName>
    <definedName name="_xlnm.Print_Area" localSheetId="9">'кр'!$A$1:$DB$13</definedName>
    <definedName name="_xlnm.Print_Area" localSheetId="12">'Осн.пок-ли'!$A$1:$I$69</definedName>
    <definedName name="_xlnm.Print_Area" localSheetId="6">'Производство'!$A$1:$AI$8</definedName>
    <definedName name="_xlnm.Print_Area" localSheetId="8">'ФОТ'!$A$1:$L$25</definedName>
    <definedName name="обм" localSheetId="2">'3-Баланс'!#REF!</definedName>
    <definedName name="обм" localSheetId="11">'[16]ф2'!#REF!</definedName>
    <definedName name="обм" localSheetId="4">'2-ф2'!#REF!</definedName>
    <definedName name="обм" localSheetId="9">'[40]ф2'!#REF!</definedName>
    <definedName name="обм" localSheetId="7">'2-ф2'!#REF!</definedName>
    <definedName name="обм" localSheetId="6">'Производство'!#REF!</definedName>
    <definedName name="обм" localSheetId="5">'2-ф2'!#REF!</definedName>
    <definedName name="обм" localSheetId="8">'2-ф2'!#REF!</definedName>
    <definedName name="обм">'2-ф2'!#REF!</definedName>
    <definedName name="оборудование_ЖД" localSheetId="2">#REF!</definedName>
    <definedName name="оборудование_ЖД" localSheetId="4">#REF!</definedName>
    <definedName name="оборудование_ЖД" localSheetId="7">#REF!</definedName>
    <definedName name="оборудование_ЖД" localSheetId="6">#REF!</definedName>
    <definedName name="оборудование_ЖД" localSheetId="5">#REF!</definedName>
    <definedName name="оборудование_ЖД" localSheetId="8">#REF!</definedName>
    <definedName name="оборудование_ЖД">#REF!</definedName>
    <definedName name="общ" localSheetId="2">#REF!</definedName>
    <definedName name="общ" localSheetId="9">#REF!</definedName>
    <definedName name="общ" localSheetId="6">#REF!</definedName>
    <definedName name="общ">#REF!</definedName>
    <definedName name="объем">'[12]Осн. пара'!$C$6</definedName>
    <definedName name="объемгод">'[12]Осн. пара'!$C$7</definedName>
    <definedName name="ОС" localSheetId="2">'[54]ОС'!$D$27</definedName>
    <definedName name="ОС" localSheetId="9">'[41]ОС'!$D$27</definedName>
    <definedName name="ОС" localSheetId="6">'[67]ОС'!$D$27</definedName>
    <definedName name="ОС">'[24]ОС'!$D$27</definedName>
    <definedName name="отрасль">'[11]Б1'!$B$6</definedName>
    <definedName name="пер" localSheetId="2">#REF!</definedName>
    <definedName name="пер">#REF!</definedName>
    <definedName name="ПерЗ1" localSheetId="2">#REF!</definedName>
    <definedName name="ПерЗ1">#REF!</definedName>
    <definedName name="План_производства" localSheetId="2">#REF!</definedName>
    <definedName name="План_производства">#REF!</definedName>
    <definedName name="ПМ">'[4]Перем. затраты'!$K$3</definedName>
    <definedName name="подстанция" localSheetId="2">#REF!</definedName>
    <definedName name="подстанция" localSheetId="4">#REF!</definedName>
    <definedName name="подстанция" localSheetId="7">#REF!</definedName>
    <definedName name="подстанция" localSheetId="6">#REF!</definedName>
    <definedName name="подстанция" localSheetId="5">#REF!</definedName>
    <definedName name="подстанция" localSheetId="8">#REF!</definedName>
    <definedName name="подстанция">#REF!</definedName>
    <definedName name="Показатели" localSheetId="2">'[46]Главн'!$C$2</definedName>
    <definedName name="Показатели" localSheetId="9">'[32]Главн'!$C$2</definedName>
    <definedName name="Показатели" localSheetId="6">'[59]Главн'!$C$2</definedName>
    <definedName name="Показатели">'[21]Главн'!$C$2</definedName>
    <definedName name="пос" localSheetId="2">#REF!</definedName>
    <definedName name="пос">#REF!</definedName>
    <definedName name="ПОсД1" localSheetId="2">#REF!</definedName>
    <definedName name="ПОсД1">#REF!</definedName>
    <definedName name="пост" localSheetId="2">#REF!</definedName>
    <definedName name="пост">#REF!</definedName>
    <definedName name="ПостЗ1" localSheetId="2">#REF!</definedName>
    <definedName name="ПостЗ1">#REF!</definedName>
    <definedName name="приозернвй" localSheetId="0">#REF!</definedName>
    <definedName name="приозернвй" localSheetId="2">#REF!</definedName>
    <definedName name="приозернвй">#REF!</definedName>
    <definedName name="приозерный2" localSheetId="0">#REF!</definedName>
    <definedName name="приозерный2" localSheetId="2">#REF!</definedName>
    <definedName name="приозерный2">#REF!</definedName>
    <definedName name="приозерный3" localSheetId="0">#REF!</definedName>
    <definedName name="приозерный3" localSheetId="2">#REF!</definedName>
    <definedName name="приозерный3">#REF!</definedName>
    <definedName name="Проч" localSheetId="2">#REF!</definedName>
    <definedName name="Проч">#REF!</definedName>
    <definedName name="Проч1" localSheetId="2">#REF!</definedName>
    <definedName name="Проч1">#REF!</definedName>
    <definedName name="раб" localSheetId="2">'[56]Осн. пара'!$C$9</definedName>
    <definedName name="раб" localSheetId="9">'[43]Осн. пара'!$C$9</definedName>
    <definedName name="раб" localSheetId="6">'[69]Осн. пара'!$C$9</definedName>
    <definedName name="раб">'[30]Осн. пара'!$C$9</definedName>
    <definedName name="рас" localSheetId="2">'[54]Осн.показ'!$C$12</definedName>
    <definedName name="рас" localSheetId="9">'[41]Осн.показ'!$C$12</definedName>
    <definedName name="рас" localSheetId="6">'[67]Осн.показ'!$C$12</definedName>
    <definedName name="рас">'[24]Осн.показ'!$C$12</definedName>
    <definedName name="рбу" localSheetId="2">#REF!</definedName>
    <definedName name="рбу" localSheetId="4">#REF!</definedName>
    <definedName name="рбу" localSheetId="7">#REF!</definedName>
    <definedName name="рбу" localSheetId="6">#REF!</definedName>
    <definedName name="рбу" localSheetId="5">#REF!</definedName>
    <definedName name="рбу" localSheetId="8">#REF!</definedName>
    <definedName name="рбу">#REF!</definedName>
    <definedName name="рос" localSheetId="2">'[50]пост. пар.'!$C$8</definedName>
    <definedName name="рос" localSheetId="9">'[37]пост. пар.'!$C$8</definedName>
    <definedName name="рос" localSheetId="6">'[63]пост. пар.'!$C$8</definedName>
    <definedName name="рос">'[26]пост. пар.'!$C$8</definedName>
    <definedName name="руб" localSheetId="2">#REF!</definedName>
    <definedName name="руб" localSheetId="4">#REF!</definedName>
    <definedName name="руб" localSheetId="7">#REF!</definedName>
    <definedName name="руб" localSheetId="6">#REF!</definedName>
    <definedName name="руб" localSheetId="5">#REF!</definedName>
    <definedName name="руб" localSheetId="8">'ФОТ'!#REF!</definedName>
    <definedName name="руб">#REF!</definedName>
    <definedName name="себ" localSheetId="2">'3-Баланс'!#REF!</definedName>
    <definedName name="себ" localSheetId="11">'[16]ф2'!#REF!</definedName>
    <definedName name="себ" localSheetId="4">'2-ф2'!#REF!</definedName>
    <definedName name="себ" localSheetId="9">'[40]ф2'!#REF!</definedName>
    <definedName name="себ" localSheetId="7">'2-ф2'!#REF!</definedName>
    <definedName name="себ" localSheetId="6">'Производство'!#REF!</definedName>
    <definedName name="себ" localSheetId="5">'2-ф2'!#REF!</definedName>
    <definedName name="себ" localSheetId="8">'2-ф2'!#REF!</definedName>
    <definedName name="себ">'2-ф2'!#REF!</definedName>
    <definedName name="ситиПалас" localSheetId="0">#REF!</definedName>
    <definedName name="ситиПалас" localSheetId="2">#REF!</definedName>
    <definedName name="ситиПалас">#REF!</definedName>
    <definedName name="ситиПалас2" localSheetId="0">#REF!</definedName>
    <definedName name="ситиПалас2" localSheetId="2">#REF!</definedName>
    <definedName name="ситиПалас2">#REF!</definedName>
    <definedName name="ситиПалас3" localSheetId="0">#REF!</definedName>
    <definedName name="ситиПалас3" localSheetId="2">#REF!</definedName>
    <definedName name="ситиПалас3">#REF!</definedName>
    <definedName name="склад_продукции" localSheetId="2">#REF!</definedName>
    <definedName name="склад_продукции" localSheetId="4">#REF!</definedName>
    <definedName name="склад_продукции" localSheetId="7">#REF!</definedName>
    <definedName name="склад_продукции" localSheetId="6">#REF!</definedName>
    <definedName name="склад_продукции" localSheetId="5">#REF!</definedName>
    <definedName name="склад_продукции" localSheetId="8">#REF!</definedName>
    <definedName name="склад_продукции">#REF!</definedName>
    <definedName name="склад_цем" localSheetId="2">#REF!</definedName>
    <definedName name="склад_цем" localSheetId="4">#REF!</definedName>
    <definedName name="склад_цем" localSheetId="7">#REF!</definedName>
    <definedName name="склад_цем" localSheetId="6">#REF!</definedName>
    <definedName name="склад_цем" localSheetId="5">#REF!</definedName>
    <definedName name="склад_цем" localSheetId="8">#REF!</definedName>
    <definedName name="склад_цем">#REF!</definedName>
    <definedName name="соц1" localSheetId="2">'[46]Главн'!$D$48</definedName>
    <definedName name="соц1" localSheetId="9">'[32]Главн'!$D$48</definedName>
    <definedName name="соц1" localSheetId="6">'[59]Главн'!$D$48</definedName>
    <definedName name="соц1">'[21]Главн'!$D$48</definedName>
    <definedName name="соц2" localSheetId="2">'[46]Главн'!$E$48</definedName>
    <definedName name="соц2" localSheetId="9">'[32]Главн'!$E$48</definedName>
    <definedName name="соц2" localSheetId="6">'[59]Главн'!$E$48</definedName>
    <definedName name="соц2">'[21]Главн'!$E$48</definedName>
    <definedName name="соц3" localSheetId="2">'[46]Главн'!$F$48</definedName>
    <definedName name="соц3" localSheetId="9">'[32]Главн'!$F$48</definedName>
    <definedName name="соц3" localSheetId="6">'[59]Главн'!$F$48</definedName>
    <definedName name="соц3">'[21]Главн'!$F$48</definedName>
    <definedName name="соц4" localSheetId="2">'[46]Главн'!$G$48</definedName>
    <definedName name="соц4" localSheetId="9">'[32]Главн'!$G$48</definedName>
    <definedName name="соц4" localSheetId="6">'[59]Главн'!$G$48</definedName>
    <definedName name="соц4">'[21]Главн'!$G$48</definedName>
    <definedName name="соц5" localSheetId="2">'[46]Главн'!$H$48</definedName>
    <definedName name="соц5" localSheetId="9">'[32]Главн'!$H$48</definedName>
    <definedName name="соц5" localSheetId="6">'[59]Главн'!$H$48</definedName>
    <definedName name="соц5">'[21]Главн'!$H$48</definedName>
    <definedName name="спецодежда" localSheetId="2">#REF!</definedName>
    <definedName name="спецодежда" localSheetId="4">#REF!</definedName>
    <definedName name="спецодежда" localSheetId="7">#REF!</definedName>
    <definedName name="спецодежда" localSheetId="6">#REF!</definedName>
    <definedName name="спецодежда" localSheetId="5">#REF!</definedName>
    <definedName name="спецодежда" localSheetId="8">#REF!</definedName>
    <definedName name="спецодежда">#REF!</definedName>
    <definedName name="Срок_инвестиций1" localSheetId="2">'[46]Invest'!$I$7:$I$240</definedName>
    <definedName name="Срок_инвестиций1" localSheetId="9">'[32]Invest'!$I$7:$I$240</definedName>
    <definedName name="Срок_инвестиций1" localSheetId="6">'[59]Invest'!$I$7:$I$240</definedName>
    <definedName name="Срок_инвестиций1">'[21]Invest'!$I$7:$I$240</definedName>
    <definedName name="Срок_инвестиций2" localSheetId="2">'[46]Invest'!$M$7:$M$240</definedName>
    <definedName name="Срок_инвестиций2" localSheetId="9">'[32]Invest'!$M$7:$M$240</definedName>
    <definedName name="Срок_инвестиций2" localSheetId="6">'[59]Invest'!$M$7:$M$240</definedName>
    <definedName name="Срок_инвестиций2">'[21]Invest'!$M$7:$M$240</definedName>
    <definedName name="Срок_инвестиций3" localSheetId="2">'[46]Invest'!$Q$7:$Q$240</definedName>
    <definedName name="Срок_инвестиций3" localSheetId="9">'[32]Invest'!$Q$7:$Q$240</definedName>
    <definedName name="Срок_инвестиций3" localSheetId="6">'[59]Invest'!$Q$7:$Q$240</definedName>
    <definedName name="Срок_инвестиций3">'[21]Invest'!$Q$7:$Q$240</definedName>
    <definedName name="Срок_инвестиций4" localSheetId="2">'[46]Invest'!$U$7:$U$240</definedName>
    <definedName name="Срок_инвестиций4" localSheetId="9">'[32]Invest'!$U$7:$U$240</definedName>
    <definedName name="Срок_инвестиций4" localSheetId="6">'[59]Invest'!$U$7:$U$240</definedName>
    <definedName name="Срок_инвестиций4">'[21]Invest'!$U$7:$U$240</definedName>
    <definedName name="СрокПроекта" localSheetId="2">#REF!</definedName>
    <definedName name="СрокПроекта">#REF!</definedName>
    <definedName name="ст" localSheetId="2">'[57]Норм'!$F$9</definedName>
    <definedName name="ст" localSheetId="9">'[44]Норм'!$F$9</definedName>
    <definedName name="ст" localSheetId="6">'[70]Норм'!$F$9</definedName>
    <definedName name="ст">'[31]Норм'!$F$9</definedName>
    <definedName name="СтавкаПроцента1">'[8]L-1'!$B$6</definedName>
    <definedName name="стоимость_в_долларах" localSheetId="2">'[48]объекты обществаКокшетау'!#REF!</definedName>
    <definedName name="стоимость_в_долларах" localSheetId="4">'[23]объекты обществаКокшетау'!#REF!</definedName>
    <definedName name="стоимость_в_долларах" localSheetId="9">'[34]объекты обществаКокшетау'!#REF!</definedName>
    <definedName name="стоимость_в_долларах" localSheetId="7">'[23]объекты обществаКокшетау'!#REF!</definedName>
    <definedName name="стоимость_в_долларах" localSheetId="6">'[61]объекты обществаКокшетау'!#REF!</definedName>
    <definedName name="стоимость_в_долларах" localSheetId="5">'[23]объекты обществаКокшетау'!#REF!</definedName>
    <definedName name="стоимость_в_долларах" localSheetId="8">'[23]объекты обществаКокшетау'!#REF!</definedName>
    <definedName name="стоимость_в_долларах">'[23]объекты обществаКокшетау'!#REF!</definedName>
    <definedName name="Сумма_инвест1" localSheetId="2">'[46]Invest'!$H$7:$H$240</definedName>
    <definedName name="Сумма_инвест1" localSheetId="9">'[32]Invest'!$H$7:$H$240</definedName>
    <definedName name="Сумма_инвест1" localSheetId="6">'[59]Invest'!$H$7:$H$240</definedName>
    <definedName name="Сумма_инвест1">'[21]Invest'!$H$7:$H$240</definedName>
    <definedName name="Сумма_инвест2" localSheetId="2">'[46]Invest'!$L$7:$L$240</definedName>
    <definedName name="Сумма_инвест2" localSheetId="9">'[32]Invest'!$L$7:$L$240</definedName>
    <definedName name="Сумма_инвест2" localSheetId="6">'[59]Invest'!$L$7:$L$240</definedName>
    <definedName name="Сумма_инвест2">'[21]Invest'!$L$7:$L$240</definedName>
    <definedName name="Сумма_инвест3" localSheetId="2">'[46]Invest'!$P$7:$P$240</definedName>
    <definedName name="Сумма_инвест3" localSheetId="9">'[32]Invest'!$P$7:$P$240</definedName>
    <definedName name="Сумма_инвест3" localSheetId="6">'[59]Invest'!$P$7:$P$240</definedName>
    <definedName name="Сумма_инвест3">'[21]Invest'!$P$7:$P$240</definedName>
    <definedName name="Сумма_инвест4" localSheetId="2">'[46]Invest'!$T$7:$T$240</definedName>
    <definedName name="Сумма_инвест4" localSheetId="9">'[32]Invest'!$T$7:$T$240</definedName>
    <definedName name="Сумма_инвест4" localSheetId="6">'[59]Invest'!$T$7:$T$240</definedName>
    <definedName name="Сумма_инвест4">'[21]Invest'!$T$7:$T$240</definedName>
    <definedName name="СуммаКредита1">'[8]L-1'!$B$5</definedName>
    <definedName name="СчОпл" localSheetId="2">#REF!</definedName>
    <definedName name="СчОпл">#REF!</definedName>
    <definedName name="СчОпл1" localSheetId="2">#REF!</definedName>
    <definedName name="СчОпл1">#REF!</definedName>
    <definedName name="Сырье" localSheetId="2">#REF!</definedName>
    <definedName name="Сырье">#REF!</definedName>
    <definedName name="ТА1" localSheetId="2">#REF!</definedName>
    <definedName name="ТА1">#REF!</definedName>
    <definedName name="таблица_цен" localSheetId="2">'[53]константы'!$F$2:$G$30</definedName>
    <definedName name="таблица_цен" localSheetId="9">'[39]константы'!$F$2:$G$30</definedName>
    <definedName name="таблица_цен" localSheetId="6">'[66]константы'!$F$2:$G$30</definedName>
    <definedName name="таблица_цен">'[28]константы'!$F$2:$G$30</definedName>
    <definedName name="тг" localSheetId="2">#REF!</definedName>
    <definedName name="тг" localSheetId="4">#REF!</definedName>
    <definedName name="тг" localSheetId="7">#REF!</definedName>
    <definedName name="тг" localSheetId="6">#REF!</definedName>
    <definedName name="тг" localSheetId="5">#REF!</definedName>
    <definedName name="тг" localSheetId="8">'ФОТ'!#REF!</definedName>
    <definedName name="тг">#REF!</definedName>
    <definedName name="Тов" localSheetId="2">#REF!</definedName>
    <definedName name="Тов">#REF!</definedName>
    <definedName name="Тов1" localSheetId="2">#REF!</definedName>
    <definedName name="Тов1">#REF!</definedName>
    <definedName name="ТовРеал1" localSheetId="2">#REF!</definedName>
    <definedName name="ТовРеал1" localSheetId="4">#REF!</definedName>
    <definedName name="ТовРеал1" localSheetId="7">#REF!</definedName>
    <definedName name="ТовРеал1" localSheetId="6">#REF!</definedName>
    <definedName name="ТовРеал1" localSheetId="5">#REF!</definedName>
    <definedName name="ТовРеал1" localSheetId="8">#REF!</definedName>
    <definedName name="ТовРеал1">#REF!</definedName>
    <definedName name="убн96">'[10]Нетто3!!!'!$A$2</definedName>
    <definedName name="УК1" localSheetId="2">#REF!</definedName>
    <definedName name="УК1">#REF!</definedName>
    <definedName name="цен">'[5]Осн.показ'!$D$5</definedName>
    <definedName name="цен1" localSheetId="2">'[54]Осн.показ'!$C$6</definedName>
    <definedName name="цен1" localSheetId="9">'[41]Осн.показ'!$C$6</definedName>
    <definedName name="цен1" localSheetId="6">'[67]Осн.показ'!$C$6</definedName>
    <definedName name="цен1">'[24]Осн.показ'!$C$6</definedName>
    <definedName name="цена">'[12]Осн. пара'!$C$2</definedName>
    <definedName name="Цена_бобов" localSheetId="2">'[9]Дох'!#REF!</definedName>
    <definedName name="Цена_бобов" localSheetId="4">'[9]Дох'!#REF!</definedName>
    <definedName name="Цена_бобов" localSheetId="7">'[9]Дох'!#REF!</definedName>
    <definedName name="Цена_бобов" localSheetId="6">'[9]Дох'!#REF!</definedName>
    <definedName name="Цена_бобов" localSheetId="5">'[9]Дох'!#REF!</definedName>
    <definedName name="Цена_бобов" localSheetId="8">'[9]Дох'!#REF!</definedName>
    <definedName name="Цена_бобов">'[9]Дох'!#REF!</definedName>
    <definedName name="Цена_реал" localSheetId="2">#REF!</definedName>
    <definedName name="Цена_реал">#REF!</definedName>
    <definedName name="цена1">'[12]Осн. пара'!$C$13</definedName>
    <definedName name="цех_пби" localSheetId="2">#REF!</definedName>
    <definedName name="цех_пби" localSheetId="4">#REF!</definedName>
    <definedName name="цех_пби" localSheetId="7">#REF!</definedName>
    <definedName name="цех_пби" localSheetId="6">#REF!</definedName>
    <definedName name="цех_пби" localSheetId="5">#REF!</definedName>
    <definedName name="цех_пби" localSheetId="8">#REF!</definedName>
    <definedName name="цех_пби">#REF!</definedName>
    <definedName name="цр" localSheetId="2">#REF!</definedName>
    <definedName name="цр">#REF!</definedName>
  </definedNames>
  <calcPr fullCalcOnLoad="1"/>
</workbook>
</file>

<file path=xl/sharedStrings.xml><?xml version="1.0" encoding="utf-8"?>
<sst xmlns="http://schemas.openxmlformats.org/spreadsheetml/2006/main" count="533" uniqueCount="360">
  <si>
    <t>Итого</t>
  </si>
  <si>
    <t>Налог на имущество</t>
  </si>
  <si>
    <t xml:space="preserve">Наименование          </t>
  </si>
  <si>
    <t>Остаток денежных средств на начало отчетного периода</t>
  </si>
  <si>
    <t>Выбытие</t>
  </si>
  <si>
    <t xml:space="preserve">Поступление </t>
  </si>
  <si>
    <t xml:space="preserve">Выбытие </t>
  </si>
  <si>
    <t>Значение</t>
  </si>
  <si>
    <t>Период</t>
  </si>
  <si>
    <t>Операционная деятельность</t>
  </si>
  <si>
    <t>Вознаграждение</t>
  </si>
  <si>
    <t>начисление %</t>
  </si>
  <si>
    <t>Погашено ОД</t>
  </si>
  <si>
    <t>Погашено %</t>
  </si>
  <si>
    <t>Остаток ОД</t>
  </si>
  <si>
    <t>Валовая прибыль</t>
  </si>
  <si>
    <t xml:space="preserve">    Поступление</t>
  </si>
  <si>
    <t>Результат операционной деятельности</t>
  </si>
  <si>
    <t>Инвестиционная деятельность</t>
  </si>
  <si>
    <t xml:space="preserve">Приобретение ОС и НА </t>
  </si>
  <si>
    <t>Результат инвестиционной деятельности</t>
  </si>
  <si>
    <t>недостача избыток ден средств</t>
  </si>
  <si>
    <t>Финансовая деятельность</t>
  </si>
  <si>
    <t>Результат финансовой деятельности</t>
  </si>
  <si>
    <t>Чистые потоки денежных средств</t>
  </si>
  <si>
    <t>Расходы по процентам за кредиты</t>
  </si>
  <si>
    <t>Показатель</t>
  </si>
  <si>
    <t>Период окупаемости (дисконтированный)</t>
  </si>
  <si>
    <t>Сальдо по НДС</t>
  </si>
  <si>
    <t>Капитализ-я %</t>
  </si>
  <si>
    <t>Выплаты по дивидендам учредителям</t>
  </si>
  <si>
    <t>Выплата НДС</t>
  </si>
  <si>
    <t xml:space="preserve">Период окупаемости   </t>
  </si>
  <si>
    <t>№</t>
  </si>
  <si>
    <t>Должность</t>
  </si>
  <si>
    <t>Количество</t>
  </si>
  <si>
    <t>Исходные данные по проекту</t>
  </si>
  <si>
    <t>Ед. изм.</t>
  </si>
  <si>
    <t>НДС</t>
  </si>
  <si>
    <t>%</t>
  </si>
  <si>
    <t>без НДС</t>
  </si>
  <si>
    <t>Затраты</t>
  </si>
  <si>
    <t>ФОТ</t>
  </si>
  <si>
    <t>Канцтовары</t>
  </si>
  <si>
    <t>Прочие непредвиденные расходы</t>
  </si>
  <si>
    <t>Пенсионные отчисления</t>
  </si>
  <si>
    <t>Подоходный налог</t>
  </si>
  <si>
    <t>Социальные отчисления</t>
  </si>
  <si>
    <t>Социальный налог</t>
  </si>
  <si>
    <t>К выдаче</t>
  </si>
  <si>
    <t>Соц.отчисления</t>
  </si>
  <si>
    <t>Расчет НДС</t>
  </si>
  <si>
    <t>Проценты за кредит</t>
  </si>
  <si>
    <t>Остаток на конец отчетного периода</t>
  </si>
  <si>
    <t xml:space="preserve">Поступления по вкладам учредителей </t>
  </si>
  <si>
    <t>Ставка по кредиту</t>
  </si>
  <si>
    <t>max</t>
  </si>
  <si>
    <t>тыс.тг.</t>
  </si>
  <si>
    <t>Коэффициент НДС</t>
  </si>
  <si>
    <t>Net CF (all)</t>
  </si>
  <si>
    <t>CF before int. and loans</t>
  </si>
  <si>
    <t>CF inv</t>
  </si>
  <si>
    <t>NCF (Чистые денежные потоки)</t>
  </si>
  <si>
    <t>d NCF</t>
  </si>
  <si>
    <t>CCF</t>
  </si>
  <si>
    <t>dCCF</t>
  </si>
  <si>
    <t>PV (CCF)</t>
  </si>
  <si>
    <t>PV (CCF inv)</t>
  </si>
  <si>
    <t>NPV</t>
  </si>
  <si>
    <t>PI</t>
  </si>
  <si>
    <t>IRR</t>
  </si>
  <si>
    <t>Ставка дисконтирования</t>
  </si>
  <si>
    <t>Анализ безубыточности проекта</t>
  </si>
  <si>
    <t>Доля предельного дохода в выручке</t>
  </si>
  <si>
    <t>Запас финансовой устойчивости предприятия (%)</t>
  </si>
  <si>
    <t>Амортизация</t>
  </si>
  <si>
    <t>Кол-во периодов</t>
  </si>
  <si>
    <t>Страхование</t>
  </si>
  <si>
    <t>Стр-е гражданско-правовой ответ-ти работодателя</t>
  </si>
  <si>
    <t>Налоги (кроме налогов на ФЗП)</t>
  </si>
  <si>
    <t>Расчет амортизационных отчислений</t>
  </si>
  <si>
    <t>Норма амортизации</t>
  </si>
  <si>
    <t>Основные средства на начало</t>
  </si>
  <si>
    <t>Приход ОС</t>
  </si>
  <si>
    <t>Амортизационные отчисления, год</t>
  </si>
  <si>
    <t>Остаточная стоимость ОС</t>
  </si>
  <si>
    <t>Всего</t>
  </si>
  <si>
    <t>Балансовая прибыль</t>
  </si>
  <si>
    <t>Постоянные издержки</t>
  </si>
  <si>
    <t>Переменные издержки</t>
  </si>
  <si>
    <t>Сумма предельного дохода</t>
  </si>
  <si>
    <t>Предел безубыточности</t>
  </si>
  <si>
    <t>Адм.-управленческий персонал</t>
  </si>
  <si>
    <t>оклад</t>
  </si>
  <si>
    <t>Итого ЗП к начислению</t>
  </si>
  <si>
    <t>Статья доходов</t>
  </si>
  <si>
    <t>$ тыс.</t>
  </si>
  <si>
    <t>Освоение и погашение кредитных ресурсов, тыс.тг.</t>
  </si>
  <si>
    <t>Производственный персонал</t>
  </si>
  <si>
    <t>Обслуживающий персонал</t>
  </si>
  <si>
    <t>Курс доллар/тенге</t>
  </si>
  <si>
    <t>Безубыточность</t>
  </si>
  <si>
    <t>Заемные средства</t>
  </si>
  <si>
    <t>Оборудование</t>
  </si>
  <si>
    <t>Освоение</t>
  </si>
  <si>
    <t>Вспомогательный персонал</t>
  </si>
  <si>
    <t>Всего по персоналу</t>
  </si>
  <si>
    <t>Услуги связи</t>
  </si>
  <si>
    <t>Отчет о доходах и расходах</t>
  </si>
  <si>
    <t>год</t>
  </si>
  <si>
    <t>МЗП</t>
  </si>
  <si>
    <t>Баланс</t>
  </si>
  <si>
    <t>Активы</t>
  </si>
  <si>
    <t>Текущие активы</t>
  </si>
  <si>
    <t>Денежные средства</t>
  </si>
  <si>
    <t>Дебиторская задолженность</t>
  </si>
  <si>
    <t>Запасы</t>
  </si>
  <si>
    <t>Долгосрочные активы</t>
  </si>
  <si>
    <t>Основные средства</t>
  </si>
  <si>
    <t>Долгосрочная дебиторская задолженность</t>
  </si>
  <si>
    <t>Прочие долгосрочные активы</t>
  </si>
  <si>
    <t>Пассивы</t>
  </si>
  <si>
    <t>Краткосрочные обязательства</t>
  </si>
  <si>
    <t>Обязательства по налогам</t>
  </si>
  <si>
    <t>Краткосрочная кредиторская задолженность</t>
  </si>
  <si>
    <t>Обязательства по кредитам</t>
  </si>
  <si>
    <t>Прочие краткосрочные обязательства</t>
  </si>
  <si>
    <t>Долгосрочные обязательства</t>
  </si>
  <si>
    <t>Прочие долгосрочные обязательства</t>
  </si>
  <si>
    <t>Капитал</t>
  </si>
  <si>
    <t>Уставный капитал</t>
  </si>
  <si>
    <t>Прибыль</t>
  </si>
  <si>
    <t>проверочная строка</t>
  </si>
  <si>
    <t>Изменение ДТ</t>
  </si>
  <si>
    <t>Изменение запасов</t>
  </si>
  <si>
    <t>Изменение КТ</t>
  </si>
  <si>
    <t>Итого изменение оборотного капитала</t>
  </si>
  <si>
    <t>Кап.затраты</t>
  </si>
  <si>
    <t>Чистый денежный поток</t>
  </si>
  <si>
    <t>Единица расчетов</t>
  </si>
  <si>
    <t>Налоговые ставки</t>
  </si>
  <si>
    <t>Расчет заработной платы</t>
  </si>
  <si>
    <t>Расходы периода</t>
  </si>
  <si>
    <t>Административные расходы</t>
  </si>
  <si>
    <t>ЧДП по Ф3</t>
  </si>
  <si>
    <t>Постоянные расходы в месяц</t>
  </si>
  <si>
    <t>Общие</t>
  </si>
  <si>
    <t>Параметры кредита</t>
  </si>
  <si>
    <t>Срок кредита</t>
  </si>
  <si>
    <t>лет</t>
  </si>
  <si>
    <t>Льготный период по выплате ОД</t>
  </si>
  <si>
    <t>Льготный период по выплате %</t>
  </si>
  <si>
    <t>мес</t>
  </si>
  <si>
    <t>Сумма</t>
  </si>
  <si>
    <t>Кол-во</t>
  </si>
  <si>
    <t>Цена</t>
  </si>
  <si>
    <t>Курс рос.рубль/тенге</t>
  </si>
  <si>
    <t>Выплаты по кредитам</t>
  </si>
  <si>
    <t>Поступления по кредитам</t>
  </si>
  <si>
    <t>Прогноз движения денежных средств (Cash Flow)</t>
  </si>
  <si>
    <t>НДС к начислению</t>
  </si>
  <si>
    <t>НДС к зачету</t>
  </si>
  <si>
    <t>НДС к зачету по инвестициям</t>
  </si>
  <si>
    <t>Сальдо нарастающим итогом</t>
  </si>
  <si>
    <t>НДС к выплате</t>
  </si>
  <si>
    <t>Оборотный капитал</t>
  </si>
  <si>
    <t>Инвестиции в основной капитал</t>
  </si>
  <si>
    <t>Доля</t>
  </si>
  <si>
    <t>Валюта кредита</t>
  </si>
  <si>
    <t>тенге</t>
  </si>
  <si>
    <t>Процентная ставка, годовых</t>
  </si>
  <si>
    <t>Выплата процентов и основного долга</t>
  </si>
  <si>
    <t>ежемесячно</t>
  </si>
  <si>
    <t>равными долями</t>
  </si>
  <si>
    <t>Льготный период погашения процентов, мес.</t>
  </si>
  <si>
    <t>Льготный период погашения основного долга, мес.</t>
  </si>
  <si>
    <t>Внутренняя норма доходности (IRR)</t>
  </si>
  <si>
    <t>Чистая текущая стоимость (NPV), тыс.тг.</t>
  </si>
  <si>
    <t>Окупаемость проекта (простая), лет</t>
  </si>
  <si>
    <t>Окупаемость проекта (дисконтированная), лет</t>
  </si>
  <si>
    <t>Календарный план реализации проекта</t>
  </si>
  <si>
    <t>Решение вопроса финансирования</t>
  </si>
  <si>
    <t>Получение кредита</t>
  </si>
  <si>
    <t>Здания и сооружения</t>
  </si>
  <si>
    <t>Наименование</t>
  </si>
  <si>
    <t>Налоги и обязательные платежи от ФОТ</t>
  </si>
  <si>
    <t>Вид налога</t>
  </si>
  <si>
    <t>Сумма, тыс.тг.</t>
  </si>
  <si>
    <t>Техника</t>
  </si>
  <si>
    <t>май</t>
  </si>
  <si>
    <t>Продукция</t>
  </si>
  <si>
    <t>Производство</t>
  </si>
  <si>
    <t>ед.изм.</t>
  </si>
  <si>
    <t>Срок погашения, лет</t>
  </si>
  <si>
    <t>Источник финансирования, тыс.тг.</t>
  </si>
  <si>
    <t>Доля собственного участия</t>
  </si>
  <si>
    <t>Собственные средства</t>
  </si>
  <si>
    <t>Финансовые показатели проекта</t>
  </si>
  <si>
    <t>уровень инфляции</t>
  </si>
  <si>
    <t>согласно налог.режиму КХ</t>
  </si>
  <si>
    <t>ИПН</t>
  </si>
  <si>
    <t>Земельный налог</t>
  </si>
  <si>
    <t>2013 год</t>
  </si>
  <si>
    <t>2014 год</t>
  </si>
  <si>
    <t>2016 год</t>
  </si>
  <si>
    <t>Урожайность</t>
  </si>
  <si>
    <t>Цены</t>
  </si>
  <si>
    <t>Прочие налоги и сборы</t>
  </si>
  <si>
    <t>Адм.расходы</t>
  </si>
  <si>
    <t>Доход до налогов</t>
  </si>
  <si>
    <t>Прочие краткосрочные активы (биолог.активы)</t>
  </si>
  <si>
    <t>Основные показатели проекта</t>
  </si>
  <si>
    <t>Выручка, тыс.тг.</t>
  </si>
  <si>
    <t>Валовая прибыль, тыс.тг.</t>
  </si>
  <si>
    <t>Чистая прибыль, тыс.тг.</t>
  </si>
  <si>
    <t>Чистая рентабельность, %</t>
  </si>
  <si>
    <t>Чистый денежный поток (к изъятию), тыс.тг.</t>
  </si>
  <si>
    <t>Чистая прибыль</t>
  </si>
  <si>
    <t>Кумулятивная чистая прибыль</t>
  </si>
  <si>
    <t>Мероприятие</t>
  </si>
  <si>
    <t>Разработка бизнес-плана</t>
  </si>
  <si>
    <t>Обслуживание и ремонт с/техники</t>
  </si>
  <si>
    <t>Прочие ОС</t>
  </si>
  <si>
    <t>Первоначальные инвестиции</t>
  </si>
  <si>
    <t>от оборота</t>
  </si>
  <si>
    <t>Подоходный налог ИП</t>
  </si>
  <si>
    <t>Площади</t>
  </si>
  <si>
    <t>м2</t>
  </si>
  <si>
    <t>шт</t>
  </si>
  <si>
    <t>Расходы</t>
  </si>
  <si>
    <t>тенге/шт</t>
  </si>
  <si>
    <t>Электроэнергия</t>
  </si>
  <si>
    <t>Переменные расходы</t>
  </si>
  <si>
    <t>Ед.изм.</t>
  </si>
  <si>
    <t>Удобрения</t>
  </si>
  <si>
    <t xml:space="preserve"> </t>
  </si>
  <si>
    <t>Цена, тг.</t>
  </si>
  <si>
    <t>Сумма, тг.</t>
  </si>
  <si>
    <t>Аммиачная селитра</t>
  </si>
  <si>
    <t>кг</t>
  </si>
  <si>
    <t>тг./кг</t>
  </si>
  <si>
    <t>тг./л</t>
  </si>
  <si>
    <t>http://domisad-spb.ru/list/Udobrenija-stimuljatory-rosta/ammiachnaja-selitra-1kg-chudovo.html</t>
  </si>
  <si>
    <t>л</t>
  </si>
  <si>
    <t>Выплаты - для ДДС</t>
  </si>
  <si>
    <t>Расчет себестоимости</t>
  </si>
  <si>
    <t>Затраты на 1 м2 площади, тг.</t>
  </si>
  <si>
    <t>Производство продукции</t>
  </si>
  <si>
    <t>Индивидуальный предприниматель</t>
  </si>
  <si>
    <t>Постоянные расходы в год</t>
  </si>
  <si>
    <t>Услуги связи + интернет</t>
  </si>
  <si>
    <t>Хоз.нужды</t>
  </si>
  <si>
    <t>Ставка, значение</t>
  </si>
  <si>
    <t>Примечание</t>
  </si>
  <si>
    <t>Удобрения и хим.препараты</t>
  </si>
  <si>
    <t>Подоходный, соц.налог ИП</t>
  </si>
  <si>
    <t>% повышения пост.расходов</t>
  </si>
  <si>
    <t>Норма на 1 м2</t>
  </si>
  <si>
    <t>янв</t>
  </si>
  <si>
    <t>фев</t>
  </si>
  <si>
    <t>мар</t>
  </si>
  <si>
    <t>апр</t>
  </si>
  <si>
    <t>июн</t>
  </si>
  <si>
    <t>июл</t>
  </si>
  <si>
    <t>авг</t>
  </si>
  <si>
    <t>сен</t>
  </si>
  <si>
    <t>окт</t>
  </si>
  <si>
    <t>ноя</t>
  </si>
  <si>
    <t>дек</t>
  </si>
  <si>
    <t>Хим.препараты</t>
  </si>
  <si>
    <t>Инвестиции, тыс.тг.</t>
  </si>
  <si>
    <t>Индекс окупаемости инвестиций (PI)</t>
  </si>
  <si>
    <t>Планируемая производственная программа</t>
  </si>
  <si>
    <t>Величина налоговых поступлений за 7 лет, тыс.тг.</t>
  </si>
  <si>
    <t>Найм персонала</t>
  </si>
  <si>
    <t>Столовый виноград</t>
  </si>
  <si>
    <t>Винный виноград</t>
  </si>
  <si>
    <t>кг/куст</t>
  </si>
  <si>
    <t>http://weerkust.ru/archives/1087</t>
  </si>
  <si>
    <t>Размер участка</t>
  </si>
  <si>
    <t>Площадь для 1 куста</t>
  </si>
  <si>
    <t>http://semyaidom.ru/kak-vyirastit-vinograd/</t>
  </si>
  <si>
    <t>Кол-во кустов</t>
  </si>
  <si>
    <t>м2/шт</t>
  </si>
  <si>
    <t>га</t>
  </si>
  <si>
    <t>http://tiu.ru/p17330502-plastikovaya-setka-shpalera.html</t>
  </si>
  <si>
    <t>Пластиковая сетка (шпалера) с ячейкой 170*170 мм</t>
  </si>
  <si>
    <t>тенге/рулон</t>
  </si>
  <si>
    <t>м</t>
  </si>
  <si>
    <t>м/рулон</t>
  </si>
  <si>
    <t>размер рулона 2,0*500 м.</t>
  </si>
  <si>
    <t>Необходимое кол-во рулонов</t>
  </si>
  <si>
    <t>рулон</t>
  </si>
  <si>
    <t>Ширина междурядий</t>
  </si>
  <si>
    <t>Необходимо кол-во столбов</t>
  </si>
  <si>
    <t>Необходимо кол-во сетки</t>
  </si>
  <si>
    <t>Длина 1 рулона сетки</t>
  </si>
  <si>
    <t>Столб</t>
  </si>
  <si>
    <t>http://almaty.satu.kz/p408291-shpalery-sadovye-dlya.html</t>
  </si>
  <si>
    <t>http://vinogradna.ru/osnovnye-materialy-dlya-ustrojstva-shpalery.html</t>
  </si>
  <si>
    <t>Саженец столового винограда</t>
  </si>
  <si>
    <t>Саженец винного винограда</t>
  </si>
  <si>
    <t>http://uralsk.i-r.kz/offer-i-id-i-45966-i-sazhentsy-vinograda-kazahstan.html</t>
  </si>
  <si>
    <t>тенге/кг</t>
  </si>
  <si>
    <t>в т.ч. столовый виноград</t>
  </si>
  <si>
    <t xml:space="preserve">          винный виноград</t>
  </si>
  <si>
    <t>Двойной суперфосфат</t>
  </si>
  <si>
    <t>http://www.agroru.com/doska/dvojnoj-superfosfat-27407.htm</t>
  </si>
  <si>
    <t>гр/м2</t>
  </si>
  <si>
    <t>http://vinodelie-online.ru/udobrenie-vinogradnika/</t>
  </si>
  <si>
    <t>Сернокислый калий</t>
  </si>
  <si>
    <t>Калимагнезия</t>
  </si>
  <si>
    <t>http://gardenstar.ru/enciklopediya/udobreniya/kalimagneziya.html</t>
  </si>
  <si>
    <t>http://www.rutrav.ru/mineralnie-udobreniya/kaliienie-udobreniya/kalimagneziya</t>
  </si>
  <si>
    <t>http://www.mir-gazonov.ru/catalogue/manures/bhz/kalii_sernokislyi_ochischennyi_sulfat_kaliya-1.html</t>
  </si>
  <si>
    <t>Фозат, ВР (360г/л) глифосата кислоты</t>
  </si>
  <si>
    <t>http://www.planta-company.ru/katalog/internet-magazin/gerbicidy/fozat-vr-360g-l-glifosata</t>
  </si>
  <si>
    <t>http://www.agrotek-group.ru/herbicides/22-herbicides/148-fozat</t>
  </si>
  <si>
    <t>мл/м2</t>
  </si>
  <si>
    <t>Строби</t>
  </si>
  <si>
    <t>http://www.udobrenianata.ru/index.php?page=shop.product_details&amp;flypage=flypage.tpl&amp;product_id=327&amp;category_id=7&amp;option=com_virtuemart&amp;Itemid=1</t>
  </si>
  <si>
    <t>тг/кг</t>
  </si>
  <si>
    <t>http://www.vecherniyorenburg.ru/cat807/show15204/</t>
  </si>
  <si>
    <t>Децис-Профи</t>
  </si>
  <si>
    <t>http://zasoby.com.ua/plant/decis-ru.html</t>
  </si>
  <si>
    <t>http://www.agroserver.ru/b/detsis-profi-vodno-dispergiruemye-granuly-soderzhashhie-250-g-kg-227965.htm</t>
  </si>
  <si>
    <t>2 раза за сезон</t>
  </si>
  <si>
    <t>Кол-во винограда с 1 м2 площади, кг</t>
  </si>
  <si>
    <t>Производственная себест-ть, тг/кг</t>
  </si>
  <si>
    <t>Первый урожай - с 2016 года</t>
  </si>
  <si>
    <t>Расчет доходов</t>
  </si>
  <si>
    <t>в год</t>
  </si>
  <si>
    <t>Урож-ть</t>
  </si>
  <si>
    <t>Цена, тг/кг</t>
  </si>
  <si>
    <t>куст</t>
  </si>
  <si>
    <t>Работник виноградника</t>
  </si>
  <si>
    <t>9 месяцев работы (с марта по ноябрь)</t>
  </si>
  <si>
    <t>Ремонт</t>
  </si>
  <si>
    <t>Столбы</t>
  </si>
  <si>
    <t>Сетка</t>
  </si>
  <si>
    <t>Инвентарь</t>
  </si>
  <si>
    <t>сезонные - с марта по октябрь (8 мес)</t>
  </si>
  <si>
    <t>2015 год</t>
  </si>
  <si>
    <t>Показатели эффективности проекта (8 год)</t>
  </si>
  <si>
    <t>2021 год</t>
  </si>
  <si>
    <t>Сбор, кг</t>
  </si>
  <si>
    <t>Урожайность, кг/куст</t>
  </si>
  <si>
    <t>Площадь, га</t>
  </si>
  <si>
    <t>Кол-во кустов, шт</t>
  </si>
  <si>
    <t>Приобретение и установка шпалеры</t>
  </si>
  <si>
    <t>Закуп посадочного материала</t>
  </si>
  <si>
    <t>Посадка</t>
  </si>
  <si>
    <t>Получение первого урожая</t>
  </si>
  <si>
    <t>Уход за виноградом</t>
  </si>
  <si>
    <t>Выращивание винного винограда и столовых сортов винограда в виноградниках</t>
  </si>
  <si>
    <t>Доход от реализации продукции</t>
  </si>
  <si>
    <t>Себестоимость реализ. продукции</t>
  </si>
  <si>
    <t>Доход от реализации</t>
  </si>
  <si>
    <t>Полная себестоимость</t>
  </si>
  <si>
    <t>Тип погашения основного долга</t>
  </si>
</sst>
</file>

<file path=xl/styles.xml><?xml version="1.0" encoding="utf-8"?>
<styleSheet xmlns="http://schemas.openxmlformats.org/spreadsheetml/2006/main">
  <numFmts count="5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%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"/>
    <numFmt numFmtId="177" formatCode="#,##0.0"/>
    <numFmt numFmtId="178" formatCode="#,##0.0_ ;[Red]\-#,##0.0\ "/>
    <numFmt numFmtId="179" formatCode="&quot;\&quot;#,##0;[Red]&quot;\&quot;\-#,##0"/>
    <numFmt numFmtId="180" formatCode="&quot;\&quot;#,##0.00;[Red]&quot;\&quot;\-#,##0.00"/>
    <numFmt numFmtId="181" formatCode="&quot;See Note &quot;\ #"/>
    <numFmt numFmtId="182" formatCode="\$\ #,##0"/>
    <numFmt numFmtId="183" formatCode="_-* #,##0.00[$€]_-;\-* #,##0.00[$€]_-;_-* &quot;-&quot;??[$€]_-;_-@_-"/>
    <numFmt numFmtId="184" formatCode="#,##0.000_ ;[Red]\-#,##0.000\ "/>
    <numFmt numFmtId="185" formatCode="#,##0.000"/>
    <numFmt numFmtId="186" formatCode="0.0000"/>
    <numFmt numFmtId="187" formatCode="0.000"/>
    <numFmt numFmtId="188" formatCode="0.000%"/>
    <numFmt numFmtId="189" formatCode="0.0000%"/>
    <numFmt numFmtId="190" formatCode="0.00000"/>
    <numFmt numFmtId="191" formatCode="0.000000"/>
    <numFmt numFmtId="192" formatCode="_-* #,##0.000_р_._-;\-* #,##0.000_р_._-;_-* &quot;-&quot;??_р_._-;_-@_-"/>
    <numFmt numFmtId="193" formatCode="_-* #,##0.0_р_._-;\-* #,##0.0_р_._-;_-* &quot;-&quot;??_р_._-;_-@_-"/>
    <numFmt numFmtId="194" formatCode="_-* #,##0_р_._-;\-* #,##0_р_._-;_-* &quot;-&quot;??_р_._-;_-@_-"/>
    <numFmt numFmtId="195" formatCode="[$-FC19]d\ mmmm\ yyyy\ &quot;г.&quot;"/>
    <numFmt numFmtId="196" formatCode="[$-419]mmmm;@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"/>
    <numFmt numFmtId="202" formatCode="0.00000000"/>
    <numFmt numFmtId="203" formatCode="_-* #,##0.0000_р_._-;\-* #,##0.0000_р_._-;_-* &quot;-&quot;??_р_._-;_-@_-"/>
    <numFmt numFmtId="204" formatCode="_-* #,##0\ _€_-;\-* #,##0\ _€_-;_-* &quot;-&quot;??\ _€_-;_-@_-"/>
    <numFmt numFmtId="205" formatCode="_-* #,##0.00\ _€_-;\-* #,##0.00\ _€_-;_-* &quot;-&quot;??\ _€_-;_-@_-"/>
    <numFmt numFmtId="206" formatCode="[$-419]mmmm\ yyyy;@"/>
    <numFmt numFmtId="207" formatCode="0.0000000000"/>
    <numFmt numFmtId="208" formatCode="0.000000000"/>
    <numFmt numFmtId="209" formatCode="#,##0_ ;\-#,##0\ "/>
    <numFmt numFmtId="210" formatCode="#,##0.0_ ;\-#,##0.0\ "/>
    <numFmt numFmtId="211" formatCode="#,##0.0000"/>
    <numFmt numFmtId="212" formatCode="#,##0.00000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Helv"/>
      <family val="2"/>
    </font>
    <font>
      <b/>
      <sz val="8"/>
      <name val="Times New Roman"/>
      <family val="1"/>
    </font>
    <font>
      <sz val="10"/>
      <name val="ЏрЯмой Џроп"/>
      <family val="0"/>
    </font>
    <font>
      <sz val="8"/>
      <name val="Helv"/>
      <family val="2"/>
    </font>
    <font>
      <sz val="8"/>
      <name val="Times New Roman"/>
      <family val="1"/>
    </font>
    <font>
      <sz val="12"/>
      <name val="Times New Roman Cyr"/>
      <family val="0"/>
    </font>
    <font>
      <sz val="10"/>
      <name val="Geneva"/>
      <family val="0"/>
    </font>
    <font>
      <sz val="11"/>
      <name val="lr oSVbN"/>
      <family val="3"/>
    </font>
    <font>
      <sz val="8"/>
      <name val="Arial"/>
      <family val="2"/>
    </font>
    <font>
      <sz val="9"/>
      <color indexed="8"/>
      <name val="Futuris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3" tint="0.39998000860214233"/>
      <name val="Arial"/>
      <family val="2"/>
    </font>
    <font>
      <i/>
      <sz val="10"/>
      <color theme="0" tint="-0.4999699890613556"/>
      <name val="Arial"/>
      <family val="2"/>
    </font>
    <font>
      <sz val="10"/>
      <color theme="3" tint="0.39998000860214233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 vertical="top" wrapText="1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83" fontId="0" fillId="0" borderId="0" applyFont="0" applyFill="0" applyBorder="0" applyAlignment="0" applyProtection="0"/>
    <xf numFmtId="0" fontId="7" fillId="0" borderId="0">
      <alignment/>
      <protection/>
    </xf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8" fillId="0" borderId="0">
      <alignment/>
      <protection/>
    </xf>
    <xf numFmtId="181" fontId="9" fillId="0" borderId="0">
      <alignment horizontal="left"/>
      <protection/>
    </xf>
    <xf numFmtId="182" fontId="10" fillId="0" borderId="0">
      <alignment/>
      <protection/>
    </xf>
    <xf numFmtId="181" fontId="9" fillId="0" borderId="0">
      <alignment horizontal="left"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" fillId="0" borderId="0">
      <alignment/>
      <protection/>
    </xf>
    <xf numFmtId="0" fontId="60" fillId="0" borderId="0" applyNumberFormat="0" applyFill="0" applyBorder="0" applyAlignment="0" applyProtection="0"/>
    <xf numFmtId="0" fontId="1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3" fillId="0" borderId="0">
      <alignment/>
      <protection/>
    </xf>
    <xf numFmtId="180" fontId="13" fillId="0" borderId="0" applyFont="0" applyFill="0" applyBorder="0" applyAlignment="0" applyProtection="0"/>
    <xf numFmtId="179" fontId="13" fillId="0" borderId="0" applyFont="0" applyFill="0" applyBorder="0" applyAlignment="0" applyProtection="0"/>
  </cellStyleXfs>
  <cellXfs count="352">
    <xf numFmtId="0" fontId="0" fillId="0" borderId="0" xfId="0" applyAlignment="1">
      <alignment/>
    </xf>
    <xf numFmtId="0" fontId="16" fillId="0" borderId="0" xfId="70" applyFont="1" applyFill="1" applyBorder="1" applyAlignment="1">
      <alignment/>
      <protection/>
    </xf>
    <xf numFmtId="0" fontId="5" fillId="0" borderId="0" xfId="70" applyFont="1" applyFill="1" applyBorder="1">
      <alignment/>
      <protection/>
    </xf>
    <xf numFmtId="0" fontId="5" fillId="0" borderId="0" xfId="70" applyFont="1" applyFill="1" applyBorder="1" applyAlignment="1">
      <alignment horizontal="right"/>
      <protection/>
    </xf>
    <xf numFmtId="3" fontId="5" fillId="0" borderId="0" xfId="0" applyNumberFormat="1" applyFont="1" applyFill="1" applyBorder="1" applyAlignment="1">
      <alignment horizontal="center"/>
    </xf>
    <xf numFmtId="0" fontId="17" fillId="0" borderId="0" xfId="68" applyFont="1" applyFill="1" applyBorder="1" applyAlignment="1">
      <alignment horizontal="left"/>
      <protection/>
    </xf>
    <xf numFmtId="0" fontId="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 horizontal="center"/>
    </xf>
    <xf numFmtId="0" fontId="5" fillId="0" borderId="0" xfId="70" applyFont="1" applyFill="1" applyBorder="1" applyAlignment="1">
      <alignment/>
      <protection/>
    </xf>
    <xf numFmtId="0" fontId="16" fillId="0" borderId="0" xfId="70" applyFont="1" applyFill="1" applyBorder="1" applyAlignment="1">
      <alignment horizontal="center"/>
      <protection/>
    </xf>
    <xf numFmtId="0" fontId="18" fillId="0" borderId="0" xfId="70" applyFont="1" applyFill="1" applyBorder="1">
      <alignment/>
      <protection/>
    </xf>
    <xf numFmtId="14" fontId="5" fillId="0" borderId="0" xfId="70" applyNumberFormat="1" applyFont="1" applyFill="1" applyBorder="1">
      <alignment/>
      <protection/>
    </xf>
    <xf numFmtId="0" fontId="16" fillId="0" borderId="10" xfId="70" applyFont="1" applyFill="1" applyBorder="1" applyAlignment="1">
      <alignment horizontal="center" vertical="center" wrapText="1"/>
      <protection/>
    </xf>
    <xf numFmtId="0" fontId="5" fillId="0" borderId="10" xfId="70" applyFont="1" applyFill="1" applyBorder="1" applyAlignment="1">
      <alignment horizontal="center" vertical="center" wrapText="1"/>
      <protection/>
    </xf>
    <xf numFmtId="2" fontId="16" fillId="33" borderId="10" xfId="70" applyNumberFormat="1" applyFont="1" applyFill="1" applyBorder="1" applyAlignment="1">
      <alignment wrapText="1"/>
      <protection/>
    </xf>
    <xf numFmtId="3" fontId="16" fillId="33" borderId="10" xfId="70" applyNumberFormat="1" applyFont="1" applyFill="1" applyBorder="1" applyAlignment="1">
      <alignment horizontal="right" wrapText="1"/>
      <protection/>
    </xf>
    <xf numFmtId="0" fontId="16" fillId="33" borderId="10" xfId="70" applyFont="1" applyFill="1" applyBorder="1" applyAlignment="1">
      <alignment horizontal="left" wrapText="1"/>
      <protection/>
    </xf>
    <xf numFmtId="3" fontId="16" fillId="33" borderId="10" xfId="70" applyNumberFormat="1" applyFont="1" applyFill="1" applyBorder="1" applyAlignment="1">
      <alignment/>
      <protection/>
    </xf>
    <xf numFmtId="0" fontId="16" fillId="0" borderId="0" xfId="0" applyFont="1" applyFill="1" applyAlignment="1">
      <alignment/>
    </xf>
    <xf numFmtId="0" fontId="16" fillId="34" borderId="11" xfId="70" applyFont="1" applyFill="1" applyBorder="1" applyAlignment="1">
      <alignment vertical="center"/>
      <protection/>
    </xf>
    <xf numFmtId="0" fontId="16" fillId="34" borderId="12" xfId="70" applyFont="1" applyFill="1" applyBorder="1" applyAlignment="1">
      <alignment vertical="center"/>
      <protection/>
    </xf>
    <xf numFmtId="3" fontId="16" fillId="34" borderId="10" xfId="70" applyNumberFormat="1" applyFont="1" applyFill="1" applyBorder="1" applyAlignment="1">
      <alignment vertical="center"/>
      <protection/>
    </xf>
    <xf numFmtId="3" fontId="16" fillId="34" borderId="10" xfId="70" applyNumberFormat="1" applyFont="1" applyFill="1" applyBorder="1" applyAlignment="1">
      <alignment horizontal="right" vertical="center"/>
      <protection/>
    </xf>
    <xf numFmtId="0" fontId="16" fillId="0" borderId="10" xfId="70" applyFont="1" applyFill="1" applyBorder="1" applyAlignment="1">
      <alignment vertical="center" wrapText="1"/>
      <protection/>
    </xf>
    <xf numFmtId="3" fontId="16" fillId="0" borderId="10" xfId="70" applyNumberFormat="1" applyFont="1" applyFill="1" applyBorder="1" applyAlignment="1">
      <alignment horizontal="right" wrapText="1"/>
      <protection/>
    </xf>
    <xf numFmtId="0" fontId="5" fillId="0" borderId="10" xfId="70" applyFont="1" applyFill="1" applyBorder="1" applyAlignment="1">
      <alignment vertical="center" wrapText="1"/>
      <protection/>
    </xf>
    <xf numFmtId="3" fontId="5" fillId="0" borderId="10" xfId="70" applyNumberFormat="1" applyFont="1" applyFill="1" applyBorder="1" applyAlignment="1">
      <alignment horizontal="right"/>
      <protection/>
    </xf>
    <xf numFmtId="0" fontId="16" fillId="0" borderId="10" xfId="70" applyFont="1" applyFill="1" applyBorder="1" applyAlignment="1">
      <alignment horizontal="left" vertical="center" wrapText="1" indent="1"/>
      <protection/>
    </xf>
    <xf numFmtId="3" fontId="16" fillId="0" borderId="10" xfId="70" applyNumberFormat="1" applyFont="1" applyFill="1" applyBorder="1" applyAlignment="1">
      <alignment vertical="center" wrapText="1"/>
      <protection/>
    </xf>
    <xf numFmtId="9" fontId="16" fillId="0" borderId="10" xfId="70" applyNumberFormat="1" applyFont="1" applyFill="1" applyBorder="1" applyAlignment="1">
      <alignment horizontal="right" wrapText="1"/>
      <protection/>
    </xf>
    <xf numFmtId="3" fontId="5" fillId="0" borderId="10" xfId="70" applyNumberFormat="1" applyFont="1" applyFill="1" applyBorder="1" applyAlignment="1">
      <alignment horizontal="right" wrapText="1"/>
      <protection/>
    </xf>
    <xf numFmtId="0" fontId="16" fillId="33" borderId="10" xfId="70" applyFont="1" applyFill="1" applyBorder="1" applyAlignment="1">
      <alignment vertical="center" wrapText="1"/>
      <protection/>
    </xf>
    <xf numFmtId="3" fontId="16" fillId="34" borderId="10" xfId="70" applyNumberFormat="1" applyFont="1" applyFill="1" applyBorder="1" applyAlignment="1">
      <alignment horizontal="right" wrapText="1"/>
      <protection/>
    </xf>
    <xf numFmtId="3" fontId="16" fillId="0" borderId="10" xfId="70" applyNumberFormat="1" applyFont="1" applyFill="1" applyBorder="1" applyAlignment="1">
      <alignment horizontal="right"/>
      <protection/>
    </xf>
    <xf numFmtId="0" fontId="5" fillId="0" borderId="10" xfId="70" applyFont="1" applyFill="1" applyBorder="1" applyAlignment="1">
      <alignment wrapText="1"/>
      <protection/>
    </xf>
    <xf numFmtId="0" fontId="16" fillId="33" borderId="10" xfId="70" applyFont="1" applyFill="1" applyBorder="1" applyAlignment="1">
      <alignment wrapText="1"/>
      <protection/>
    </xf>
    <xf numFmtId="1" fontId="19" fillId="0" borderId="11" xfId="70" applyNumberFormat="1" applyFont="1" applyFill="1" applyBorder="1" applyAlignment="1">
      <alignment wrapText="1"/>
      <protection/>
    </xf>
    <xf numFmtId="3" fontId="20" fillId="0" borderId="10" xfId="70" applyNumberFormat="1" applyFont="1" applyFill="1" applyBorder="1" applyAlignment="1">
      <alignment horizontal="right" wrapText="1"/>
      <protection/>
    </xf>
    <xf numFmtId="3" fontId="19" fillId="0" borderId="10" xfId="70" applyNumberFormat="1" applyFont="1" applyFill="1" applyBorder="1" applyAlignment="1">
      <alignment horizontal="right" wrapText="1"/>
      <protection/>
    </xf>
    <xf numFmtId="1" fontId="20" fillId="0" borderId="0" xfId="0" applyNumberFormat="1" applyFont="1" applyFill="1" applyAlignment="1">
      <alignment/>
    </xf>
    <xf numFmtId="0" fontId="5" fillId="0" borderId="10" xfId="70" applyFont="1" applyFill="1" applyBorder="1" applyAlignment="1">
      <alignment vertical="center"/>
      <protection/>
    </xf>
    <xf numFmtId="3" fontId="5" fillId="0" borderId="10" xfId="0" applyNumberFormat="1" applyFont="1" applyFill="1" applyBorder="1" applyAlignment="1">
      <alignment horizontal="right"/>
    </xf>
    <xf numFmtId="172" fontId="5" fillId="0" borderId="11" xfId="64" applyNumberFormat="1" applyFont="1" applyFill="1" applyBorder="1" applyAlignment="1">
      <alignment vertical="center" wrapText="1"/>
      <protection/>
    </xf>
    <xf numFmtId="172" fontId="5" fillId="0" borderId="10" xfId="64" applyNumberFormat="1" applyFont="1" applyFill="1" applyBorder="1" applyAlignment="1">
      <alignment horizontal="right" vertical="center" wrapText="1"/>
      <protection/>
    </xf>
    <xf numFmtId="0" fontId="5" fillId="0" borderId="0" xfId="68" applyFont="1" applyFill="1">
      <alignment/>
      <protection/>
    </xf>
    <xf numFmtId="0" fontId="16" fillId="0" borderId="10" xfId="70" applyFont="1" applyFill="1" applyBorder="1" applyAlignment="1">
      <alignment vertical="center"/>
      <protection/>
    </xf>
    <xf numFmtId="3" fontId="16" fillId="35" borderId="10" xfId="70" applyNumberFormat="1" applyFont="1" applyFill="1" applyBorder="1" applyAlignment="1">
      <alignment horizontal="right" wrapText="1"/>
      <protection/>
    </xf>
    <xf numFmtId="172" fontId="16" fillId="0" borderId="10" xfId="70" applyNumberFormat="1" applyFont="1" applyFill="1" applyBorder="1" applyAlignment="1">
      <alignment horizontal="right" vertical="center"/>
      <protection/>
    </xf>
    <xf numFmtId="172" fontId="16" fillId="0" borderId="10" xfId="70" applyNumberFormat="1" applyFont="1" applyFill="1" applyBorder="1" applyAlignment="1">
      <alignment horizontal="right" wrapText="1"/>
      <protection/>
    </xf>
    <xf numFmtId="0" fontId="5" fillId="0" borderId="0" xfId="0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177" fontId="16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33" borderId="0" xfId="0" applyFont="1" applyFill="1" applyBorder="1" applyAlignment="1">
      <alignment horizontal="center"/>
    </xf>
    <xf numFmtId="3" fontId="62" fillId="0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3" fontId="5" fillId="34" borderId="0" xfId="0" applyNumberFormat="1" applyFont="1" applyFill="1" applyBorder="1" applyAlignment="1">
      <alignment/>
    </xf>
    <xf numFmtId="0" fontId="5" fillId="36" borderId="0" xfId="0" applyFont="1" applyFill="1" applyBorder="1" applyAlignment="1">
      <alignment/>
    </xf>
    <xf numFmtId="3" fontId="5" fillId="36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9" fontId="16" fillId="0" borderId="0" xfId="0" applyNumberFormat="1" applyFont="1" applyFill="1" applyBorder="1" applyAlignment="1">
      <alignment/>
    </xf>
    <xf numFmtId="0" fontId="5" fillId="0" borderId="0" xfId="66" applyFont="1">
      <alignment/>
      <protection/>
    </xf>
    <xf numFmtId="0" fontId="5" fillId="0" borderId="0" xfId="0" applyFont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9" fontId="5" fillId="33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/>
    </xf>
    <xf numFmtId="0" fontId="16" fillId="0" borderId="0" xfId="70" applyFont="1" applyFill="1" applyBorder="1" applyAlignment="1">
      <alignment horizontal="left" wrapText="1" shrinkToFit="1"/>
      <protection/>
    </xf>
    <xf numFmtId="0" fontId="5" fillId="0" borderId="0" xfId="70" applyFont="1" applyFill="1" applyBorder="1" applyAlignment="1">
      <alignment wrapText="1" shrinkToFit="1"/>
      <protection/>
    </xf>
    <xf numFmtId="0" fontId="16" fillId="0" borderId="0" xfId="70" applyFont="1" applyFill="1" applyBorder="1" applyAlignment="1">
      <alignment wrapText="1" shrinkToFit="1"/>
      <protection/>
    </xf>
    <xf numFmtId="0" fontId="63" fillId="0" borderId="0" xfId="70" applyNumberFormat="1" applyFont="1" applyFill="1" applyBorder="1" applyAlignment="1">
      <alignment horizontal="left"/>
      <protection/>
    </xf>
    <xf numFmtId="9" fontId="63" fillId="0" borderId="0" xfId="70" applyNumberFormat="1" applyFont="1" applyFill="1" applyBorder="1" applyAlignment="1">
      <alignment wrapText="1" shrinkToFit="1"/>
      <protection/>
    </xf>
    <xf numFmtId="0" fontId="16" fillId="34" borderId="10" xfId="70" applyFont="1" applyFill="1" applyBorder="1" applyAlignment="1">
      <alignment horizontal="center" vertical="center" wrapText="1" shrinkToFit="1"/>
      <protection/>
    </xf>
    <xf numFmtId="0" fontId="16" fillId="34" borderId="13" xfId="70" applyFont="1" applyFill="1" applyBorder="1" applyAlignment="1">
      <alignment horizontal="center" vertical="center" wrapText="1" shrinkToFit="1"/>
      <protection/>
    </xf>
    <xf numFmtId="172" fontId="16" fillId="34" borderId="10" xfId="70" applyNumberFormat="1" applyFont="1" applyFill="1" applyBorder="1" applyAlignment="1">
      <alignment horizontal="center" vertical="center" wrapText="1" shrinkToFit="1"/>
      <protection/>
    </xf>
    <xf numFmtId="0" fontId="16" fillId="34" borderId="14" xfId="70" applyFont="1" applyFill="1" applyBorder="1" applyAlignment="1">
      <alignment horizontal="center" vertical="center" wrapText="1" shrinkToFit="1"/>
      <protection/>
    </xf>
    <xf numFmtId="3" fontId="5" fillId="34" borderId="10" xfId="70" applyNumberFormat="1" applyFont="1" applyFill="1" applyBorder="1" applyAlignment="1">
      <alignment horizontal="center" vertical="center" wrapText="1" shrinkToFit="1"/>
      <protection/>
    </xf>
    <xf numFmtId="0" fontId="16" fillId="0" borderId="11" xfId="70" applyFont="1" applyFill="1" applyBorder="1" applyAlignment="1">
      <alignment horizontal="left" vertical="top" wrapText="1" shrinkToFit="1"/>
      <protection/>
    </xf>
    <xf numFmtId="3" fontId="16" fillId="0" borderId="10" xfId="70" applyNumberFormat="1" applyFont="1" applyFill="1" applyBorder="1" applyAlignment="1">
      <alignment horizontal="center" vertical="center"/>
      <protection/>
    </xf>
    <xf numFmtId="3" fontId="16" fillId="0" borderId="14" xfId="70" applyNumberFormat="1" applyFont="1" applyFill="1" applyBorder="1" applyAlignment="1">
      <alignment horizontal="center" vertical="center"/>
      <protection/>
    </xf>
    <xf numFmtId="172" fontId="16" fillId="0" borderId="0" xfId="70" applyNumberFormat="1" applyFont="1" applyFill="1" applyBorder="1" applyAlignment="1" applyProtection="1">
      <alignment wrapText="1" shrinkToFit="1"/>
      <protection locked="0"/>
    </xf>
    <xf numFmtId="0" fontId="5" fillId="0" borderId="11" xfId="70" applyFont="1" applyFill="1" applyBorder="1" applyAlignment="1">
      <alignment horizontal="left" vertical="top" wrapText="1" indent="3" shrinkToFit="1"/>
      <protection/>
    </xf>
    <xf numFmtId="3" fontId="5" fillId="0" borderId="14" xfId="70" applyNumberFormat="1" applyFont="1" applyFill="1" applyBorder="1" applyAlignment="1">
      <alignment horizontal="center" vertical="center"/>
      <protection/>
    </xf>
    <xf numFmtId="3" fontId="16" fillId="0" borderId="14" xfId="70" applyNumberFormat="1" applyFont="1" applyFill="1" applyBorder="1" applyAlignment="1">
      <alignment horizontal="center" vertical="top"/>
      <protection/>
    </xf>
    <xf numFmtId="0" fontId="5" fillId="0" borderId="11" xfId="70" applyFont="1" applyFill="1" applyBorder="1" applyAlignment="1">
      <alignment horizontal="left" vertical="top" wrapText="1" shrinkToFit="1"/>
      <protection/>
    </xf>
    <xf numFmtId="172" fontId="16" fillId="0" borderId="10" xfId="70" applyNumberFormat="1" applyFont="1" applyFill="1" applyBorder="1" applyAlignment="1">
      <alignment horizontal="center" vertical="top"/>
      <protection/>
    </xf>
    <xf numFmtId="172" fontId="16" fillId="0" borderId="14" xfId="70" applyNumberFormat="1" applyFont="1" applyFill="1" applyBorder="1" applyAlignment="1">
      <alignment horizontal="center" vertical="top"/>
      <protection/>
    </xf>
    <xf numFmtId="0" fontId="5" fillId="0" borderId="0" xfId="70" applyFont="1" applyFill="1" applyBorder="1" applyAlignment="1">
      <alignment horizontal="left" vertical="top" wrapText="1" shrinkToFit="1"/>
      <protection/>
    </xf>
    <xf numFmtId="0" fontId="5" fillId="0" borderId="0" xfId="70" applyFont="1" applyFill="1" applyBorder="1" applyAlignment="1">
      <alignment horizontal="left" vertical="top"/>
      <protection/>
    </xf>
    <xf numFmtId="0" fontId="21" fillId="0" borderId="0" xfId="70" applyFont="1" applyFill="1" applyBorder="1" applyAlignment="1">
      <alignment wrapText="1" shrinkToFit="1"/>
      <protection/>
    </xf>
    <xf numFmtId="0" fontId="16" fillId="34" borderId="13" xfId="70" applyFont="1" applyFill="1" applyBorder="1" applyAlignment="1">
      <alignment horizontal="center" vertical="center"/>
      <protection/>
    </xf>
    <xf numFmtId="172" fontId="16" fillId="34" borderId="12" xfId="70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 wrapText="1" shrinkToFit="1"/>
    </xf>
    <xf numFmtId="0" fontId="5" fillId="0" borderId="0" xfId="0" applyFont="1" applyAlignment="1">
      <alignment vertical="center" wrapText="1" shrinkToFit="1"/>
    </xf>
    <xf numFmtId="0" fontId="16" fillId="34" borderId="10" xfId="70" applyFont="1" applyFill="1" applyBorder="1" applyAlignment="1">
      <alignment horizontal="right" vertical="center"/>
      <protection/>
    </xf>
    <xf numFmtId="3" fontId="5" fillId="34" borderId="10" xfId="70" applyNumberFormat="1" applyFont="1" applyFill="1" applyBorder="1" applyAlignment="1">
      <alignment horizontal="center" vertical="center"/>
      <protection/>
    </xf>
    <xf numFmtId="0" fontId="16" fillId="34" borderId="10" xfId="70" applyFont="1" applyFill="1" applyBorder="1" applyAlignment="1">
      <alignment horizontal="center" vertical="center"/>
      <protection/>
    </xf>
    <xf numFmtId="172" fontId="5" fillId="0" borderId="10" xfId="67" applyNumberFormat="1" applyFont="1" applyBorder="1" applyAlignment="1">
      <alignment vertical="center" wrapText="1" shrinkToFit="1"/>
      <protection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172" fontId="64" fillId="0" borderId="0" xfId="70" applyNumberFormat="1" applyFont="1" applyFill="1" applyBorder="1" applyAlignment="1">
      <alignment wrapText="1" shrinkToFit="1"/>
      <protection/>
    </xf>
    <xf numFmtId="0" fontId="16" fillId="0" borderId="0" xfId="71" applyFont="1" applyFill="1" applyBorder="1" applyAlignment="1">
      <alignment horizontal="left" wrapText="1" shrinkToFit="1"/>
      <protection/>
    </xf>
    <xf numFmtId="0" fontId="5" fillId="0" borderId="0" xfId="71" applyFont="1" applyFill="1" applyBorder="1" applyAlignment="1">
      <alignment wrapText="1" shrinkToFit="1"/>
      <protection/>
    </xf>
    <xf numFmtId="3" fontId="5" fillId="0" borderId="0" xfId="71" applyNumberFormat="1" applyFont="1" applyFill="1" applyBorder="1" applyAlignment="1">
      <alignment wrapText="1" shrinkToFit="1"/>
      <protection/>
    </xf>
    <xf numFmtId="0" fontId="16" fillId="34" borderId="10" xfId="71" applyFont="1" applyFill="1" applyBorder="1" applyAlignment="1">
      <alignment horizontal="center" vertical="center"/>
      <protection/>
    </xf>
    <xf numFmtId="0" fontId="16" fillId="34" borderId="13" xfId="71" applyFont="1" applyFill="1" applyBorder="1" applyAlignment="1">
      <alignment horizontal="center" vertical="center"/>
      <protection/>
    </xf>
    <xf numFmtId="172" fontId="16" fillId="34" borderId="10" xfId="71" applyNumberFormat="1" applyFont="1" applyFill="1" applyBorder="1" applyAlignment="1">
      <alignment horizontal="center" vertical="center"/>
      <protection/>
    </xf>
    <xf numFmtId="0" fontId="16" fillId="34" borderId="14" xfId="71" applyFont="1" applyFill="1" applyBorder="1" applyAlignment="1">
      <alignment horizontal="center" vertical="center"/>
      <protection/>
    </xf>
    <xf numFmtId="3" fontId="5" fillId="34" borderId="10" xfId="71" applyNumberFormat="1" applyFont="1" applyFill="1" applyBorder="1" applyAlignment="1">
      <alignment horizontal="center" vertical="center"/>
      <protection/>
    </xf>
    <xf numFmtId="0" fontId="16" fillId="0" borderId="11" xfId="71" applyFont="1" applyFill="1" applyBorder="1" applyAlignment="1">
      <alignment horizontal="left" vertical="top" wrapText="1" shrinkToFit="1"/>
      <protection/>
    </xf>
    <xf numFmtId="3" fontId="16" fillId="0" borderId="10" xfId="71" applyNumberFormat="1" applyFont="1" applyFill="1" applyBorder="1" applyAlignment="1">
      <alignment horizontal="center" vertical="center"/>
      <protection/>
    </xf>
    <xf numFmtId="3" fontId="16" fillId="0" borderId="14" xfId="71" applyNumberFormat="1" applyFont="1" applyFill="1" applyBorder="1" applyAlignment="1">
      <alignment horizontal="center" vertical="center"/>
      <protection/>
    </xf>
    <xf numFmtId="172" fontId="16" fillId="0" borderId="0" xfId="71" applyNumberFormat="1" applyFont="1" applyFill="1" applyBorder="1" applyAlignment="1" applyProtection="1">
      <alignment wrapText="1" shrinkToFit="1"/>
      <protection locked="0"/>
    </xf>
    <xf numFmtId="0" fontId="16" fillId="0" borderId="0" xfId="71" applyFont="1" applyFill="1" applyBorder="1" applyAlignment="1">
      <alignment wrapText="1" shrinkToFit="1"/>
      <protection/>
    </xf>
    <xf numFmtId="0" fontId="5" fillId="0" borderId="11" xfId="71" applyFont="1" applyFill="1" applyBorder="1" applyAlignment="1">
      <alignment horizontal="left" vertical="top" wrapText="1" indent="1" shrinkToFit="1"/>
      <protection/>
    </xf>
    <xf numFmtId="3" fontId="5" fillId="0" borderId="14" xfId="71" applyNumberFormat="1" applyFont="1" applyFill="1" applyBorder="1" applyAlignment="1">
      <alignment horizontal="center" vertical="center"/>
      <protection/>
    </xf>
    <xf numFmtId="3" fontId="5" fillId="0" borderId="10" xfId="71" applyNumberFormat="1" applyFont="1" applyFill="1" applyBorder="1" applyAlignment="1">
      <alignment horizontal="center" vertical="center"/>
      <protection/>
    </xf>
    <xf numFmtId="0" fontId="5" fillId="0" borderId="0" xfId="71" applyFont="1" applyFill="1" applyBorder="1" applyAlignment="1">
      <alignment horizontal="left" vertical="top" wrapText="1" shrinkToFit="1"/>
      <protection/>
    </xf>
    <xf numFmtId="0" fontId="5" fillId="0" borderId="0" xfId="71" applyFont="1" applyFill="1" applyBorder="1" applyAlignment="1">
      <alignment horizontal="left" vertical="top"/>
      <protection/>
    </xf>
    <xf numFmtId="0" fontId="17" fillId="0" borderId="15" xfId="71" applyFont="1" applyFill="1" applyBorder="1" applyAlignment="1">
      <alignment wrapText="1" shrinkToFit="1"/>
      <protection/>
    </xf>
    <xf numFmtId="0" fontId="5" fillId="0" borderId="15" xfId="71" applyFont="1" applyFill="1" applyBorder="1" applyAlignment="1">
      <alignment wrapText="1" shrinkToFit="1"/>
      <protection/>
    </xf>
    <xf numFmtId="4" fontId="5" fillId="0" borderId="15" xfId="71" applyNumberFormat="1" applyFont="1" applyFill="1" applyBorder="1" applyAlignment="1">
      <alignment wrapText="1" shrinkToFit="1"/>
      <protection/>
    </xf>
    <xf numFmtId="3" fontId="5" fillId="0" borderId="15" xfId="71" applyNumberFormat="1" applyFont="1" applyFill="1" applyBorder="1" applyAlignment="1">
      <alignment wrapText="1" shrinkToFit="1"/>
      <protection/>
    </xf>
    <xf numFmtId="0" fontId="16" fillId="0" borderId="0" xfId="0" applyFont="1" applyAlignment="1">
      <alignment horizontal="center"/>
    </xf>
    <xf numFmtId="0" fontId="16" fillId="34" borderId="10" xfId="0" applyFont="1" applyFill="1" applyBorder="1" applyAlignment="1">
      <alignment/>
    </xf>
    <xf numFmtId="0" fontId="16" fillId="34" borderId="10" xfId="0" applyFont="1" applyFill="1" applyBorder="1" applyAlignment="1">
      <alignment horizontal="center"/>
    </xf>
    <xf numFmtId="0" fontId="16" fillId="37" borderId="10" xfId="0" applyFont="1" applyFill="1" applyBorder="1" applyAlignment="1">
      <alignment/>
    </xf>
    <xf numFmtId="3" fontId="16" fillId="37" borderId="1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 shrinkToFit="1"/>
    </xf>
    <xf numFmtId="0" fontId="16" fillId="37" borderId="10" xfId="0" applyFont="1" applyFill="1" applyBorder="1" applyAlignment="1">
      <alignment horizontal="left" vertical="center" wrapText="1" shrinkToFit="1"/>
    </xf>
    <xf numFmtId="3" fontId="5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left" vertical="center" wrapText="1" shrinkToFit="1"/>
    </xf>
    <xf numFmtId="3" fontId="16" fillId="38" borderId="10" xfId="0" applyNumberFormat="1" applyFont="1" applyFill="1" applyBorder="1" applyAlignment="1">
      <alignment/>
    </xf>
    <xf numFmtId="9" fontId="5" fillId="0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5" fillId="0" borderId="10" xfId="0" applyFont="1" applyBorder="1" applyAlignment="1">
      <alignment wrapText="1"/>
    </xf>
    <xf numFmtId="3" fontId="16" fillId="34" borderId="10" xfId="0" applyNumberFormat="1" applyFont="1" applyFill="1" applyBorder="1" applyAlignment="1">
      <alignment/>
    </xf>
    <xf numFmtId="177" fontId="5" fillId="0" borderId="0" xfId="0" applyNumberFormat="1" applyFont="1" applyAlignment="1">
      <alignment/>
    </xf>
    <xf numFmtId="173" fontId="5" fillId="33" borderId="10" xfId="76" applyNumberFormat="1" applyFont="1" applyFill="1" applyBorder="1" applyAlignment="1">
      <alignment/>
    </xf>
    <xf numFmtId="177" fontId="5" fillId="0" borderId="10" xfId="0" applyNumberFormat="1" applyFont="1" applyBorder="1" applyAlignment="1">
      <alignment/>
    </xf>
    <xf numFmtId="209" fontId="5" fillId="0" borderId="0" xfId="0" applyNumberFormat="1" applyFont="1" applyAlignment="1">
      <alignment/>
    </xf>
    <xf numFmtId="173" fontId="5" fillId="0" borderId="10" xfId="76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9" fontId="5" fillId="0" borderId="10" xfId="76" applyFont="1" applyFill="1" applyBorder="1" applyAlignment="1">
      <alignment/>
    </xf>
    <xf numFmtId="194" fontId="5" fillId="0" borderId="10" xfId="82" applyNumberFormat="1" applyFont="1" applyBorder="1" applyAlignment="1">
      <alignment/>
    </xf>
    <xf numFmtId="9" fontId="5" fillId="33" borderId="10" xfId="76" applyFont="1" applyFill="1" applyBorder="1" applyAlignment="1">
      <alignment/>
    </xf>
    <xf numFmtId="0" fontId="5" fillId="0" borderId="0" xfId="65" applyFont="1" applyFill="1" applyProtection="1">
      <alignment/>
      <protection locked="0"/>
    </xf>
    <xf numFmtId="0" fontId="16" fillId="0" borderId="0" xfId="65" applyFont="1" applyFill="1" applyProtection="1">
      <alignment/>
      <protection locked="0"/>
    </xf>
    <xf numFmtId="9" fontId="17" fillId="0" borderId="0" xfId="65" applyNumberFormat="1" applyFont="1" applyFill="1" applyProtection="1">
      <alignment/>
      <protection locked="0"/>
    </xf>
    <xf numFmtId="172" fontId="5" fillId="0" borderId="0" xfId="65" applyNumberFormat="1" applyFont="1" applyFill="1" applyProtection="1">
      <alignment/>
      <protection locked="0"/>
    </xf>
    <xf numFmtId="172" fontId="17" fillId="0" borderId="0" xfId="65" applyNumberFormat="1" applyFont="1" applyFill="1" applyProtection="1">
      <alignment/>
      <protection locked="0"/>
    </xf>
    <xf numFmtId="9" fontId="16" fillId="0" borderId="0" xfId="65" applyNumberFormat="1" applyFont="1" applyFill="1" applyProtection="1">
      <alignment/>
      <protection locked="0"/>
    </xf>
    <xf numFmtId="0" fontId="21" fillId="0" borderId="0" xfId="65" applyFont="1" applyFill="1" applyProtection="1">
      <alignment/>
      <protection locked="0"/>
    </xf>
    <xf numFmtId="0" fontId="5" fillId="0" borderId="10" xfId="65" applyFont="1" applyFill="1" applyBorder="1" applyAlignment="1" applyProtection="1">
      <alignment vertical="top"/>
      <protection locked="0"/>
    </xf>
    <xf numFmtId="0" fontId="5" fillId="0" borderId="10" xfId="69" applyFont="1" applyFill="1" applyBorder="1" applyAlignment="1">
      <alignment horizontal="left" vertical="center" wrapText="1"/>
      <protection/>
    </xf>
    <xf numFmtId="0" fontId="16" fillId="0" borderId="10" xfId="69" applyFont="1" applyFill="1" applyBorder="1" applyAlignment="1">
      <alignment horizontal="center" vertical="center"/>
      <protection/>
    </xf>
    <xf numFmtId="0" fontId="5" fillId="0" borderId="10" xfId="71" applyFont="1" applyFill="1" applyBorder="1" applyAlignment="1">
      <alignment horizontal="center" vertical="center"/>
      <protection/>
    </xf>
    <xf numFmtId="0" fontId="16" fillId="0" borderId="10" xfId="71" applyFont="1" applyFill="1" applyBorder="1" applyAlignment="1">
      <alignment horizontal="center" vertical="center"/>
      <protection/>
    </xf>
    <xf numFmtId="0" fontId="5" fillId="0" borderId="0" xfId="65" applyFont="1" applyFill="1" applyAlignment="1" applyProtection="1">
      <alignment horizontal="center"/>
      <protection locked="0"/>
    </xf>
    <xf numFmtId="172" fontId="5" fillId="0" borderId="10" xfId="69" applyNumberFormat="1" applyFont="1" applyFill="1" applyBorder="1" applyAlignment="1">
      <alignment horizontal="right" vertical="center"/>
      <protection/>
    </xf>
    <xf numFmtId="172" fontId="5" fillId="0" borderId="10" xfId="65" applyNumberFormat="1" applyFont="1" applyFill="1" applyBorder="1" applyAlignment="1" applyProtection="1">
      <alignment/>
      <protection locked="0"/>
    </xf>
    <xf numFmtId="172" fontId="16" fillId="0" borderId="10" xfId="65" applyNumberFormat="1" applyFont="1" applyFill="1" applyBorder="1" applyAlignment="1" applyProtection="1">
      <alignment/>
      <protection locked="0"/>
    </xf>
    <xf numFmtId="0" fontId="5" fillId="0" borderId="0" xfId="65" applyFont="1" applyFill="1" applyAlignment="1" applyProtection="1">
      <alignment/>
      <protection locked="0"/>
    </xf>
    <xf numFmtId="0" fontId="5" fillId="0" borderId="0" xfId="65" applyFont="1" applyFill="1" applyAlignment="1" applyProtection="1">
      <alignment vertical="center"/>
      <protection locked="0"/>
    </xf>
    <xf numFmtId="0" fontId="5" fillId="36" borderId="10" xfId="69" applyFont="1" applyFill="1" applyBorder="1" applyAlignment="1">
      <alignment horizontal="left" vertical="center" wrapText="1" indent="2"/>
      <protection/>
    </xf>
    <xf numFmtId="172" fontId="5" fillId="39" borderId="10" xfId="65" applyNumberFormat="1" applyFont="1" applyFill="1" applyBorder="1" applyAlignment="1" applyProtection="1">
      <alignment/>
      <protection locked="0"/>
    </xf>
    <xf numFmtId="172" fontId="5" fillId="0" borderId="0" xfId="65" applyNumberFormat="1" applyFont="1" applyFill="1" applyAlignment="1" applyProtection="1">
      <alignment/>
      <protection locked="0"/>
    </xf>
    <xf numFmtId="172" fontId="64" fillId="0" borderId="0" xfId="65" applyNumberFormat="1" applyFont="1" applyFill="1" applyProtection="1">
      <alignment/>
      <protection locked="0"/>
    </xf>
    <xf numFmtId="3" fontId="5" fillId="0" borderId="0" xfId="0" applyNumberFormat="1" applyFont="1" applyAlignment="1">
      <alignment/>
    </xf>
    <xf numFmtId="210" fontId="5" fillId="0" borderId="0" xfId="0" applyNumberFormat="1" applyFont="1" applyAlignment="1">
      <alignment/>
    </xf>
    <xf numFmtId="1" fontId="5" fillId="34" borderId="14" xfId="70" applyNumberFormat="1" applyFont="1" applyFill="1" applyBorder="1" applyAlignment="1">
      <alignment horizontal="center" vertical="center" wrapText="1" shrinkToFit="1"/>
      <protection/>
    </xf>
    <xf numFmtId="0" fontId="16" fillId="37" borderId="10" xfId="0" applyFont="1" applyFill="1" applyBorder="1" applyAlignment="1">
      <alignment horizontal="left"/>
    </xf>
    <xf numFmtId="3" fontId="16" fillId="37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3" fontId="16" fillId="0" borderId="0" xfId="0" applyNumberFormat="1" applyFont="1" applyAlignment="1">
      <alignment/>
    </xf>
    <xf numFmtId="0" fontId="16" fillId="0" borderId="15" xfId="0" applyFont="1" applyBorder="1" applyAlignment="1">
      <alignment horizontal="center"/>
    </xf>
    <xf numFmtId="0" fontId="22" fillId="0" borderId="10" xfId="0" applyFont="1" applyBorder="1" applyAlignment="1">
      <alignment horizontal="justify" vertical="top" wrapText="1"/>
    </xf>
    <xf numFmtId="3" fontId="5" fillId="0" borderId="10" xfId="0" applyNumberFormat="1" applyFont="1" applyBorder="1" applyAlignment="1">
      <alignment horizontal="right"/>
    </xf>
    <xf numFmtId="3" fontId="22" fillId="0" borderId="10" xfId="0" applyNumberFormat="1" applyFont="1" applyFill="1" applyBorder="1" applyAlignment="1">
      <alignment horizontal="right" vertical="top" wrapText="1"/>
    </xf>
    <xf numFmtId="3" fontId="22" fillId="0" borderId="10" xfId="0" applyNumberFormat="1" applyFont="1" applyBorder="1" applyAlignment="1">
      <alignment horizontal="right" vertical="top" wrapText="1"/>
    </xf>
    <xf numFmtId="187" fontId="22" fillId="0" borderId="10" xfId="0" applyNumberFormat="1" applyFont="1" applyBorder="1" applyAlignment="1">
      <alignment horizontal="right" vertical="top" wrapText="1"/>
    </xf>
    <xf numFmtId="0" fontId="23" fillId="0" borderId="10" xfId="0" applyFont="1" applyBorder="1" applyAlignment="1">
      <alignment horizontal="justify" vertical="top" wrapText="1"/>
    </xf>
    <xf numFmtId="9" fontId="23" fillId="0" borderId="10" xfId="0" applyNumberFormat="1" applyFont="1" applyBorder="1" applyAlignment="1">
      <alignment horizontal="right" vertical="top" wrapText="1"/>
    </xf>
    <xf numFmtId="9" fontId="22" fillId="0" borderId="10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16" fillId="2" borderId="10" xfId="0" applyFont="1" applyFill="1" applyBorder="1" applyAlignment="1">
      <alignment/>
    </xf>
    <xf numFmtId="3" fontId="16" fillId="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3" fontId="5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1" fillId="0" borderId="0" xfId="53" applyAlignment="1" applyProtection="1">
      <alignment/>
      <protection/>
    </xf>
    <xf numFmtId="3" fontId="5" fillId="0" borderId="10" xfId="0" applyNumberFormat="1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177" fontId="5" fillId="35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0" fontId="44" fillId="0" borderId="0" xfId="71" applyFont="1" applyFill="1" applyBorder="1" applyAlignment="1">
      <alignment/>
      <protection/>
    </xf>
    <xf numFmtId="0" fontId="16" fillId="0" borderId="0" xfId="71" applyFont="1" applyFill="1" applyBorder="1" applyAlignment="1">
      <alignment horizontal="left"/>
      <protection/>
    </xf>
    <xf numFmtId="0" fontId="5" fillId="0" borderId="0" xfId="71" applyFont="1" applyFill="1" applyBorder="1" applyAlignment="1">
      <alignment/>
      <protection/>
    </xf>
    <xf numFmtId="0" fontId="16" fillId="0" borderId="0" xfId="71" applyFont="1" applyFill="1" applyBorder="1" applyAlignment="1">
      <alignment/>
      <protection/>
    </xf>
    <xf numFmtId="0" fontId="16" fillId="0" borderId="0" xfId="0" applyFont="1" applyAlignment="1">
      <alignment/>
    </xf>
    <xf numFmtId="0" fontId="5" fillId="0" borderId="0" xfId="71" applyFont="1" applyFill="1" applyBorder="1" applyAlignment="1">
      <alignment horizontal="center"/>
      <protection/>
    </xf>
    <xf numFmtId="4" fontId="5" fillId="0" borderId="0" xfId="71" applyNumberFormat="1" applyFont="1" applyFill="1" applyBorder="1" applyAlignment="1">
      <alignment wrapText="1" shrinkToFit="1"/>
      <protection/>
    </xf>
    <xf numFmtId="0" fontId="5" fillId="0" borderId="10" xfId="0" applyFont="1" applyBorder="1" applyAlignment="1">
      <alignment horizontal="left" wrapText="1"/>
    </xf>
    <xf numFmtId="173" fontId="5" fillId="33" borderId="10" xfId="0" applyNumberFormat="1" applyFont="1" applyFill="1" applyBorder="1" applyAlignment="1">
      <alignment/>
    </xf>
    <xf numFmtId="0" fontId="5" fillId="0" borderId="10" xfId="71" applyFont="1" applyFill="1" applyBorder="1" applyAlignment="1">
      <alignment horizontal="left" vertical="top"/>
      <protection/>
    </xf>
    <xf numFmtId="3" fontId="14" fillId="0" borderId="0" xfId="0" applyNumberFormat="1" applyFont="1" applyAlignment="1">
      <alignment/>
    </xf>
    <xf numFmtId="0" fontId="65" fillId="0" borderId="0" xfId="66" applyFont="1" applyAlignment="1">
      <alignment vertical="center"/>
      <protection/>
    </xf>
    <xf numFmtId="0" fontId="65" fillId="0" borderId="0" xfId="66" applyFont="1" applyAlignment="1">
      <alignment horizontal="right" vertical="center"/>
      <protection/>
    </xf>
    <xf numFmtId="0" fontId="65" fillId="0" borderId="0" xfId="66" applyFont="1">
      <alignment/>
      <protection/>
    </xf>
    <xf numFmtId="0" fontId="66" fillId="2" borderId="11" xfId="67" applyFont="1" applyFill="1" applyBorder="1" applyAlignment="1">
      <alignment vertical="center"/>
      <protection/>
    </xf>
    <xf numFmtId="3" fontId="66" fillId="2" borderId="10" xfId="67" applyNumberFormat="1" applyFont="1" applyFill="1" applyBorder="1" applyAlignment="1">
      <alignment horizontal="center" vertical="center"/>
      <protection/>
    </xf>
    <xf numFmtId="0" fontId="65" fillId="0" borderId="10" xfId="66" applyFont="1" applyBorder="1" applyAlignment="1">
      <alignment vertical="center"/>
      <protection/>
    </xf>
    <xf numFmtId="3" fontId="65" fillId="0" borderId="10" xfId="66" applyNumberFormat="1" applyFont="1" applyFill="1" applyBorder="1" applyAlignment="1">
      <alignment horizontal="right" vertical="center"/>
      <protection/>
    </xf>
    <xf numFmtId="0" fontId="66" fillId="0" borderId="10" xfId="66" applyFont="1" applyBorder="1" applyAlignment="1">
      <alignment vertical="center"/>
      <protection/>
    </xf>
    <xf numFmtId="3" fontId="66" fillId="0" borderId="10" xfId="66" applyNumberFormat="1" applyFont="1" applyFill="1" applyBorder="1" applyAlignment="1">
      <alignment horizontal="right" vertical="center"/>
      <protection/>
    </xf>
    <xf numFmtId="0" fontId="65" fillId="0" borderId="0" xfId="66" applyFont="1" applyBorder="1" applyAlignment="1">
      <alignment vertical="center"/>
      <protection/>
    </xf>
    <xf numFmtId="3" fontId="65" fillId="0" borderId="0" xfId="66" applyNumberFormat="1" applyFont="1" applyBorder="1" applyAlignment="1">
      <alignment horizontal="right" vertical="center"/>
      <protection/>
    </xf>
    <xf numFmtId="9" fontId="65" fillId="0" borderId="10" xfId="66" applyNumberFormat="1" applyFont="1" applyFill="1" applyBorder="1" applyAlignment="1">
      <alignment horizontal="right" vertical="center"/>
      <protection/>
    </xf>
    <xf numFmtId="9" fontId="66" fillId="0" borderId="10" xfId="66" applyNumberFormat="1" applyFont="1" applyFill="1" applyBorder="1" applyAlignment="1">
      <alignment horizontal="right" vertical="center"/>
      <protection/>
    </xf>
    <xf numFmtId="0" fontId="65" fillId="0" borderId="0" xfId="66" applyFont="1" applyBorder="1" applyAlignment="1">
      <alignment horizontal="left" vertical="center"/>
      <protection/>
    </xf>
    <xf numFmtId="0" fontId="65" fillId="0" borderId="0" xfId="66" applyFont="1" applyBorder="1" applyAlignment="1">
      <alignment horizontal="right" vertical="center"/>
      <protection/>
    </xf>
    <xf numFmtId="177" fontId="65" fillId="0" borderId="10" xfId="66" applyNumberFormat="1" applyFont="1" applyFill="1" applyBorder="1" applyAlignment="1">
      <alignment horizontal="right" vertical="center"/>
      <protection/>
    </xf>
    <xf numFmtId="0" fontId="66" fillId="0" borderId="0" xfId="66" applyFont="1" applyAlignment="1">
      <alignment vertical="center"/>
      <protection/>
    </xf>
    <xf numFmtId="0" fontId="65" fillId="0" borderId="10" xfId="66" applyFont="1" applyBorder="1" applyAlignment="1">
      <alignment vertical="center" wrapText="1"/>
      <protection/>
    </xf>
    <xf numFmtId="3" fontId="65" fillId="2" borderId="10" xfId="66" applyNumberFormat="1" applyFont="1" applyFill="1" applyBorder="1" applyAlignment="1">
      <alignment horizontal="right" vertical="center"/>
      <protection/>
    </xf>
    <xf numFmtId="0" fontId="66" fillId="2" borderId="10" xfId="66" applyFont="1" applyFill="1" applyBorder="1" applyAlignment="1">
      <alignment vertical="center"/>
      <protection/>
    </xf>
    <xf numFmtId="3" fontId="66" fillId="2" borderId="10" xfId="66" applyNumberFormat="1" applyFont="1" applyFill="1" applyBorder="1" applyAlignment="1">
      <alignment horizontal="right" vertical="center"/>
      <protection/>
    </xf>
    <xf numFmtId="9" fontId="66" fillId="2" borderId="10" xfId="66" applyNumberFormat="1" applyFont="1" applyFill="1" applyBorder="1" applyAlignment="1">
      <alignment horizontal="right" vertical="center"/>
      <protection/>
    </xf>
    <xf numFmtId="3" fontId="5" fillId="0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/>
    </xf>
    <xf numFmtId="177" fontId="5" fillId="0" borderId="10" xfId="0" applyNumberFormat="1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 vertical="center"/>
    </xf>
    <xf numFmtId="0" fontId="5" fillId="0" borderId="10" xfId="66" applyFont="1" applyBorder="1" applyAlignment="1">
      <alignment vertical="center"/>
      <protection/>
    </xf>
    <xf numFmtId="0" fontId="16" fillId="0" borderId="10" xfId="66" applyFont="1" applyBorder="1" applyAlignment="1">
      <alignment vertical="center"/>
      <protection/>
    </xf>
    <xf numFmtId="0" fontId="66" fillId="2" borderId="16" xfId="67" applyFont="1" applyFill="1" applyBorder="1" applyAlignment="1">
      <alignment vertical="center"/>
      <protection/>
    </xf>
    <xf numFmtId="3" fontId="66" fillId="2" borderId="13" xfId="67" applyNumberFormat="1" applyFont="1" applyFill="1" applyBorder="1" applyAlignment="1">
      <alignment horizontal="center" vertical="center"/>
      <protection/>
    </xf>
    <xf numFmtId="0" fontId="65" fillId="0" borderId="14" xfId="66" applyFont="1" applyBorder="1" applyAlignment="1">
      <alignment vertical="center"/>
      <protection/>
    </xf>
    <xf numFmtId="3" fontId="65" fillId="0" borderId="14" xfId="66" applyNumberFormat="1" applyFont="1" applyFill="1" applyBorder="1" applyAlignment="1">
      <alignment horizontal="right" vertical="center"/>
      <protection/>
    </xf>
    <xf numFmtId="0" fontId="66" fillId="0" borderId="11" xfId="66" applyFont="1" applyBorder="1" applyAlignment="1">
      <alignment vertical="center"/>
      <protection/>
    </xf>
    <xf numFmtId="3" fontId="65" fillId="0" borderId="17" xfId="66" applyNumberFormat="1" applyFont="1" applyFill="1" applyBorder="1" applyAlignment="1">
      <alignment horizontal="right" vertical="center"/>
      <protection/>
    </xf>
    <xf numFmtId="0" fontId="65" fillId="0" borderId="17" xfId="66" applyFont="1" applyBorder="1">
      <alignment/>
      <protection/>
    </xf>
    <xf numFmtId="0" fontId="65" fillId="0" borderId="12" xfId="66" applyFont="1" applyBorder="1">
      <alignment/>
      <protection/>
    </xf>
    <xf numFmtId="177" fontId="16" fillId="0" borderId="0" xfId="0" applyNumberFormat="1" applyFont="1" applyAlignment="1">
      <alignment/>
    </xf>
    <xf numFmtId="0" fontId="5" fillId="0" borderId="0" xfId="66" applyFont="1" applyFill="1">
      <alignment/>
      <protection/>
    </xf>
    <xf numFmtId="0" fontId="16" fillId="2" borderId="10" xfId="0" applyFont="1" applyFill="1" applyBorder="1" applyAlignment="1">
      <alignment horizontal="center" vertical="center" wrapText="1"/>
    </xf>
    <xf numFmtId="177" fontId="5" fillId="35" borderId="10" xfId="0" applyNumberFormat="1" applyFont="1" applyFill="1" applyBorder="1" applyAlignment="1">
      <alignment vertical="center"/>
    </xf>
    <xf numFmtId="0" fontId="16" fillId="2" borderId="10" xfId="0" applyFont="1" applyFill="1" applyBorder="1" applyAlignment="1">
      <alignment vertical="center"/>
    </xf>
    <xf numFmtId="177" fontId="16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/>
    </xf>
    <xf numFmtId="0" fontId="16" fillId="0" borderId="10" xfId="0" applyFont="1" applyBorder="1" applyAlignment="1">
      <alignment horizontal="center"/>
    </xf>
    <xf numFmtId="0" fontId="16" fillId="3" borderId="10" xfId="0" applyFont="1" applyFill="1" applyBorder="1" applyAlignment="1">
      <alignment/>
    </xf>
    <xf numFmtId="0" fontId="16" fillId="3" borderId="10" xfId="0" applyFont="1" applyFill="1" applyBorder="1" applyAlignment="1">
      <alignment horizontal="center"/>
    </xf>
    <xf numFmtId="177" fontId="16" fillId="3" borderId="10" xfId="0" applyNumberFormat="1" applyFont="1" applyFill="1" applyBorder="1" applyAlignment="1">
      <alignment horizontal="center"/>
    </xf>
    <xf numFmtId="3" fontId="16" fillId="3" borderId="10" xfId="0" applyNumberFormat="1" applyFont="1" applyFill="1" applyBorder="1" applyAlignment="1">
      <alignment horizontal="center" vertical="center"/>
    </xf>
    <xf numFmtId="3" fontId="16" fillId="3" borderId="10" xfId="0" applyNumberFormat="1" applyFont="1" applyFill="1" applyBorder="1" applyAlignment="1">
      <alignment/>
    </xf>
    <xf numFmtId="177" fontId="5" fillId="0" borderId="10" xfId="0" applyNumberFormat="1" applyFont="1" applyFill="1" applyBorder="1" applyAlignment="1">
      <alignment vertical="center"/>
    </xf>
    <xf numFmtId="176" fontId="16" fillId="3" borderId="10" xfId="0" applyNumberFormat="1" applyFont="1" applyFill="1" applyBorder="1" applyAlignment="1">
      <alignment horizontal="right"/>
    </xf>
    <xf numFmtId="0" fontId="16" fillId="0" borderId="0" xfId="65" applyFont="1" applyFill="1" applyBorder="1" applyProtection="1">
      <alignment/>
      <protection locked="0"/>
    </xf>
    <xf numFmtId="3" fontId="5" fillId="0" borderId="0" xfId="65" applyNumberFormat="1" applyFont="1" applyFill="1" applyBorder="1" applyAlignment="1" applyProtection="1">
      <alignment horizontal="center"/>
      <protection locked="0"/>
    </xf>
    <xf numFmtId="173" fontId="17" fillId="0" borderId="10" xfId="65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17" fillId="0" borderId="0" xfId="0" applyFont="1" applyAlignment="1">
      <alignment horizontal="right"/>
    </xf>
    <xf numFmtId="9" fontId="17" fillId="35" borderId="10" xfId="0" applyNumberFormat="1" applyFont="1" applyFill="1" applyBorder="1" applyAlignment="1">
      <alignment/>
    </xf>
    <xf numFmtId="0" fontId="5" fillId="0" borderId="0" xfId="70" applyFont="1" applyFill="1" applyBorder="1" applyAlignment="1">
      <alignment horizontal="right" vertical="top"/>
      <protection/>
    </xf>
    <xf numFmtId="0" fontId="66" fillId="2" borderId="13" xfId="67" applyFont="1" applyFill="1" applyBorder="1" applyAlignment="1">
      <alignment horizontal="left" vertical="center"/>
      <protection/>
    </xf>
    <xf numFmtId="9" fontId="65" fillId="2" borderId="10" xfId="66" applyNumberFormat="1" applyFont="1" applyFill="1" applyBorder="1" applyAlignment="1">
      <alignment horizontal="right" vertical="center"/>
      <protection/>
    </xf>
    <xf numFmtId="0" fontId="1" fillId="0" borderId="0" xfId="53" applyAlignment="1" applyProtection="1">
      <alignment horizontal="left"/>
      <protection/>
    </xf>
    <xf numFmtId="3" fontId="5" fillId="35" borderId="10" xfId="0" applyNumberFormat="1" applyFont="1" applyFill="1" applyBorder="1" applyAlignment="1">
      <alignment vertic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3" fontId="17" fillId="0" borderId="10" xfId="0" applyNumberFormat="1" applyFont="1" applyFill="1" applyBorder="1" applyAlignment="1">
      <alignment/>
    </xf>
    <xf numFmtId="185" fontId="5" fillId="35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center" vertical="center"/>
    </xf>
    <xf numFmtId="211" fontId="5" fillId="0" borderId="10" xfId="0" applyNumberFormat="1" applyFont="1" applyFill="1" applyBorder="1" applyAlignment="1">
      <alignment horizontal="center" vertical="center"/>
    </xf>
    <xf numFmtId="212" fontId="5" fillId="0" borderId="10" xfId="0" applyNumberFormat="1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6" fillId="0" borderId="13" xfId="70" applyFont="1" applyFill="1" applyBorder="1" applyAlignment="1">
      <alignment horizontal="center" vertical="center" wrapText="1"/>
      <protection/>
    </xf>
    <xf numFmtId="0" fontId="16" fillId="0" borderId="14" xfId="70" applyFont="1" applyFill="1" applyBorder="1" applyAlignment="1">
      <alignment horizontal="center" vertical="center" wrapText="1"/>
      <protection/>
    </xf>
    <xf numFmtId="0" fontId="16" fillId="0" borderId="10" xfId="70" applyFont="1" applyFill="1" applyBorder="1" applyAlignment="1">
      <alignment horizontal="center" vertical="center" wrapText="1"/>
      <protection/>
    </xf>
    <xf numFmtId="172" fontId="16" fillId="34" borderId="17" xfId="70" applyNumberFormat="1" applyFont="1" applyFill="1" applyBorder="1" applyAlignment="1">
      <alignment horizontal="center" vertical="center"/>
      <protection/>
    </xf>
    <xf numFmtId="0" fontId="16" fillId="34" borderId="17" xfId="70" applyFont="1" applyFill="1" applyBorder="1" applyAlignment="1">
      <alignment horizontal="center" vertical="center"/>
      <protection/>
    </xf>
    <xf numFmtId="0" fontId="16" fillId="34" borderId="12" xfId="70" applyFont="1" applyFill="1" applyBorder="1" applyAlignment="1">
      <alignment horizontal="center" vertical="center"/>
      <protection/>
    </xf>
    <xf numFmtId="172" fontId="16" fillId="34" borderId="10" xfId="70" applyNumberFormat="1" applyFont="1" applyFill="1" applyBorder="1" applyAlignment="1">
      <alignment horizontal="center" vertical="center" wrapText="1" shrinkToFit="1"/>
      <protection/>
    </xf>
    <xf numFmtId="0" fontId="16" fillId="34" borderId="16" xfId="70" applyFont="1" applyFill="1" applyBorder="1" applyAlignment="1">
      <alignment horizontal="center" vertical="center" wrapText="1" shrinkToFit="1"/>
      <protection/>
    </xf>
    <xf numFmtId="0" fontId="16" fillId="34" borderId="18" xfId="70" applyFont="1" applyFill="1" applyBorder="1" applyAlignment="1">
      <alignment horizontal="center" vertical="center" wrapText="1" shrinkToFit="1"/>
      <protection/>
    </xf>
    <xf numFmtId="0" fontId="16" fillId="34" borderId="13" xfId="70" applyFont="1" applyFill="1" applyBorder="1" applyAlignment="1">
      <alignment horizontal="center" vertical="center" wrapText="1" shrinkToFit="1"/>
      <protection/>
    </xf>
    <xf numFmtId="0" fontId="16" fillId="34" borderId="14" xfId="70" applyFont="1" applyFill="1" applyBorder="1" applyAlignment="1">
      <alignment horizontal="center" vertical="center" wrapText="1" shrinkToFit="1"/>
      <protection/>
    </xf>
    <xf numFmtId="0" fontId="16" fillId="34" borderId="10" xfId="70" applyFont="1" applyFill="1" applyBorder="1" applyAlignment="1">
      <alignment horizontal="center" vertical="center" wrapText="1" shrinkToFit="1"/>
      <protection/>
    </xf>
    <xf numFmtId="0" fontId="16" fillId="34" borderId="13" xfId="70" applyFont="1" applyFill="1" applyBorder="1" applyAlignment="1">
      <alignment horizontal="center" vertical="center"/>
      <protection/>
    </xf>
    <xf numFmtId="0" fontId="16" fillId="34" borderId="14" xfId="70" applyFont="1" applyFill="1" applyBorder="1" applyAlignment="1">
      <alignment horizontal="center" vertical="center"/>
      <protection/>
    </xf>
    <xf numFmtId="0" fontId="16" fillId="34" borderId="16" xfId="71" applyFont="1" applyFill="1" applyBorder="1" applyAlignment="1">
      <alignment horizontal="center" vertical="center" wrapText="1" shrinkToFit="1"/>
      <protection/>
    </xf>
    <xf numFmtId="0" fontId="16" fillId="34" borderId="18" xfId="71" applyFont="1" applyFill="1" applyBorder="1" applyAlignment="1">
      <alignment horizontal="center" vertical="center" wrapText="1" shrinkToFit="1"/>
      <protection/>
    </xf>
    <xf numFmtId="0" fontId="16" fillId="34" borderId="10" xfId="71" applyFont="1" applyFill="1" applyBorder="1" applyAlignment="1">
      <alignment horizontal="center" vertical="center"/>
      <protection/>
    </xf>
    <xf numFmtId="172" fontId="16" fillId="34" borderId="10" xfId="71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left"/>
    </xf>
    <xf numFmtId="0" fontId="16" fillId="2" borderId="11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left" vertical="center"/>
    </xf>
    <xf numFmtId="0" fontId="16" fillId="2" borderId="14" xfId="0" applyFont="1" applyFill="1" applyBorder="1" applyAlignment="1">
      <alignment horizontal="left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left" vertical="center"/>
    </xf>
    <xf numFmtId="0" fontId="16" fillId="34" borderId="16" xfId="71" applyFont="1" applyFill="1" applyBorder="1" applyAlignment="1">
      <alignment horizontal="center" vertical="center"/>
      <protection/>
    </xf>
    <xf numFmtId="0" fontId="16" fillId="34" borderId="18" xfId="7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0" fontId="16" fillId="0" borderId="10" xfId="71" applyFont="1" applyFill="1" applyBorder="1" applyAlignment="1">
      <alignment horizontal="center" vertical="center" wrapText="1"/>
      <protection/>
    </xf>
    <xf numFmtId="172" fontId="16" fillId="34" borderId="11" xfId="70" applyNumberFormat="1" applyFont="1" applyFill="1" applyBorder="1" applyAlignment="1">
      <alignment horizontal="center" vertical="center" wrapText="1" shrinkToFit="1"/>
      <protection/>
    </xf>
    <xf numFmtId="172" fontId="16" fillId="34" borderId="17" xfId="70" applyNumberFormat="1" applyFont="1" applyFill="1" applyBorder="1" applyAlignment="1">
      <alignment horizontal="center" vertical="center" wrapText="1" shrinkToFit="1"/>
      <protection/>
    </xf>
    <xf numFmtId="172" fontId="16" fillId="34" borderId="12" xfId="70" applyNumberFormat="1" applyFont="1" applyFill="1" applyBorder="1" applyAlignment="1">
      <alignment horizontal="center" vertical="center" wrapText="1" shrinkToFit="1"/>
      <protection/>
    </xf>
    <xf numFmtId="0" fontId="16" fillId="34" borderId="10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center" vertical="center" wrapText="1" shrinkToFit="1"/>
    </xf>
    <xf numFmtId="0" fontId="16" fillId="34" borderId="10" xfId="0" applyFont="1" applyFill="1" applyBorder="1" applyAlignment="1">
      <alignment horizontal="center" vertical="center" wrapText="1"/>
    </xf>
    <xf numFmtId="3" fontId="65" fillId="0" borderId="10" xfId="66" applyNumberFormat="1" applyFont="1" applyFill="1" applyBorder="1" applyAlignment="1">
      <alignment horizontal="center" vertical="center"/>
      <protection/>
    </xf>
    <xf numFmtId="177" fontId="65" fillId="0" borderId="17" xfId="66" applyNumberFormat="1" applyFont="1" applyFill="1" applyBorder="1" applyAlignment="1">
      <alignment horizontal="center" vertical="center"/>
      <protection/>
    </xf>
    <xf numFmtId="177" fontId="65" fillId="0" borderId="12" xfId="66" applyNumberFormat="1" applyFont="1" applyFill="1" applyBorder="1" applyAlignment="1">
      <alignment horizontal="center" vertical="center"/>
      <protection/>
    </xf>
    <xf numFmtId="3" fontId="65" fillId="0" borderId="17" xfId="66" applyNumberFormat="1" applyFont="1" applyFill="1" applyBorder="1" applyAlignment="1">
      <alignment horizontal="center" vertical="center"/>
      <protection/>
    </xf>
    <xf numFmtId="3" fontId="65" fillId="0" borderId="12" xfId="66" applyNumberFormat="1" applyFont="1" applyFill="1" applyBorder="1" applyAlignment="1">
      <alignment horizontal="center" vertical="center"/>
      <protection/>
    </xf>
  </cellXfs>
  <cellStyles count="76">
    <cellStyle name="Normal" xfId="0"/>
    <cellStyle name="_Бюджет_2007_3_22,12,06 вар.после набл.совета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Euro" xfId="34"/>
    <cellStyle name="Flag" xfId="35"/>
    <cellStyle name="Milliers [0]_JULY97" xfId="36"/>
    <cellStyle name="Milliers_JULY97" xfId="37"/>
    <cellStyle name="Monétaire [0]_JULY97" xfId="38"/>
    <cellStyle name="Monétaire_JULY97" xfId="39"/>
    <cellStyle name="Normal_Assump." xfId="40"/>
    <cellStyle name="Option" xfId="41"/>
    <cellStyle name="Price" xfId="42"/>
    <cellStyle name="Unit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_Алтын-ОрдаНовыйБП" xfId="64"/>
    <cellStyle name="Обычный_Алтын-ОрдаНовыйБП 2" xfId="65"/>
    <cellStyle name="Обычный_БП кир завод 3.3  (40 млн. +20 забут реал на 18.07.06 для АФ увел курс)" xfId="66"/>
    <cellStyle name="Обычный_Копия cityrus4-18 лет СМР 52 млн $" xfId="67"/>
    <cellStyle name="Обычный_НовыйМир" xfId="68"/>
    <cellStyle name="Обычный_ПереченьКЗ" xfId="69"/>
    <cellStyle name="Обычный_Формы отчетов" xfId="70"/>
    <cellStyle name="Обычный_Формы отчетов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Процентный 2" xfId="77"/>
    <cellStyle name="Связанная ячейка" xfId="78"/>
    <cellStyle name="Стиль 1" xfId="79"/>
    <cellStyle name="Текст предупреждения" xfId="80"/>
    <cellStyle name="Тысячи [0]" xfId="81"/>
    <cellStyle name="Comma" xfId="82"/>
    <cellStyle name="Comma [0]" xfId="83"/>
    <cellStyle name="Хороший" xfId="84"/>
    <cellStyle name="桁区切り [0.00]_PERSONAL" xfId="85"/>
    <cellStyle name="桁区切り_PERSONAL" xfId="86"/>
    <cellStyle name="標準_PERSONAL" xfId="87"/>
    <cellStyle name="通貨 [0.00]_PERSONAL" xfId="88"/>
    <cellStyle name="通貨_PERSONAL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externalLink" Target="externalLinks/externalLink13.xml" /><Relationship Id="rId29" Type="http://schemas.openxmlformats.org/officeDocument/2006/relationships/externalLink" Target="externalLinks/externalLink14.xml" /><Relationship Id="rId30" Type="http://schemas.openxmlformats.org/officeDocument/2006/relationships/externalLink" Target="externalLinks/externalLink15.xml" /><Relationship Id="rId31" Type="http://schemas.openxmlformats.org/officeDocument/2006/relationships/externalLink" Target="externalLinks/externalLink16.xml" /><Relationship Id="rId32" Type="http://schemas.openxmlformats.org/officeDocument/2006/relationships/externalLink" Target="externalLinks/externalLink17.xml" /><Relationship Id="rId33" Type="http://schemas.openxmlformats.org/officeDocument/2006/relationships/externalLink" Target="externalLinks/externalLink18.xml" /><Relationship Id="rId34" Type="http://schemas.openxmlformats.org/officeDocument/2006/relationships/externalLink" Target="externalLinks/externalLink19.xml" /><Relationship Id="rId35" Type="http://schemas.openxmlformats.org/officeDocument/2006/relationships/externalLink" Target="externalLinks/externalLink20.xml" /><Relationship Id="rId36" Type="http://schemas.openxmlformats.org/officeDocument/2006/relationships/externalLink" Target="externalLinks/externalLink21.xml" /><Relationship Id="rId37" Type="http://schemas.openxmlformats.org/officeDocument/2006/relationships/externalLink" Target="externalLinks/externalLink22.xml" /><Relationship Id="rId38" Type="http://schemas.openxmlformats.org/officeDocument/2006/relationships/externalLink" Target="externalLinks/externalLink23.xml" /><Relationship Id="rId39" Type="http://schemas.openxmlformats.org/officeDocument/2006/relationships/externalLink" Target="externalLinks/externalLink24.xml" /><Relationship Id="rId40" Type="http://schemas.openxmlformats.org/officeDocument/2006/relationships/externalLink" Target="externalLinks/externalLink25.xml" /><Relationship Id="rId41" Type="http://schemas.openxmlformats.org/officeDocument/2006/relationships/externalLink" Target="externalLinks/externalLink26.xml" /><Relationship Id="rId42" Type="http://schemas.openxmlformats.org/officeDocument/2006/relationships/externalLink" Target="externalLinks/externalLink27.xml" /><Relationship Id="rId43" Type="http://schemas.openxmlformats.org/officeDocument/2006/relationships/externalLink" Target="externalLinks/externalLink28.xml" /><Relationship Id="rId44" Type="http://schemas.openxmlformats.org/officeDocument/2006/relationships/externalLink" Target="externalLinks/externalLink29.xml" /><Relationship Id="rId45" Type="http://schemas.openxmlformats.org/officeDocument/2006/relationships/externalLink" Target="externalLinks/externalLink30.xml" /><Relationship Id="rId46" Type="http://schemas.openxmlformats.org/officeDocument/2006/relationships/externalLink" Target="externalLinks/externalLink31.xml" /><Relationship Id="rId47" Type="http://schemas.openxmlformats.org/officeDocument/2006/relationships/externalLink" Target="externalLinks/externalLink32.xml" /><Relationship Id="rId48" Type="http://schemas.openxmlformats.org/officeDocument/2006/relationships/externalLink" Target="externalLinks/externalLink33.xml" /><Relationship Id="rId49" Type="http://schemas.openxmlformats.org/officeDocument/2006/relationships/externalLink" Target="externalLinks/externalLink34.xml" /><Relationship Id="rId50" Type="http://schemas.openxmlformats.org/officeDocument/2006/relationships/externalLink" Target="externalLinks/externalLink35.xml" /><Relationship Id="rId51" Type="http://schemas.openxmlformats.org/officeDocument/2006/relationships/externalLink" Target="externalLinks/externalLink36.xml" /><Relationship Id="rId52" Type="http://schemas.openxmlformats.org/officeDocument/2006/relationships/externalLink" Target="externalLinks/externalLink37.xml" /><Relationship Id="rId53" Type="http://schemas.openxmlformats.org/officeDocument/2006/relationships/externalLink" Target="externalLinks/externalLink38.xml" /><Relationship Id="rId54" Type="http://schemas.openxmlformats.org/officeDocument/2006/relationships/externalLink" Target="externalLinks/externalLink39.xml" /><Relationship Id="rId55" Type="http://schemas.openxmlformats.org/officeDocument/2006/relationships/externalLink" Target="externalLinks/externalLink40.xml" /><Relationship Id="rId56" Type="http://schemas.openxmlformats.org/officeDocument/2006/relationships/externalLink" Target="externalLinks/externalLink41.xml" /><Relationship Id="rId57" Type="http://schemas.openxmlformats.org/officeDocument/2006/relationships/externalLink" Target="externalLinks/externalLink42.xml" /><Relationship Id="rId58" Type="http://schemas.openxmlformats.org/officeDocument/2006/relationships/externalLink" Target="externalLinks/externalLink43.xml" /><Relationship Id="rId59" Type="http://schemas.openxmlformats.org/officeDocument/2006/relationships/externalLink" Target="externalLinks/externalLink44.xml" /><Relationship Id="rId60" Type="http://schemas.openxmlformats.org/officeDocument/2006/relationships/externalLink" Target="externalLinks/externalLink45.xml" /><Relationship Id="rId61" Type="http://schemas.openxmlformats.org/officeDocument/2006/relationships/externalLink" Target="externalLinks/externalLink46.xml" /><Relationship Id="rId62" Type="http://schemas.openxmlformats.org/officeDocument/2006/relationships/externalLink" Target="externalLinks/externalLink47.xml" /><Relationship Id="rId63" Type="http://schemas.openxmlformats.org/officeDocument/2006/relationships/externalLink" Target="externalLinks/externalLink48.xml" /><Relationship Id="rId64" Type="http://schemas.openxmlformats.org/officeDocument/2006/relationships/externalLink" Target="externalLinks/externalLink49.xml" /><Relationship Id="rId65" Type="http://schemas.openxmlformats.org/officeDocument/2006/relationships/externalLink" Target="externalLinks/externalLink50.xml" /><Relationship Id="rId66" Type="http://schemas.openxmlformats.org/officeDocument/2006/relationships/externalLink" Target="externalLinks/externalLink51.xml" /><Relationship Id="rId67" Type="http://schemas.openxmlformats.org/officeDocument/2006/relationships/externalLink" Target="externalLinks/externalLink52.xml" /><Relationship Id="rId68" Type="http://schemas.openxmlformats.org/officeDocument/2006/relationships/externalLink" Target="externalLinks/externalLink53.xml" /><Relationship Id="rId69" Type="http://schemas.openxmlformats.org/officeDocument/2006/relationships/externalLink" Target="externalLinks/externalLink54.xml" /><Relationship Id="rId70" Type="http://schemas.openxmlformats.org/officeDocument/2006/relationships/externalLink" Target="externalLinks/externalLink55.xml" /><Relationship Id="rId71" Type="http://schemas.openxmlformats.org/officeDocument/2006/relationships/externalLink" Target="externalLinks/externalLink56.xml" /><Relationship Id="rId72" Type="http://schemas.openxmlformats.org/officeDocument/2006/relationships/externalLink" Target="externalLinks/externalLink57.xml" /><Relationship Id="rId73" Type="http://schemas.openxmlformats.org/officeDocument/2006/relationships/externalLink" Target="externalLinks/externalLink58.xml" /><Relationship Id="rId74" Type="http://schemas.openxmlformats.org/officeDocument/2006/relationships/externalLink" Target="externalLinks/externalLink59.xml" /><Relationship Id="rId75" Type="http://schemas.openxmlformats.org/officeDocument/2006/relationships/externalLink" Target="externalLinks/externalLink60.xml" /><Relationship Id="rId76" Type="http://schemas.openxmlformats.org/officeDocument/2006/relationships/externalLink" Target="externalLinks/externalLink61.xml" /><Relationship Id="rId77" Type="http://schemas.openxmlformats.org/officeDocument/2006/relationships/externalLink" Target="externalLinks/externalLink62.xml" /><Relationship Id="rId78" Type="http://schemas.openxmlformats.org/officeDocument/2006/relationships/externalLink" Target="externalLinks/externalLink63.xml" /><Relationship Id="rId79" Type="http://schemas.openxmlformats.org/officeDocument/2006/relationships/externalLink" Target="externalLinks/externalLink64.xml" /><Relationship Id="rId80" Type="http://schemas.openxmlformats.org/officeDocument/2006/relationships/externalLink" Target="externalLinks/externalLink65.xml" /><Relationship Id="rId81" Type="http://schemas.openxmlformats.org/officeDocument/2006/relationships/externalLink" Target="externalLinks/externalLink66.xml" /><Relationship Id="rId82" Type="http://schemas.openxmlformats.org/officeDocument/2006/relationships/externalLink" Target="externalLinks/externalLink67.xml" /><Relationship Id="rId83" Type="http://schemas.openxmlformats.org/officeDocument/2006/relationships/externalLink" Target="externalLinks/externalLink68.xml" /><Relationship Id="rId84" Type="http://schemas.openxmlformats.org/officeDocument/2006/relationships/externalLink" Target="externalLinks/externalLink69.xml" /><Relationship Id="rId85" Type="http://schemas.openxmlformats.org/officeDocument/2006/relationships/externalLink" Target="externalLinks/externalLink70.xml" /><Relationship Id="rId8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74;&#1089;&#1103;&#1082;&#1080;&#1081;%20&#1073;&#1091;&#1090;&#1086;&#1088;\SYS\98WIN\TEMP\&#1055;&#1088;&#1080;&#1083;&#1086;&#1078;&#1077;&#1085;&#1080;&#1077;%201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shpan_zh\temp\ERLAN\Zakluchenia\&#1047;&#1077;&#1088;&#1085;&#1086;&#1074;&#1072;&#1103;_&#1051;&#1050;\Proj_&#1047;&#1051;&#1050;_&#1087;&#1096;&#1077;&#1085;&#1080;&#1094;&#1072;_50%_&#1083;&#1080;&#1079;_&#1087;&#1083;&#1072;&#109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AL_&#1047;&#1077;&#1088;&#1085;&#1051;&#105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~1\GH_KUS~1\LOCALS~1\Temp\bat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smanov\&#1052;&#1086;&#1080;%20&#1076;&#1086;&#1082;&#1091;&#1084;&#1077;&#1085;&#1090;&#1099;\Documents%20and%20Settings\kusmanov\Desktop\&#1069;&#1082;&#1086;&#1090;&#1086;&#1085;+_&#1040;&#1082;&#1090;&#1102;&#1073;&#1080;&#1085;&#1089;&#1082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2;&#1086;&#1080;%20&#1076;&#1086;&#1082;&#1091;&#1084;&#1077;&#1085;&#1090;&#1099;\&#1064;&#1072;&#1073;&#1083;&#1086;&#1085;&#1099;\&#1064;&#1072;&#1073;&#1083;&#1086;&#1085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51;&#1044;&#1050;%20&#1060;3+&#1060;2%20&#1073;&#1077;&#1079;%20&#1048;&#1060;&#105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55;&#1088;&#1086;&#1095;&#1080;&#1077;%20&#1087;&#1088;&#1086;&#1077;&#1082;&#1090;&#1099;\&#1050;&#1072;&#1092;&#1077;\&#1058;&#1069;&#1054;%2010.09.0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41;&#1055;%20&#1070;&#1076;&#1072;&#1096;&#1082;&#1080;&#1085;\&#1052;&#1051;&#1044;&#1050;%20&#1060;3+&#1060;2%20&#1073;&#1077;&#1079;%20&#1048;&#1060;&#1050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41;&#1055;%20&#1070;&#1076;&#1072;&#1096;&#1082;&#1080;&#1085;\&#1070;&#1076;&#1072;&#1096;&#1082;&#1080;&#1085;%20&#1075;&#1086;&#1090;&#1086;&#1074;&#1099;&#1081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q\&#1056;&#1072;&#1073;&#1086;&#1095;&#1080;&#1081;%20&#1089;&#1090;&#1086;&#1083;\&#1056;&#1040;&#1057;&#1063;&#1045;&#1058;&#106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54;&#1073;&#1097;&#1080;&#1077;%20&#1076;&#1086;&#1082;&#1091;&#1084;&#1077;&#1085;&#1090;&#1099;\Documents%20and%20Settings\k_abdrahmanov\&#1056;&#1072;&#1073;&#1086;&#1095;&#1080;&#1081;%20&#1089;&#1090;&#1086;&#1083;\&#1048;&#1085;&#1092;&#1086;%20&#1040;&#1082;&#1090;&#1086;&#1073;&#1077;\&#1085;&#1086;&#1074;&#1099;&#1081;%20&#1041;&#1055;%20%20&#1080;&#1089;&#1087;&#1088;%20&#1089;%20&#1091;&#1095;.%20&#1092;&#1080;&#1085;.%20NB%2007.02.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2;&#1051;&#1044;&#1050;\&#1056;&#1072;&#1089;&#1095;&#1077;&#1090;&#1099;\&#1056;&#1072;&#1089;&#1095;&#1077;&#1090;%20&#1087;&#1086;%20&#1082;&#1088;&#1077;&#1076;&#1080;&#1090;&#1072;&#1084;%20&#1040;&#1060;\&#1043;&#1088;&#1072;&#1092;&#1080;&#1082;&#1080;%20&#1086;&#1090;%20&#1040;&#1060;\&#1057;&#1074;&#1086;&#1076;_&#1043;&#1088;&#1072;&#1092;&#1080;&#1082;&#1080;%20&#1087;&#1086;%20ICCM_&#1074;&#1077;&#1088;&#1089;&#1080;&#1103;%20&#1040;&#1060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erver\monitoring\Shared\&#1050;&#1086;&#1087;&#1080;&#1103;%20&#1056;&#1077;&#1085;&#1090;&#1072;&#1073;&#1077;&#1083;&#1100;&#1085;&#1086;&#1089;&#1090;&#110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I_FROL~1\LOCALS~1\Temp\bat\ENKI\&#1053;&#1077;&#1088;&#1091;&#1076;%20&#1084;&#1086;&#1080;%20&#1088;&#1072;&#1089;&#1095;&#1105;&#1090;&#1099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G_SVEC~1\LOCALS~1\Temp\bat\6A75EE9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test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G_SVEC~1\LOCALS~1\Temp\bat\15E674E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nts%20and%20Settings\m_anfinogenov\&#1056;&#1072;&#1073;&#1086;&#1095;&#1080;&#1081;%20&#1089;&#1090;&#1086;&#1083;\&#1047;&#1086;&#1083;&#1086;&#1090;&#1086;&#1081;%20&#1087;&#1088;&#1080;&#1080;&#1089;&#1082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2;&#1051;&#1044;&#1050;\&#1056;&#1072;&#1089;&#1095;&#1077;&#1090;&#1099;\&#1056;&#1072;&#1089;&#1095;&#1077;&#1090;%20&#1087;&#1086;%20&#1082;&#1088;&#1077;&#1076;&#1080;&#1090;&#1072;&#1084;%20&#1040;&#1060;\&#1043;&#1088;&#1072;&#1092;&#1080;&#1082;&#1080;%20&#1086;&#1090;%20&#1040;&#1060;\&#1057;&#1074;&#1086;&#1076;_&#1043;&#1088;&#1072;&#1092;&#1080;&#1082;&#1080;%20&#1087;&#1086;%20ICCM_&#1074;&#1077;&#1088;&#1089;&#1080;&#1103;%20&#1040;&#1060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40;&#1085;&#1092;&#1080;&#1085;&#1086;&#1075;&#1077;&#1085;&#1086;&#1074;\&#1056;&#1072;&#1089;&#1095;&#1077;&#1090;&#1099;,%20&#1041;&#1055;\&#1052;&#1080;&#1085;&#1080;&#1084;&#1072;&#1088;&#1082;&#1077;&#1090;%20&#1085;&#1072;%205%20&#1084;&#1083;&#1085;\&#1052;&#1051;&#1044;&#1050;%20&#1060;3+&#1060;2%20&#1073;&#1077;&#1079;%20&#1048;&#1060;&#1050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_SVEC~1\LOCALS~1\Temp\bat\6A75EE9B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&#1074;%20&#1060;&#1056;&#1052;&#1055;\&#1088;&#1072;&#1089;&#1095;&#1077;&#1090;%20&#1080;&#1079;&#1084;&#1077;&#1085;&#1077;&#1085;&#1080;&#1081;%20&#1074;%20&#1076;&#1086;&#1075;%20&#1060;&#1051;1_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WINDOWS\TEMP\Rar$DI01.712\&#1069;&#1082;&#1086;&#1090;&#1086;&#1085;%2011.03.04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40;&#1085;&#1092;&#1080;&#1085;&#1086;&#1075;&#1077;&#1085;&#1086;&#1074;\&#1056;&#1072;&#1089;&#1095;&#1077;&#1090;&#1099;,%20&#1041;&#1055;\&#1052;&#1080;&#1085;&#1080;&#1084;&#1072;&#1088;&#1082;&#1077;&#1090;%20&#1085;&#1072;%205%20&#1084;&#1083;&#1085;\&#1056;&#1072;&#1089;&#1095;&#1077;&#1090;%20&#1087;&#1086;%20&#1084;&#1080;&#1085;&#1080;&#1084;&#1072;&#1088;&#1082;&#1077;&#1090;&#1091;%2011,5%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_FROL~1\LOCALS~1\Temp\bat\ENKI\&#1053;&#1077;&#1088;&#1091;&#1076;%20&#1084;&#1086;&#1080;%20&#1088;&#1072;&#1089;&#1095;&#1105;&#1090;&#1099;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_SVEC~1\LOCALS~1\Temp\bat\15E674EE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03_&#1040;&#1082;&#1089;&#1091;&#1072;&#1090;&#1089;&#1082;&#1080;&#1081;%20&#1101;&#1083;&#1077;&#1074;&#1072;&#1090;&#1086;&#1088;+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65_&#1069;&#1083;&#1077;&#1074;&#1072;&#1090;&#1086;&#1088;&#1099;\_&#1056;&#1072;&#1089;&#1095;&#1077;&#1090;&#1099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G_SVEC~1\LOCALS~1\Temp\bat\6A75EE9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0;&#1091;&#1089;&#1084;&#1072;&#1085;&#1086;&#1074;%20&#1046;&#1077;&#1085;&#1080;&#1089;%20&#1050;&#1072;&#1081;&#1088;&#1073;&#1072;&#1077;&#1074;&#1080;&#1095;\&#1041;&#1055;%20&#1097;&#1077;&#1073;&#1077;&#1085;&#1100;%201.05%20&#1076;&#1083;&#1103;%20&#1041;&#1058;&#1040;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51;&#1044;&#1050;%20&#1060;3+&#1060;2%20&#1073;&#1077;&#1079;%20&#1048;&#1060;&#1050;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6;&#1072;&#1089;&#1095;&#1077;&#1090;%20&#1090;&#1077;&#1082;&#1089;&#1090;&#1080;&#1083;&#1100;_&#1089;%20&#1082;&#1086;&#1088;_01.05.10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test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I_FROL~1\LOCALS~1\Temp\bat\ENKI\&#1053;&#1077;&#1088;&#1091;&#1076;%20&#1084;&#1086;&#1080;%20&#1088;&#1072;&#1089;&#1095;&#1105;&#1090;&#1099;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G_SVEC~1\LOCALS~1\Temp\bat\15E674EE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6;&#1072;&#1089;&#1095;&#1077;&#1090;%20&#1072;&#1087;&#1090;&#1077;&#1082;&#1080;+&#1086;&#1087;&#1090;.&#1089;&#1082;&#1083;&#1072;&#1076;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%20&#1060;&#1056;&#1052;&#1055;\&#1088;&#1072;&#1089;&#1095;&#1077;&#1090;%20&#1080;&#1079;&#1084;&#1077;&#1085;&#1077;&#1085;&#1080;&#1081;%20&#1074;%20&#1076;&#1086;&#1075;%20&#1060;&#1051;1_2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86;&#1080;%20&#1076;&#1086;&#1082;&#1091;&#1084;&#1077;&#1085;&#1090;&#1099;\&#1052;&#1051;&#1044;&#1050;\&#1056;&#1072;&#1089;&#1095;&#1077;&#1090;&#1099;\&#1056;&#1072;&#1089;&#1095;&#1077;&#1090;%20&#1087;&#1086;%20&#1082;&#1088;&#1077;&#1076;&#1080;&#1090;&#1072;&#1084;%20&#1040;&#1060;\&#1043;&#1088;&#1072;&#1092;&#1080;&#1082;&#1080;%20&#1086;&#1090;%20&#1040;&#1060;\&#1057;&#1074;&#1086;&#1076;_&#1043;&#1088;&#1072;&#1092;&#1080;&#1082;&#1080;%20&#1087;&#1086;%20ICCM_&#1074;&#1077;&#1088;&#1089;&#1080;&#1103;%20&#1040;&#1060;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~1\G_SVEC~1\LOCALS~1\Temp\bat\6A75EE9B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74;%20&#1060;&#1056;&#1052;&#1055;\&#1088;&#1072;&#1089;&#1095;&#1077;&#1090;%20&#1080;&#1079;&#1084;&#1077;&#1085;&#1077;&#1085;&#1080;&#1081;%20&#1074;%20&#1076;&#1086;&#1075;%20&#1060;&#1051;1_2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51;&#1044;&#1050;%20&#1060;3+&#1060;2%20&#1073;&#1077;&#1079;%20&#1048;&#1060;&#1050;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tes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~1\I_FROL~1\LOCALS~1\Temp\bat\ENKI\&#1053;&#1077;&#1088;&#1091;&#1076;%20&#1084;&#1086;&#1080;%20&#1088;&#1072;&#1089;&#1095;&#1105;&#1090;&#1099;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~1\G_SVEC~1\LOCALS~1\Temp\bat\15E674EE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nts%20and%20Settings\kusmanov\&#1052;&#1086;&#1080;%20&#1076;&#1086;&#1082;&#1091;&#1084;&#1077;&#1085;&#1090;&#1099;\&#1048;&#1085;&#1092;&#1086;&#1088;&#1084;\&#1041;&#1087;%20breton\&#1041;&#1087;%20breton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2;&#1086;&#1080;%20&#1076;&#1086;&#1082;&#1091;&#1084;&#1077;&#1085;&#1090;&#1099;\&#1041;%20&#1055;\&#1047;&#1072;&#1074;&#1086;&#1076;%20&#1084;&#1080;&#1085;&#1077;&#1088;&#1072;&#1083;&#1086;&#1074;&#1072;&#1090;&#1085;&#1099;&#1093;%20&#1080;&#1079;&#1076;&#1077;&#1083;&#1080;&#1081;\Proj_&#1057;&#1072;&#1088;&#1076;&#1072;&#1083;&#107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shpan_zh\temp\ERLAN\Zakluchenia\&#1040;&#1050;&#1058;&#1048;&#1042;\Proj_&#1040;&#1050;&#1058;&#1048;&#1042;_7&#1083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МЗ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схД+"/>
      <sheetName val="КапЗатр+"/>
      <sheetName val="Вып1+"/>
      <sheetName val="Капит_1"/>
      <sheetName val="Вып2"/>
      <sheetName val="Капит_2"/>
      <sheetName val="Вып3"/>
      <sheetName val="Капит_3"/>
      <sheetName val="Вып4"/>
      <sheetName val="Капит_4"/>
      <sheetName val="СвВып+"/>
      <sheetName val="Аморт"/>
      <sheetName val="ВырРеал+"/>
      <sheetName val="Зерно"/>
      <sheetName val="Зерно_1"/>
      <sheetName val="Себест+"/>
      <sheetName val="ОбКап+"/>
      <sheetName val="Нетто3!!!"/>
      <sheetName val="отчприб1"/>
      <sheetName val="РостАкт+"/>
      <sheetName val="Приб+"/>
      <sheetName val="ПотокНал+"/>
      <sheetName val="потокден1"/>
      <sheetName val="ФинПок+"/>
      <sheetName val="Налоги"/>
      <sheetName val="СтоимПр1+"/>
      <sheetName val="СтоимПр2"/>
      <sheetName val="ЗЛК_осн"/>
      <sheetName val="ЗЛК_%"/>
      <sheetName val="ЗЛК_цена"/>
      <sheetName val="Не_удалять!!!"/>
      <sheetName val="Графики"/>
      <sheetName val="ПрогБал"/>
      <sheetName val="КоэфЧувств-ти"/>
      <sheetName val="РезЧувств"/>
      <sheetName val="Залог"/>
      <sheetName val="РискЗалога"/>
      <sheetName val="РезЗал"/>
      <sheetName val="Чувств1"/>
      <sheetName val="Чувств1-1"/>
      <sheetName val="Чувств1-2"/>
      <sheetName val="Чувств2"/>
      <sheetName val="Чувств2-1"/>
      <sheetName val="Чувств2-2"/>
      <sheetName val="Чувств3"/>
      <sheetName val="Чувтсв3-1"/>
      <sheetName val="Чувств3-2"/>
      <sheetName val="Чувств4"/>
      <sheetName val="Чувств4-1"/>
      <sheetName val="Чувств4-2"/>
      <sheetName val="Чувств5"/>
      <sheetName val="IRR"/>
    </sheetNames>
    <sheetDataSet>
      <sheetData sheetId="0">
        <row r="2">
          <cell r="A2" t="str">
            <v>Проект "Передача с/х техники на лизинговой основе зернопроизводителям Акмолинской, Костанайской и Северо-Казахстанской областей.</v>
          </cell>
        </row>
      </sheetData>
      <sheetData sheetId="17">
        <row r="2">
          <cell r="A2" t="str">
            <v>Наименование предприятия 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Исх докум"/>
      <sheetName val="Указатель"/>
      <sheetName val="Б1"/>
      <sheetName val="О1"/>
      <sheetName val="Б2"/>
      <sheetName val="О2"/>
      <sheetName val="Б3!!!"/>
      <sheetName val="О3!!!"/>
      <sheetName val="Исх.1"/>
      <sheetName val="Исх.2"/>
      <sheetName val="Исх.3!!!"/>
      <sheetName val="Нетто1"/>
      <sheetName val="Нетто2"/>
      <sheetName val="Нетто3!!!"/>
      <sheetName val="Гориз"/>
      <sheetName val="Верт!!!"/>
      <sheetName val="К-ф!!!"/>
      <sheetName val="Активы (размещ)!!!"/>
      <sheetName val="Уровень показателей!!!"/>
      <sheetName val="Фин. ресурсы!!!"/>
      <sheetName val="Наличие об ср-в!!!"/>
      <sheetName val="Кт!!!"/>
      <sheetName val="Дин. оборотн. ср-в!!!"/>
      <sheetName val="Дт"/>
      <sheetName val="Ликв баланса!!!"/>
      <sheetName val="Самофинанс!!!"/>
      <sheetName val="Рынок сырья"/>
      <sheetName val="Вид продукции"/>
      <sheetName val="Справка_НБ"/>
      <sheetName val="Анализ"/>
      <sheetName val="Показатели"/>
      <sheetName val="Модуль2"/>
      <sheetName val="Аванс кап"/>
      <sheetName val="Текст"/>
    </sheetNames>
    <sheetDataSet>
      <sheetData sheetId="3">
        <row r="6">
          <cell r="B6" t="str">
            <v>услуги по аренде машин оборудования без оператора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39">
          <cell r="C39">
            <v>0</v>
          </cell>
          <cell r="D39">
            <v>0</v>
          </cell>
        </row>
      </sheetData>
      <sheetData sheetId="7">
        <row r="58">
          <cell r="C58">
            <v>0</v>
          </cell>
        </row>
      </sheetData>
      <sheetData sheetId="19">
        <row r="18">
          <cell r="E18" t="e">
            <v>#DIV/0!</v>
          </cell>
        </row>
      </sheetData>
      <sheetData sheetId="23">
        <row r="17">
          <cell r="B17">
            <v>0</v>
          </cell>
          <cell r="F17">
            <v>0</v>
          </cell>
        </row>
        <row r="18">
          <cell r="B18">
            <v>0</v>
          </cell>
          <cell r="F18">
            <v>26676.6</v>
          </cell>
        </row>
        <row r="19">
          <cell r="B19">
            <v>0</v>
          </cell>
          <cell r="F19">
            <v>8.2</v>
          </cell>
        </row>
        <row r="20">
          <cell r="B20">
            <v>0</v>
          </cell>
          <cell r="F20">
            <v>0</v>
          </cell>
        </row>
        <row r="25">
          <cell r="B25">
            <v>0</v>
          </cell>
          <cell r="F25">
            <v>296249.3</v>
          </cell>
        </row>
        <row r="26">
          <cell r="B26">
            <v>0</v>
          </cell>
          <cell r="F26">
            <v>1718930</v>
          </cell>
        </row>
        <row r="27">
          <cell r="B27">
            <v>0</v>
          </cell>
          <cell r="F27">
            <v>0</v>
          </cell>
        </row>
        <row r="28">
          <cell r="B28">
            <v>0</v>
          </cell>
          <cell r="F28">
            <v>0</v>
          </cell>
        </row>
        <row r="29">
          <cell r="B29">
            <v>0</v>
          </cell>
          <cell r="F29">
            <v>11298.7</v>
          </cell>
        </row>
        <row r="30">
          <cell r="B30">
            <v>0</v>
          </cell>
          <cell r="F30">
            <v>0</v>
          </cell>
        </row>
        <row r="31">
          <cell r="B31">
            <v>0</v>
          </cell>
          <cell r="F31">
            <v>12793.8</v>
          </cell>
        </row>
        <row r="33">
          <cell r="B33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2">
          <cell r="C2">
            <v>32.173913043478265</v>
          </cell>
        </row>
        <row r="4">
          <cell r="C4">
            <v>127</v>
          </cell>
        </row>
        <row r="6">
          <cell r="C6">
            <v>5000000</v>
          </cell>
        </row>
        <row r="7">
          <cell r="C7">
            <v>60000000</v>
          </cell>
        </row>
        <row r="8">
          <cell r="C8">
            <v>161</v>
          </cell>
        </row>
        <row r="13">
          <cell r="C13">
            <v>22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Фин. пок-ли"/>
      <sheetName val="Перем. затраты"/>
      <sheetName val="Пост.затраты"/>
      <sheetName val="Затр. на произ-во"/>
      <sheetName val="Анализ себест-ти"/>
      <sheetName val="Анализ с-ст-ти"/>
      <sheetName val="Вспом.расчеты"/>
      <sheetName val="План производства"/>
      <sheetName val="План сбыта"/>
      <sheetName val="График 2006 год"/>
      <sheetName val="График 2007 год"/>
      <sheetName val="Баланс прибылей"/>
      <sheetName val="cash-flow"/>
      <sheetName val="Форма №1"/>
      <sheetName val="Форма №2"/>
      <sheetName val="Врем.смета"/>
      <sheetName val="Форма №3"/>
      <sheetName val="Приобретение О.С."/>
      <sheetName val="Лист1"/>
      <sheetName val="Лизинг"/>
      <sheetName val="Кредит КБ"/>
      <sheetName val="Кредит СЗБ (А-Ф)"/>
      <sheetName val="Кредит доп"/>
      <sheetName val="Кредит доп2"/>
      <sheetName val="Шт.расп.Блоки"/>
      <sheetName val="Шт.расп.АУП"/>
      <sheetName val="Шт.расп.Вспом.персонал"/>
      <sheetName val="Сводное штатное расписание"/>
      <sheetName val="Шт.расп.Армир.эл."/>
    </sheetNames>
    <sheetDataSet>
      <sheetData sheetId="1">
        <row r="45">
          <cell r="P45">
            <v>140</v>
          </cell>
        </row>
        <row r="47">
          <cell r="P47">
            <v>0.15</v>
          </cell>
        </row>
        <row r="48">
          <cell r="P48">
            <v>0.16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Финпоки1"/>
      <sheetName val="ф3 2"/>
      <sheetName val="ф2 3"/>
      <sheetName val="Площади 4"/>
      <sheetName val="Кап.затр 5"/>
      <sheetName val="Доходы 6"/>
      <sheetName val="кредит 7"/>
      <sheetName val="Аморт 8"/>
      <sheetName val="Пост.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ОП"/>
      <sheetName val="Ф3"/>
      <sheetName val="ф2"/>
      <sheetName val="кр"/>
      <sheetName val="График"/>
      <sheetName val="пост"/>
      <sheetName val="безубыт"/>
      <sheetName val="сметы работ"/>
      <sheetName val="исх"/>
      <sheetName val="штат"/>
      <sheetName val="дох"/>
      <sheetName val="расх матер"/>
      <sheetName val="амор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кр"/>
      <sheetName val="План"/>
      <sheetName val="ф2"/>
      <sheetName val="Ф3"/>
      <sheetName val="Пер"/>
      <sheetName val="Пост"/>
      <sheetName val="Инв"/>
      <sheetName val="NPV"/>
      <sheetName val="График"/>
      <sheetName val="Пост."/>
    </sheetNames>
    <sheetDataSet>
      <sheetData sheetId="1">
        <row r="9">
          <cell r="C9">
            <v>0.13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ар"/>
      <sheetName val="Данные,рентаб"/>
      <sheetName val="Оценка"/>
      <sheetName val="Финпоказатели"/>
      <sheetName val="ЧП"/>
      <sheetName val="IRR NPV"/>
      <sheetName val="Ф3"/>
      <sheetName val="Ф2-баланс"/>
      <sheetName val="КРЕДИТЫ"/>
      <sheetName val="произ.моя"/>
      <sheetName val="обучение мое"/>
      <sheetName val="приобретение мое"/>
      <sheetName val="капит.мое"/>
      <sheetName val="коммун.мое"/>
      <sheetName val="себестоимость моя"/>
      <sheetName val="Лист2"/>
      <sheetName val="налоги"/>
      <sheetName val="ПриобрОС"/>
      <sheetName val="Затр. на про-во"/>
      <sheetName val="Пост.затр"/>
      <sheetName val="Пр-во сбыт"/>
      <sheetName val="Перем. затр"/>
      <sheetName val="штат"/>
      <sheetName val="Врем.смета"/>
    </sheetNames>
    <sheetDataSet>
      <sheetData sheetId="1">
        <row r="23">
          <cell r="C23">
            <v>121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RR"/>
      <sheetName val="Ф3"/>
      <sheetName val="Ф2"/>
      <sheetName val="ПриобрОС"/>
      <sheetName val="Фин. пок-ли"/>
      <sheetName val="Пр-во сбыт"/>
      <sheetName val="Врем.смета"/>
      <sheetName val="Перем. затр"/>
      <sheetName val="Пост.затр"/>
      <sheetName val="Затр. на про-во"/>
      <sheetName val="штат"/>
      <sheetName val="АФ1"/>
      <sheetName val="АФ"/>
      <sheetName val="БВУ"/>
      <sheetName val="Доп"/>
      <sheetName val="Ф1"/>
    </sheetNames>
    <sheetDataSet>
      <sheetData sheetId="5">
        <row r="17">
          <cell r="C17">
            <v>0.13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 (2)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дание"/>
      <sheetName val="NPV"/>
      <sheetName val="IRRa"/>
      <sheetName val="IRRb"/>
    </sheetNames>
    <sheetDataSet>
      <sheetData sheetId="1">
        <row r="18">
          <cell r="F18">
            <v>-1000000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  <row r="16">
          <cell r="C16">
            <v>25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ин. пок-ли"/>
      <sheetName val="Перем. затраты"/>
      <sheetName val="Пост.затраты"/>
      <sheetName val="Затр. на произ-во"/>
      <sheetName val="Анализ себест-ти"/>
      <sheetName val="Анализ с-ст-ти"/>
      <sheetName val="Вспом.расчеты"/>
      <sheetName val="План производства"/>
      <sheetName val="План сбыта"/>
      <sheetName val="График 2004 год"/>
      <sheetName val="График 2005 год"/>
      <sheetName val="Баланс прибылей"/>
      <sheetName val="cash-flow"/>
      <sheetName val="Форма №1"/>
      <sheetName val="Форма №2"/>
      <sheetName val="Форма №3"/>
      <sheetName val="Врем.смета"/>
      <sheetName val="Приобретение О.С."/>
      <sheetName val="Лизинг"/>
      <sheetName val="Кредит БРК"/>
      <sheetName val="Кредит СЗБ (А-Ф)"/>
      <sheetName val="Кредит доп"/>
      <sheetName val="Кредит А-Ф"/>
      <sheetName val="Шт.расп.Блоки"/>
      <sheetName val="Шт.расп.АУП"/>
      <sheetName val="Шт.расп.Вспом.персонал"/>
      <sheetName val="Сводное штатное расписание"/>
      <sheetName val="Шт.расп.Армир.эл."/>
    </sheetNames>
    <sheetDataSet>
      <sheetData sheetId="1">
        <row r="3">
          <cell r="K3">
            <v>126620</v>
          </cell>
        </row>
        <row r="45">
          <cell r="P45">
            <v>150</v>
          </cell>
        </row>
        <row r="46">
          <cell r="P46">
            <v>919</v>
          </cell>
        </row>
        <row r="47">
          <cell r="P47">
            <v>0.15</v>
          </cell>
        </row>
        <row r="48">
          <cell r="P48">
            <v>0.16</v>
          </cell>
        </row>
      </sheetData>
      <sheetData sheetId="17">
        <row r="3">
          <cell r="F3">
            <v>0.87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кр"/>
      <sheetName val="План"/>
      <sheetName val="ф2"/>
      <sheetName val="Ф3"/>
      <sheetName val="Пост"/>
      <sheetName val="Инв"/>
      <sheetName val="безубыт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ф3"/>
      <sheetName val="ф2"/>
      <sheetName val="Баланс"/>
      <sheetName val="Исх"/>
      <sheetName val="Объемы"/>
      <sheetName val="Цены"/>
      <sheetName val="Перем"/>
      <sheetName val="Пост"/>
      <sheetName val="кр"/>
      <sheetName val="безубыт"/>
    </sheetNames>
    <sheetDataSet>
      <sheetData sheetId="2">
        <row r="32">
          <cell r="Q32">
            <v>109.48954266069855</v>
          </cell>
          <cell r="R32">
            <v>109.48954266069855</v>
          </cell>
          <cell r="S32">
            <v>108.45296951069854</v>
          </cell>
          <cell r="T32">
            <v>106.37982321069852</v>
          </cell>
          <cell r="U32">
            <v>103.27010376069849</v>
          </cell>
          <cell r="V32">
            <v>103.27010376069849</v>
          </cell>
          <cell r="W32">
            <v>103.27010376069849</v>
          </cell>
          <cell r="X32">
            <v>99.20125340855881</v>
          </cell>
          <cell r="Y32">
            <v>99.20125340855881</v>
          </cell>
          <cell r="Z32">
            <v>99.20125340855881</v>
          </cell>
          <cell r="AA32">
            <v>99.20125340855881</v>
          </cell>
          <cell r="AB32">
            <v>82.61608300855879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ар Свод"/>
      <sheetName val="3Ф"/>
      <sheetName val="2Ф "/>
      <sheetName val="кр"/>
      <sheetName val="Гр стр"/>
      <sheetName val="Пост"/>
      <sheetName val="оборуд"/>
      <sheetName val="Перем."/>
      <sheetName val="IRR NPV"/>
      <sheetName val="Штат до ввода"/>
      <sheetName val="Штат пос ввода"/>
      <sheetName val="карьеры"/>
      <sheetName val="Налог(имущ)"/>
      <sheetName val="Осн.показ"/>
    </sheetNames>
    <sheetDataSet>
      <sheetData sheetId="13">
        <row r="5">
          <cell r="D5">
            <v>1052.6315789473686</v>
          </cell>
        </row>
        <row r="8">
          <cell r="D8">
            <v>907200</v>
          </cell>
        </row>
        <row r="9">
          <cell r="D9">
            <v>388800</v>
          </cell>
        </row>
        <row r="13">
          <cell r="D13">
            <v>164</v>
          </cell>
        </row>
        <row r="15">
          <cell r="D15">
            <v>1.14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Ф3"/>
      <sheetName val="ф2"/>
      <sheetName val="Баланс"/>
      <sheetName val="Доходы"/>
      <sheetName val="Себестоимость"/>
      <sheetName val="Расх пост"/>
      <sheetName val="кр"/>
      <sheetName val="Инв"/>
      <sheetName val="Безубыт"/>
      <sheetName val="Графики"/>
    </sheetNames>
    <sheetDataSet>
      <sheetData sheetId="1">
        <row r="5">
          <cell r="C5">
            <v>148</v>
          </cell>
        </row>
        <row r="8">
          <cell r="C8">
            <v>0.12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Дох"/>
      <sheetName val="Движение товара"/>
      <sheetName val="ф2"/>
      <sheetName val="Ф3"/>
      <sheetName val="Пост"/>
      <sheetName val="Пост склад"/>
      <sheetName val="кр"/>
      <sheetName val="Пост аптеки"/>
      <sheetName val="Инв скл"/>
      <sheetName val="Инв апт"/>
      <sheetName val="безубыт"/>
      <sheetName val="Лист1"/>
    </sheetNames>
    <sheetDataSet>
      <sheetData sheetId="1">
        <row r="5">
          <cell r="C5">
            <v>147</v>
          </cell>
        </row>
        <row r="7">
          <cell r="C7">
            <v>0.12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Коэфф"/>
      <sheetName val="Ф2"/>
      <sheetName val="Ф3"/>
      <sheetName val="Кредит"/>
      <sheetName val="Перемен"/>
      <sheetName val="Постоян"/>
      <sheetName val="Себст"/>
      <sheetName val="Безуб"/>
      <sheetName val="Смета"/>
      <sheetName val="Инвест"/>
      <sheetName val="Штат"/>
      <sheetName val="План пр-ва"/>
      <sheetName val="Продаж"/>
      <sheetName val="Налог"/>
    </sheetNames>
    <sheetDataSet>
      <sheetData sheetId="0">
        <row r="9">
          <cell r="C9">
            <v>165</v>
          </cell>
        </row>
        <row r="11">
          <cell r="C11">
            <v>1332.5</v>
          </cell>
        </row>
      </sheetData>
      <sheetData sheetId="12">
        <row r="6">
          <cell r="A6" t="str">
            <v>Мраморно-цементная плитка Bretonterastone®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бщ_Д"/>
      <sheetName val="Граф_осв"/>
      <sheetName val="L-1"/>
      <sheetName val="L-2"/>
      <sheetName val="g-1"/>
      <sheetName val="Займы"/>
      <sheetName val="АО"/>
      <sheetName val="СС"/>
      <sheetName val="Стр_СС"/>
      <sheetName val="Н"/>
      <sheetName val="Дох"/>
      <sheetName val="Стр_Дох"/>
      <sheetName val="Приб"/>
      <sheetName val="Потоки"/>
      <sheetName val="NPV "/>
      <sheetName val="Анализ"/>
      <sheetName val="Чувств"/>
      <sheetName val="Коэфф"/>
      <sheetName val="Зал"/>
      <sheetName val="Графики"/>
    </sheetNames>
    <sheetDataSet>
      <sheetData sheetId="0">
        <row r="16">
          <cell r="B16">
            <v>0.9893263911487146</v>
          </cell>
        </row>
      </sheetData>
      <sheetData sheetId="2">
        <row r="5">
          <cell r="B5">
            <v>12450000</v>
          </cell>
        </row>
        <row r="6">
          <cell r="B6">
            <v>0.1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Общ_Д"/>
      <sheetName val="Граф+осв"/>
      <sheetName val="L1"/>
      <sheetName val="L2"/>
      <sheetName val="L3"/>
      <sheetName val="Займы"/>
      <sheetName val="АО"/>
      <sheetName val="Дох"/>
      <sheetName val="СС"/>
      <sheetName val="Уд_вес_СС"/>
      <sheetName val="ОАО &quot;Актив&quot;"/>
      <sheetName val="Налоги"/>
      <sheetName val="Приб"/>
      <sheetName val="Потоки"/>
      <sheetName val="NPV"/>
      <sheetName val="Анализ"/>
      <sheetName val="Чувств"/>
      <sheetName val="Графики"/>
      <sheetName val="Коэфф"/>
      <sheetName val="Обор_кап"/>
      <sheetName val="Источн"/>
      <sheetName val="Залог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eerkust.ru/archives/1087" TargetMode="External" /><Relationship Id="rId2" Type="http://schemas.openxmlformats.org/officeDocument/2006/relationships/hyperlink" Target="http://semyaidom.ru/kak-vyirastit-vinograd/" TargetMode="External" /><Relationship Id="rId3" Type="http://schemas.openxmlformats.org/officeDocument/2006/relationships/hyperlink" Target="http://tiu.ru/p17330502-plastikovaya-setka-shpalera.html" TargetMode="External" /><Relationship Id="rId4" Type="http://schemas.openxmlformats.org/officeDocument/2006/relationships/hyperlink" Target="http://almaty.satu.kz/p408291-shpalery-sadovye-dlya.html" TargetMode="External" /><Relationship Id="rId5" Type="http://schemas.openxmlformats.org/officeDocument/2006/relationships/hyperlink" Target="http://vinogradna.ru/osnovnye-materialy-dlya-ustrojstva-shpalery.html" TargetMode="External" /><Relationship Id="rId6" Type="http://schemas.openxmlformats.org/officeDocument/2006/relationships/hyperlink" Target="http://uralsk.i-r.kz/offer-i-id-i-45966-i-sazhentsy-vinograda-kazahstan.html" TargetMode="External" /><Relationship Id="rId7" Type="http://schemas.openxmlformats.org/officeDocument/2006/relationships/hyperlink" Target="http://domisad-spb.ru/list/Udobrenija-stimuljatory-rosta/ammiachnaja-selitra-1kg-chudovo.html" TargetMode="External" /><Relationship Id="rId8" Type="http://schemas.openxmlformats.org/officeDocument/2006/relationships/hyperlink" Target="http://www.agroru.com/doska/dvojnoj-superfosfat-27407.htm" TargetMode="External" /><Relationship Id="rId9" Type="http://schemas.openxmlformats.org/officeDocument/2006/relationships/hyperlink" Target="http://vinodelie-online.ru/udobrenie-vinogradnika/" TargetMode="External" /><Relationship Id="rId10" Type="http://schemas.openxmlformats.org/officeDocument/2006/relationships/hyperlink" Target="http://www.rutrav.ru/mineralnie-udobreniya/kaliienie-udobreniya/kalimagneziya" TargetMode="External" /><Relationship Id="rId11" Type="http://schemas.openxmlformats.org/officeDocument/2006/relationships/hyperlink" Target="http://gardenstar.ru/enciklopediya/udobreniya/kalimagneziya.html" TargetMode="External" /><Relationship Id="rId12" Type="http://schemas.openxmlformats.org/officeDocument/2006/relationships/hyperlink" Target="http://www.mir-gazonov.ru/catalogue/manures/bhz/kalii_sernokislyi_ochischennyi_sulfat_kaliya-1.html" TargetMode="External" /><Relationship Id="rId13" Type="http://schemas.openxmlformats.org/officeDocument/2006/relationships/hyperlink" Target="http://www.planta-company.ru/katalog/internet-magazin/gerbicidy/fozat-vr-360g-l-glifosata" TargetMode="External" /><Relationship Id="rId14" Type="http://schemas.openxmlformats.org/officeDocument/2006/relationships/hyperlink" Target="http://www.agrotek-group.ru/herbicides/22-herbicides/148-fozat" TargetMode="External" /><Relationship Id="rId15" Type="http://schemas.openxmlformats.org/officeDocument/2006/relationships/hyperlink" Target="http://www.udobrenianata.ru/index.php?page=shop.product_details&amp;flypage=flypage.tpl&amp;product_id=327&amp;category_id=7&amp;option=com_virtuemart&amp;Itemid=1" TargetMode="External" /><Relationship Id="rId16" Type="http://schemas.openxmlformats.org/officeDocument/2006/relationships/hyperlink" Target="http://www.vecherniyorenburg.ru/cat807/show15204/" TargetMode="External" /><Relationship Id="rId17" Type="http://schemas.openxmlformats.org/officeDocument/2006/relationships/hyperlink" Target="http://zasoby.com.ua/plant/decis-ru.html" TargetMode="External" /><Relationship Id="rId18" Type="http://schemas.openxmlformats.org/officeDocument/2006/relationships/hyperlink" Target="http://www.agroserver.ru/b/detsis-profi-vodno-dispergiruemye-granuly-soderzhashhie-250-g-kg-227965.htm" TargetMode="External" /><Relationship Id="rId19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T142"/>
  <sheetViews>
    <sheetView showGridLines="0" showZeros="0" zoomScalePageLayoutView="0" workbookViewId="0" topLeftCell="A1">
      <pane xSplit="3" ySplit="6" topLeftCell="P22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AR1" sqref="AR1:AR16384"/>
    </sheetView>
  </sheetViews>
  <sheetFormatPr defaultColWidth="8.625" defaultRowHeight="12.75" outlineLevelRow="1" outlineLevelCol="1"/>
  <cols>
    <col min="1" max="1" width="37.25390625" style="59" customWidth="1"/>
    <col min="2" max="2" width="10.125" style="60" customWidth="1"/>
    <col min="3" max="3" width="1.875" style="60" customWidth="1"/>
    <col min="4" max="6" width="7.75390625" style="6" hidden="1" customWidth="1" outlineLevel="1"/>
    <col min="7" max="7" width="8.125" style="56" hidden="1" customWidth="1" outlineLevel="1"/>
    <col min="8" max="8" width="8.125" style="6" hidden="1" customWidth="1" outlineLevel="1"/>
    <col min="9" max="12" width="7.75390625" style="6" hidden="1" customWidth="1" outlineLevel="1"/>
    <col min="13" max="13" width="7.875" style="6" hidden="1" customWidth="1" outlineLevel="1"/>
    <col min="14" max="14" width="7.25390625" style="6" hidden="1" customWidth="1" outlineLevel="1"/>
    <col min="15" max="15" width="7.625" style="6" hidden="1" customWidth="1" outlineLevel="1"/>
    <col min="16" max="16" width="8.25390625" style="7" customWidth="1" collapsed="1"/>
    <col min="17" max="28" width="7.625" style="6" hidden="1" customWidth="1" outlineLevel="1"/>
    <col min="29" max="29" width="8.75390625" style="7" customWidth="1" collapsed="1"/>
    <col min="30" max="32" width="8.625" style="7" customWidth="1"/>
    <col min="33" max="35" width="8.625" style="8" customWidth="1"/>
    <col min="36" max="42" width="8.75390625" style="8" bestFit="1" customWidth="1"/>
    <col min="43" max="16384" width="8.625" style="8" customWidth="1"/>
  </cols>
  <sheetData>
    <row r="1" spans="1:27" ht="12.75">
      <c r="A1" s="61" t="s">
        <v>159</v>
      </c>
      <c r="B1" s="1"/>
      <c r="C1" s="1"/>
      <c r="D1" s="2"/>
      <c r="E1" s="2"/>
      <c r="F1" s="2"/>
      <c r="G1" s="3"/>
      <c r="H1" s="2"/>
      <c r="I1" s="4"/>
      <c r="J1" s="4"/>
      <c r="K1" s="4"/>
      <c r="L1" s="4"/>
      <c r="M1" s="4"/>
      <c r="N1" s="5"/>
      <c r="Q1" s="2"/>
      <c r="R1" s="2"/>
      <c r="S1" s="2"/>
      <c r="T1" s="2"/>
      <c r="U1" s="2"/>
      <c r="V1" s="4"/>
      <c r="W1" s="4"/>
      <c r="X1" s="4"/>
      <c r="Y1" s="4"/>
      <c r="Z1" s="4"/>
      <c r="AA1" s="5"/>
    </row>
    <row r="2" spans="1:27" ht="12.75" hidden="1" outlineLevel="1">
      <c r="A2" s="9">
        <f>MAX(K35:AF35)</f>
        <v>1444.6836552087916</v>
      </c>
      <c r="B2" s="10">
        <f>MIN(I35:AH35)</f>
        <v>0</v>
      </c>
      <c r="C2" s="1"/>
      <c r="D2" s="2"/>
      <c r="E2" s="2"/>
      <c r="F2" s="2"/>
      <c r="G2" s="3"/>
      <c r="H2" s="2"/>
      <c r="I2" s="4"/>
      <c r="J2" s="4"/>
      <c r="K2" s="4"/>
      <c r="L2" s="4"/>
      <c r="M2" s="4"/>
      <c r="N2" s="5"/>
      <c r="Q2" s="2"/>
      <c r="R2" s="2"/>
      <c r="S2" s="2"/>
      <c r="T2" s="2"/>
      <c r="U2" s="2"/>
      <c r="V2" s="4"/>
      <c r="W2" s="4"/>
      <c r="X2" s="4"/>
      <c r="Y2" s="4"/>
      <c r="Z2" s="4"/>
      <c r="AA2" s="5"/>
    </row>
    <row r="3" spans="1:27" ht="12.75" collapsed="1">
      <c r="A3" s="9"/>
      <c r="B3" s="10"/>
      <c r="C3" s="1"/>
      <c r="D3" s="2"/>
      <c r="E3" s="2"/>
      <c r="F3" s="2"/>
      <c r="G3" s="3"/>
      <c r="H3" s="2"/>
      <c r="I3" s="4"/>
      <c r="J3" s="4"/>
      <c r="K3" s="4"/>
      <c r="L3" s="4"/>
      <c r="M3" s="4"/>
      <c r="N3" s="5"/>
      <c r="Q3" s="2"/>
      <c r="R3" s="2"/>
      <c r="S3" s="2"/>
      <c r="T3" s="2"/>
      <c r="U3" s="2"/>
      <c r="V3" s="4"/>
      <c r="W3" s="4"/>
      <c r="X3" s="4"/>
      <c r="Y3" s="4"/>
      <c r="Z3" s="4"/>
      <c r="AA3" s="5"/>
    </row>
    <row r="4" spans="1:27" ht="12.75">
      <c r="A4" s="11"/>
      <c r="B4" s="12" t="str">
        <f>Исх!$C$9</f>
        <v>тыс.тг.</v>
      </c>
      <c r="C4" s="1"/>
      <c r="D4" s="2"/>
      <c r="E4" s="2"/>
      <c r="F4" s="3"/>
      <c r="G4" s="3"/>
      <c r="I4" s="13"/>
      <c r="J4" s="2"/>
      <c r="K4" s="2"/>
      <c r="L4" s="14"/>
      <c r="M4" s="2"/>
      <c r="N4" s="2"/>
      <c r="Q4" s="2"/>
      <c r="R4" s="2"/>
      <c r="S4" s="3"/>
      <c r="T4" s="2"/>
      <c r="V4" s="13"/>
      <c r="W4" s="2"/>
      <c r="X4" s="2"/>
      <c r="Y4" s="14"/>
      <c r="Z4" s="2"/>
      <c r="AA4" s="2"/>
    </row>
    <row r="5" spans="1:35" ht="15.75" customHeight="1">
      <c r="A5" s="307" t="s">
        <v>2</v>
      </c>
      <c r="B5" s="309" t="s">
        <v>86</v>
      </c>
      <c r="C5" s="15"/>
      <c r="D5" s="309">
        <v>2013</v>
      </c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>
        <v>2014</v>
      </c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15">
        <f>Q5+1</f>
        <v>2015</v>
      </c>
      <c r="AE5" s="15">
        <f>AD5+1</f>
        <v>2016</v>
      </c>
      <c r="AF5" s="15">
        <f>AE5+1</f>
        <v>2017</v>
      </c>
      <c r="AG5" s="15">
        <f>AF5+1</f>
        <v>2018</v>
      </c>
      <c r="AH5" s="15">
        <f>AG5+1</f>
        <v>2019</v>
      </c>
      <c r="AI5" s="15">
        <f>AH5+1</f>
        <v>2020</v>
      </c>
    </row>
    <row r="6" spans="1:35" ht="12.75">
      <c r="A6" s="308"/>
      <c r="B6" s="309"/>
      <c r="C6" s="15"/>
      <c r="D6" s="16">
        <v>1</v>
      </c>
      <c r="E6" s="16">
        <f>D6+1</f>
        <v>2</v>
      </c>
      <c r="F6" s="16">
        <f aca="true" t="shared" si="0" ref="F6:O6">E6+1</f>
        <v>3</v>
      </c>
      <c r="G6" s="16">
        <f t="shared" si="0"/>
        <v>4</v>
      </c>
      <c r="H6" s="16">
        <f t="shared" si="0"/>
        <v>5</v>
      </c>
      <c r="I6" s="16">
        <f t="shared" si="0"/>
        <v>6</v>
      </c>
      <c r="J6" s="16">
        <f t="shared" si="0"/>
        <v>7</v>
      </c>
      <c r="K6" s="16">
        <f t="shared" si="0"/>
        <v>8</v>
      </c>
      <c r="L6" s="16">
        <f t="shared" si="0"/>
        <v>9</v>
      </c>
      <c r="M6" s="16">
        <f t="shared" si="0"/>
        <v>10</v>
      </c>
      <c r="N6" s="16">
        <f t="shared" si="0"/>
        <v>11</v>
      </c>
      <c r="O6" s="16">
        <f t="shared" si="0"/>
        <v>12</v>
      </c>
      <c r="P6" s="15" t="s">
        <v>0</v>
      </c>
      <c r="Q6" s="16">
        <v>1</v>
      </c>
      <c r="R6" s="16">
        <f>Q6+1</f>
        <v>2</v>
      </c>
      <c r="S6" s="16">
        <f aca="true" t="shared" si="1" ref="S6:AB6">R6+1</f>
        <v>3</v>
      </c>
      <c r="T6" s="16">
        <f t="shared" si="1"/>
        <v>4</v>
      </c>
      <c r="U6" s="16">
        <f t="shared" si="1"/>
        <v>5</v>
      </c>
      <c r="V6" s="16">
        <f t="shared" si="1"/>
        <v>6</v>
      </c>
      <c r="W6" s="16">
        <f t="shared" si="1"/>
        <v>7</v>
      </c>
      <c r="X6" s="16">
        <f t="shared" si="1"/>
        <v>8</v>
      </c>
      <c r="Y6" s="16">
        <f t="shared" si="1"/>
        <v>9</v>
      </c>
      <c r="Z6" s="16">
        <f t="shared" si="1"/>
        <v>10</v>
      </c>
      <c r="AA6" s="16">
        <f t="shared" si="1"/>
        <v>11</v>
      </c>
      <c r="AB6" s="16">
        <f t="shared" si="1"/>
        <v>12</v>
      </c>
      <c r="AC6" s="15" t="s">
        <v>0</v>
      </c>
      <c r="AD6" s="15" t="s">
        <v>109</v>
      </c>
      <c r="AE6" s="15" t="s">
        <v>109</v>
      </c>
      <c r="AF6" s="15" t="s">
        <v>109</v>
      </c>
      <c r="AG6" s="15" t="s">
        <v>109</v>
      </c>
      <c r="AH6" s="15" t="s">
        <v>109</v>
      </c>
      <c r="AI6" s="15" t="s">
        <v>109</v>
      </c>
    </row>
    <row r="7" spans="1:35" s="21" customFormat="1" ht="25.5">
      <c r="A7" s="17" t="s">
        <v>3</v>
      </c>
      <c r="B7" s="18">
        <f>P7</f>
        <v>0</v>
      </c>
      <c r="C7" s="19"/>
      <c r="D7" s="20">
        <f>C35</f>
        <v>0</v>
      </c>
      <c r="E7" s="20">
        <f aca="true" t="shared" si="2" ref="E7:K7">D35</f>
        <v>0</v>
      </c>
      <c r="F7" s="20">
        <f t="shared" si="2"/>
        <v>0</v>
      </c>
      <c r="G7" s="20">
        <f t="shared" si="2"/>
        <v>0</v>
      </c>
      <c r="H7" s="20">
        <f t="shared" si="2"/>
        <v>0</v>
      </c>
      <c r="I7" s="20">
        <f t="shared" si="2"/>
        <v>0</v>
      </c>
      <c r="J7" s="20">
        <f t="shared" si="2"/>
        <v>0</v>
      </c>
      <c r="K7" s="20">
        <f t="shared" si="2"/>
        <v>0</v>
      </c>
      <c r="L7" s="20">
        <f>K35</f>
        <v>0</v>
      </c>
      <c r="M7" s="20">
        <f>L35</f>
        <v>0</v>
      </c>
      <c r="N7" s="20">
        <f>M35</f>
        <v>0</v>
      </c>
      <c r="O7" s="20">
        <f>N35</f>
        <v>0</v>
      </c>
      <c r="P7" s="20">
        <f>D7</f>
        <v>0</v>
      </c>
      <c r="Q7" s="20">
        <f>P35</f>
        <v>0</v>
      </c>
      <c r="R7" s="20">
        <f aca="true" t="shared" si="3" ref="R7:AA7">Q35</f>
        <v>0</v>
      </c>
      <c r="S7" s="20">
        <f t="shared" si="3"/>
        <v>0</v>
      </c>
      <c r="T7" s="20">
        <f t="shared" si="3"/>
        <v>0</v>
      </c>
      <c r="U7" s="20">
        <f t="shared" si="3"/>
        <v>0</v>
      </c>
      <c r="V7" s="20">
        <f t="shared" si="3"/>
        <v>0</v>
      </c>
      <c r="W7" s="20">
        <f t="shared" si="3"/>
        <v>0</v>
      </c>
      <c r="X7" s="20">
        <f t="shared" si="3"/>
        <v>0</v>
      </c>
      <c r="Y7" s="20">
        <f t="shared" si="3"/>
        <v>0</v>
      </c>
      <c r="Z7" s="20">
        <f t="shared" si="3"/>
        <v>0</v>
      </c>
      <c r="AA7" s="20">
        <f t="shared" si="3"/>
        <v>0</v>
      </c>
      <c r="AB7" s="20">
        <f>AA35</f>
        <v>0</v>
      </c>
      <c r="AC7" s="20">
        <f>Q7</f>
        <v>0</v>
      </c>
      <c r="AD7" s="20">
        <f aca="true" t="shared" si="4" ref="AD7:AI7">AC35</f>
        <v>0</v>
      </c>
      <c r="AE7" s="20">
        <f t="shared" si="4"/>
        <v>0</v>
      </c>
      <c r="AF7" s="20">
        <f t="shared" si="4"/>
        <v>829.2076156703788</v>
      </c>
      <c r="AG7" s="20">
        <f t="shared" si="4"/>
        <v>1444.6836552087916</v>
      </c>
      <c r="AH7" s="20">
        <f t="shared" si="4"/>
        <v>2079.0962710626673</v>
      </c>
      <c r="AI7" s="20">
        <f t="shared" si="4"/>
        <v>2732.4454632320057</v>
      </c>
    </row>
    <row r="8" spans="1:35" s="21" customFormat="1" ht="12.75">
      <c r="A8" s="22" t="s">
        <v>9</v>
      </c>
      <c r="B8" s="23"/>
      <c r="C8" s="23"/>
      <c r="D8" s="24"/>
      <c r="E8" s="24"/>
      <c r="F8" s="24"/>
      <c r="G8" s="25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</row>
    <row r="9" spans="1:35" s="21" customFormat="1" ht="12.75">
      <c r="A9" s="26" t="s">
        <v>16</v>
      </c>
      <c r="B9" s="27">
        <f>SUM(B10:B11)</f>
        <v>11974.285714285714</v>
      </c>
      <c r="C9" s="27"/>
      <c r="D9" s="27">
        <f aca="true" t="shared" si="5" ref="D9:AI9">SUM(D10:D11)</f>
        <v>0</v>
      </c>
      <c r="E9" s="27">
        <f t="shared" si="5"/>
        <v>0</v>
      </c>
      <c r="F9" s="27">
        <f t="shared" si="5"/>
        <v>0</v>
      </c>
      <c r="G9" s="27">
        <f t="shared" si="5"/>
        <v>0</v>
      </c>
      <c r="H9" s="27">
        <f t="shared" si="5"/>
        <v>0</v>
      </c>
      <c r="I9" s="27">
        <f t="shared" si="5"/>
        <v>0</v>
      </c>
      <c r="J9" s="27">
        <f t="shared" si="5"/>
        <v>0</v>
      </c>
      <c r="K9" s="27">
        <f t="shared" si="5"/>
        <v>0</v>
      </c>
      <c r="L9" s="27">
        <f t="shared" si="5"/>
        <v>0</v>
      </c>
      <c r="M9" s="27">
        <f t="shared" si="5"/>
        <v>0</v>
      </c>
      <c r="N9" s="27">
        <f t="shared" si="5"/>
        <v>0</v>
      </c>
      <c r="O9" s="27">
        <f t="shared" si="5"/>
        <v>0</v>
      </c>
      <c r="P9" s="27">
        <f t="shared" si="5"/>
        <v>0</v>
      </c>
      <c r="Q9" s="27">
        <f t="shared" si="5"/>
        <v>0</v>
      </c>
      <c r="R9" s="27">
        <f t="shared" si="5"/>
        <v>0</v>
      </c>
      <c r="S9" s="27">
        <f t="shared" si="5"/>
        <v>0</v>
      </c>
      <c r="T9" s="27">
        <f t="shared" si="5"/>
        <v>0</v>
      </c>
      <c r="U9" s="27">
        <f t="shared" si="5"/>
        <v>0</v>
      </c>
      <c r="V9" s="27">
        <f t="shared" si="5"/>
        <v>0</v>
      </c>
      <c r="W9" s="27">
        <f t="shared" si="5"/>
        <v>0</v>
      </c>
      <c r="X9" s="27">
        <f t="shared" si="5"/>
        <v>0</v>
      </c>
      <c r="Y9" s="27">
        <f t="shared" si="5"/>
        <v>0</v>
      </c>
      <c r="Z9" s="27">
        <f t="shared" si="5"/>
        <v>0</v>
      </c>
      <c r="AA9" s="27">
        <f t="shared" si="5"/>
        <v>0</v>
      </c>
      <c r="AB9" s="27">
        <f t="shared" si="5"/>
        <v>0</v>
      </c>
      <c r="AC9" s="27">
        <f t="shared" si="5"/>
        <v>0</v>
      </c>
      <c r="AD9" s="27">
        <f t="shared" si="5"/>
        <v>0</v>
      </c>
      <c r="AE9" s="27">
        <f t="shared" si="5"/>
        <v>2394.8571428571427</v>
      </c>
      <c r="AF9" s="27">
        <f t="shared" si="5"/>
        <v>2394.8571428571427</v>
      </c>
      <c r="AG9" s="27">
        <f t="shared" si="5"/>
        <v>2394.8571428571427</v>
      </c>
      <c r="AH9" s="27">
        <f t="shared" si="5"/>
        <v>2394.8571428571427</v>
      </c>
      <c r="AI9" s="27">
        <f t="shared" si="5"/>
        <v>2394.8571428571427</v>
      </c>
    </row>
    <row r="10" spans="1:35" ht="12.75">
      <c r="A10" s="28" t="str">
        <f>'2-ф2'!A6</f>
        <v>Столовый виноград</v>
      </c>
      <c r="B10" s="27">
        <f aca="true" t="shared" si="6" ref="B10:B17">P10+AC10+AD10+AE10+AF10+AG10+AH10+AI10</f>
        <v>8579.999999999998</v>
      </c>
      <c r="C10" s="27"/>
      <c r="D10" s="29">
        <f>'2-ф2'!D6*Исх!$C$18</f>
        <v>0</v>
      </c>
      <c r="E10" s="29">
        <f>'2-ф2'!E6*Исх!$C$18</f>
        <v>0</v>
      </c>
      <c r="F10" s="29">
        <f>'2-ф2'!F6*Исх!$C$18</f>
        <v>0</v>
      </c>
      <c r="G10" s="29">
        <f>'2-ф2'!G6*Исх!$C$18</f>
        <v>0</v>
      </c>
      <c r="H10" s="29">
        <f>'2-ф2'!H6*Исх!$C$18</f>
        <v>0</v>
      </c>
      <c r="I10" s="29">
        <f>'2-ф2'!I6*Исх!$C$18</f>
        <v>0</v>
      </c>
      <c r="J10" s="29">
        <f>'2-ф2'!J6*Исх!$C$18</f>
        <v>0</v>
      </c>
      <c r="K10" s="29">
        <f>'2-ф2'!K6*Исх!$C$18</f>
        <v>0</v>
      </c>
      <c r="L10" s="29">
        <f>'2-ф2'!L6*Исх!$C$18</f>
        <v>0</v>
      </c>
      <c r="M10" s="29">
        <f>'2-ф2'!M6*Исх!$C$18</f>
        <v>0</v>
      </c>
      <c r="N10" s="29">
        <f>'2-ф2'!N6*Исх!$C$18</f>
        <v>0</v>
      </c>
      <c r="O10" s="29">
        <f>'2-ф2'!O6*Исх!$C$18</f>
        <v>0</v>
      </c>
      <c r="P10" s="27">
        <f>SUM(D10:O10)</f>
        <v>0</v>
      </c>
      <c r="Q10" s="29">
        <f>'2-ф2'!Q6*Исх!$C$18</f>
        <v>0</v>
      </c>
      <c r="R10" s="29">
        <f>'2-ф2'!R6*Исх!$C$18</f>
        <v>0</v>
      </c>
      <c r="S10" s="29">
        <f>'2-ф2'!S6*Исх!$C$18</f>
        <v>0</v>
      </c>
      <c r="T10" s="29">
        <f>'2-ф2'!T6*Исх!$C$18</f>
        <v>0</v>
      </c>
      <c r="U10" s="29">
        <f>'2-ф2'!U6*Исх!$C$18</f>
        <v>0</v>
      </c>
      <c r="V10" s="29">
        <f>'2-ф2'!V6*Исх!$C$18</f>
        <v>0</v>
      </c>
      <c r="W10" s="29">
        <f>'2-ф2'!W6*Исх!$C$18</f>
        <v>0</v>
      </c>
      <c r="X10" s="29">
        <f>'2-ф2'!X6*Исх!$C$18</f>
        <v>0</v>
      </c>
      <c r="Y10" s="29">
        <f>'2-ф2'!Y6*Исх!$C$18</f>
        <v>0</v>
      </c>
      <c r="Z10" s="29">
        <f>'2-ф2'!Z6*Исх!$C$18</f>
        <v>0</v>
      </c>
      <c r="AA10" s="29">
        <f>'2-ф2'!AA6*Исх!$C$18</f>
        <v>0</v>
      </c>
      <c r="AB10" s="29">
        <f>'2-ф2'!AB6*Исх!$C$18</f>
        <v>0</v>
      </c>
      <c r="AC10" s="27">
        <f>SUM(Q10:AB10)</f>
        <v>0</v>
      </c>
      <c r="AD10" s="29">
        <f>'2-ф2'!AD6*Исх!$C$18</f>
        <v>0</v>
      </c>
      <c r="AE10" s="29">
        <f>'2-ф2'!AE6*Исх!$C$18</f>
        <v>1715.9999999999998</v>
      </c>
      <c r="AF10" s="29">
        <f>'2-ф2'!AF6*Исх!$C$18</f>
        <v>1715.9999999999998</v>
      </c>
      <c r="AG10" s="29">
        <f>'2-ф2'!AG6*Исх!$C$18</f>
        <v>1715.9999999999998</v>
      </c>
      <c r="AH10" s="29">
        <f>'2-ф2'!AH6*Исх!$C$18</f>
        <v>1715.9999999999998</v>
      </c>
      <c r="AI10" s="29">
        <f>'2-ф2'!AI6*Исх!$C$18</f>
        <v>1715.9999999999998</v>
      </c>
    </row>
    <row r="11" spans="1:35" ht="12.75">
      <c r="A11" s="28" t="str">
        <f>'2-ф2'!A7</f>
        <v>Винный виноград</v>
      </c>
      <c r="B11" s="27">
        <f t="shared" si="6"/>
        <v>3394.2857142857147</v>
      </c>
      <c r="C11" s="27"/>
      <c r="D11" s="29">
        <f>'2-ф2'!D7*Исх!$C$18</f>
        <v>0</v>
      </c>
      <c r="E11" s="29">
        <f>'2-ф2'!E7*Исх!$C$18</f>
        <v>0</v>
      </c>
      <c r="F11" s="29">
        <f>'2-ф2'!F7*Исх!$C$18</f>
        <v>0</v>
      </c>
      <c r="G11" s="29">
        <f>'2-ф2'!G7*Исх!$C$18</f>
        <v>0</v>
      </c>
      <c r="H11" s="29">
        <f>'2-ф2'!H7*Исх!$C$18</f>
        <v>0</v>
      </c>
      <c r="I11" s="29">
        <f>'2-ф2'!I7*Исх!$C$18</f>
        <v>0</v>
      </c>
      <c r="J11" s="29">
        <f>'2-ф2'!J7*Исх!$C$18</f>
        <v>0</v>
      </c>
      <c r="K11" s="29">
        <f>'2-ф2'!K7*Исх!$C$18</f>
        <v>0</v>
      </c>
      <c r="L11" s="29">
        <f>'2-ф2'!L7*Исх!$C$18</f>
        <v>0</v>
      </c>
      <c r="M11" s="29">
        <f>'2-ф2'!M7*Исх!$C$18</f>
        <v>0</v>
      </c>
      <c r="N11" s="29">
        <f>'2-ф2'!N7*Исх!$C$18</f>
        <v>0</v>
      </c>
      <c r="O11" s="29">
        <f>'2-ф2'!O7*Исх!$C$18</f>
        <v>0</v>
      </c>
      <c r="P11" s="27">
        <f>SUM(D11:O11)</f>
        <v>0</v>
      </c>
      <c r="Q11" s="29">
        <f>'2-ф2'!Q7*Исх!$C$18</f>
        <v>0</v>
      </c>
      <c r="R11" s="29">
        <f>'2-ф2'!R7*Исх!$C$18</f>
        <v>0</v>
      </c>
      <c r="S11" s="29">
        <f>'2-ф2'!S7*Исх!$C$18</f>
        <v>0</v>
      </c>
      <c r="T11" s="29">
        <f>'2-ф2'!T7*Исх!$C$18</f>
        <v>0</v>
      </c>
      <c r="U11" s="29">
        <f>'2-ф2'!U7*Исх!$C$18</f>
        <v>0</v>
      </c>
      <c r="V11" s="29">
        <f>'2-ф2'!V7*Исх!$C$18</f>
        <v>0</v>
      </c>
      <c r="W11" s="29">
        <f>'2-ф2'!W7*Исх!$C$18</f>
        <v>0</v>
      </c>
      <c r="X11" s="29">
        <f>'2-ф2'!X7*Исх!$C$18</f>
        <v>0</v>
      </c>
      <c r="Y11" s="29">
        <f>'2-ф2'!Y7*Исх!$C$18</f>
        <v>0</v>
      </c>
      <c r="Z11" s="29">
        <f>'2-ф2'!Z7*Исх!$C$18</f>
        <v>0</v>
      </c>
      <c r="AA11" s="29">
        <f>'2-ф2'!AA7*Исх!$C$18</f>
        <v>0</v>
      </c>
      <c r="AB11" s="29">
        <f>'2-ф2'!AB7*Исх!$C$18</f>
        <v>0</v>
      </c>
      <c r="AC11" s="27">
        <f>SUM(Q11:AB11)</f>
        <v>0</v>
      </c>
      <c r="AD11" s="29">
        <f>'2-ф2'!AD7*Исх!$C$18</f>
        <v>0</v>
      </c>
      <c r="AE11" s="29">
        <f>'2-ф2'!AE7*Исх!$C$18</f>
        <v>678.8571428571429</v>
      </c>
      <c r="AF11" s="29">
        <f>'2-ф2'!AF7*Исх!$C$18</f>
        <v>678.8571428571429</v>
      </c>
      <c r="AG11" s="29">
        <f>'2-ф2'!AG7*Исх!$C$18</f>
        <v>678.8571428571429</v>
      </c>
      <c r="AH11" s="29">
        <f>'2-ф2'!AH7*Исх!$C$18</f>
        <v>678.8571428571429</v>
      </c>
      <c r="AI11" s="29">
        <f>'2-ф2'!AI7*Исх!$C$18</f>
        <v>678.8571428571429</v>
      </c>
    </row>
    <row r="12" spans="1:35" s="21" customFormat="1" ht="12.75">
      <c r="A12" s="30" t="s">
        <v>4</v>
      </c>
      <c r="B12" s="27">
        <f>SUM(B13:B17)</f>
        <v>10277.083364760556</v>
      </c>
      <c r="C12" s="27"/>
      <c r="D12" s="31">
        <f aca="true" t="shared" si="7" ref="D12:AI12">SUM(D13:D17)</f>
        <v>0</v>
      </c>
      <c r="E12" s="31">
        <f t="shared" si="7"/>
        <v>0</v>
      </c>
      <c r="F12" s="31">
        <f t="shared" si="7"/>
        <v>0</v>
      </c>
      <c r="G12" s="31">
        <f t="shared" si="7"/>
        <v>0</v>
      </c>
      <c r="H12" s="31">
        <f t="shared" si="7"/>
        <v>0</v>
      </c>
      <c r="I12" s="31">
        <f t="shared" si="7"/>
        <v>0</v>
      </c>
      <c r="J12" s="31">
        <f t="shared" si="7"/>
        <v>0</v>
      </c>
      <c r="K12" s="31">
        <f t="shared" si="7"/>
        <v>0</v>
      </c>
      <c r="L12" s="31">
        <f t="shared" si="7"/>
        <v>0</v>
      </c>
      <c r="M12" s="31">
        <f t="shared" si="7"/>
        <v>0</v>
      </c>
      <c r="N12" s="31">
        <f t="shared" si="7"/>
        <v>0</v>
      </c>
      <c r="O12" s="31">
        <f t="shared" si="7"/>
        <v>0</v>
      </c>
      <c r="P12" s="31">
        <f t="shared" si="7"/>
        <v>0</v>
      </c>
      <c r="Q12" s="31">
        <f t="shared" si="7"/>
        <v>0</v>
      </c>
      <c r="R12" s="31">
        <f t="shared" si="7"/>
        <v>0</v>
      </c>
      <c r="S12" s="31">
        <f t="shared" si="7"/>
        <v>228.72879800000004</v>
      </c>
      <c r="T12" s="31">
        <f t="shared" si="7"/>
        <v>133.07452500000002</v>
      </c>
      <c r="U12" s="31">
        <f t="shared" si="7"/>
        <v>162.373819794</v>
      </c>
      <c r="V12" s="31">
        <f t="shared" si="7"/>
        <v>162.373819794</v>
      </c>
      <c r="W12" s="31">
        <f t="shared" si="7"/>
        <v>162.373819794</v>
      </c>
      <c r="X12" s="31">
        <f t="shared" si="7"/>
        <v>133.07452500000002</v>
      </c>
      <c r="Y12" s="31">
        <f t="shared" si="7"/>
        <v>133.07452500000002</v>
      </c>
      <c r="Z12" s="31">
        <f t="shared" si="7"/>
        <v>258.02809279400003</v>
      </c>
      <c r="AA12" s="31">
        <f t="shared" si="7"/>
        <v>6.312192105154323</v>
      </c>
      <c r="AB12" s="31">
        <f t="shared" si="7"/>
        <v>6.312192105154323</v>
      </c>
      <c r="AC12" s="31">
        <f t="shared" si="7"/>
        <v>1385.726309386309</v>
      </c>
      <c r="AD12" s="31">
        <f t="shared" si="7"/>
        <v>1448.8482304378522</v>
      </c>
      <c r="AE12" s="31">
        <f t="shared" si="7"/>
        <v>1520.5624407213759</v>
      </c>
      <c r="AF12" s="31">
        <f t="shared" si="7"/>
        <v>1508.858584526402</v>
      </c>
      <c r="AG12" s="31">
        <f t="shared" si="7"/>
        <v>1489.922008210939</v>
      </c>
      <c r="AH12" s="31">
        <f t="shared" si="7"/>
        <v>1470.9854318954763</v>
      </c>
      <c r="AI12" s="31">
        <f t="shared" si="7"/>
        <v>1452.180359582204</v>
      </c>
    </row>
    <row r="13" spans="1:35" ht="12.75">
      <c r="A13" s="28" t="str">
        <f>'2-ф2'!A9</f>
        <v>Удобрения и хим.препараты</v>
      </c>
      <c r="B13" s="27">
        <f t="shared" si="6"/>
        <v>2159.540076232</v>
      </c>
      <c r="C13" s="32"/>
      <c r="D13" s="29">
        <f>'2-ф2'!D9*Исх!$C$18</f>
        <v>0</v>
      </c>
      <c r="E13" s="29">
        <f>'2-ф2'!E9*Исх!$C$18</f>
        <v>0</v>
      </c>
      <c r="F13" s="29">
        <f>'2-ф2'!F9*Исх!$C$18</f>
        <v>0</v>
      </c>
      <c r="G13" s="29">
        <f>'2-ф2'!G9*Исх!$C$18</f>
        <v>0</v>
      </c>
      <c r="H13" s="29">
        <f>'2-ф2'!H9*Исх!$C$18</f>
        <v>0</v>
      </c>
      <c r="I13" s="29">
        <f>'2-ф2'!I9*Исх!$C$18</f>
        <v>0</v>
      </c>
      <c r="J13" s="29">
        <f>'2-ф2'!J9*Исх!$C$18</f>
        <v>0</v>
      </c>
      <c r="K13" s="29">
        <f>'Расх перем'!J19</f>
        <v>0</v>
      </c>
      <c r="L13" s="29">
        <f>'Расх перем'!K19</f>
        <v>0</v>
      </c>
      <c r="M13" s="29">
        <f>'Расх перем'!L19</f>
        <v>0</v>
      </c>
      <c r="N13" s="29">
        <f>'Расх перем'!M19</f>
        <v>0</v>
      </c>
      <c r="O13" s="29">
        <f>'Расх перем'!N19</f>
        <v>0</v>
      </c>
      <c r="P13" s="27">
        <f>SUM(D13:O13)</f>
        <v>0</v>
      </c>
      <c r="Q13" s="29">
        <f>'Расх перем'!C18+'Расх перем'!C19</f>
        <v>0</v>
      </c>
      <c r="R13" s="29">
        <f>'Расх перем'!D18+'Расх перем'!D19</f>
        <v>0</v>
      </c>
      <c r="S13" s="29">
        <f>'Расх перем'!E18+'Расх перем'!E19</f>
        <v>95.65427300000002</v>
      </c>
      <c r="T13" s="29">
        <f>'Расх перем'!F18+'Расх перем'!F19</f>
        <v>0</v>
      </c>
      <c r="U13" s="29">
        <f>'Расх перем'!G18+'Расх перем'!G19</f>
        <v>29.299294794</v>
      </c>
      <c r="V13" s="29">
        <f>'Расх перем'!H18+'Расх перем'!H19</f>
        <v>29.299294794</v>
      </c>
      <c r="W13" s="29">
        <f>'Расх перем'!I18+'Расх перем'!I19</f>
        <v>29.299294794</v>
      </c>
      <c r="X13" s="29">
        <f>'Расх перем'!J18+'Расх перем'!J19</f>
        <v>0</v>
      </c>
      <c r="Y13" s="29">
        <f>'Расх перем'!K18+'Расх перем'!K19</f>
        <v>0</v>
      </c>
      <c r="Z13" s="29">
        <f>'Расх перем'!L18+'Расх перем'!L19</f>
        <v>124.95356779400001</v>
      </c>
      <c r="AA13" s="29">
        <f>'Расх перем'!M18+'Расх перем'!M19</f>
        <v>0</v>
      </c>
      <c r="AB13" s="29">
        <f>'Расх перем'!N18+'Расх перем'!N19</f>
        <v>0</v>
      </c>
      <c r="AC13" s="27">
        <f>SUM(Q13:AB13)</f>
        <v>308.50572517600006</v>
      </c>
      <c r="AD13" s="29">
        <f aca="true" t="shared" si="8" ref="AD13:AI13">AC13</f>
        <v>308.50572517600006</v>
      </c>
      <c r="AE13" s="29">
        <f t="shared" si="8"/>
        <v>308.50572517600006</v>
      </c>
      <c r="AF13" s="29">
        <f t="shared" si="8"/>
        <v>308.50572517600006</v>
      </c>
      <c r="AG13" s="29">
        <f t="shared" si="8"/>
        <v>308.50572517600006</v>
      </c>
      <c r="AH13" s="29">
        <f t="shared" si="8"/>
        <v>308.50572517600006</v>
      </c>
      <c r="AI13" s="29">
        <f t="shared" si="8"/>
        <v>308.50572517600006</v>
      </c>
    </row>
    <row r="14" spans="1:35" ht="12.75">
      <c r="A14" s="28" t="s">
        <v>143</v>
      </c>
      <c r="B14" s="27">
        <f t="shared" si="6"/>
        <v>7452.173400000001</v>
      </c>
      <c r="C14" s="27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7">
        <f>SUM(D14:O14)</f>
        <v>0</v>
      </c>
      <c r="Q14" s="29"/>
      <c r="R14" s="29"/>
      <c r="S14" s="29">
        <f>(Пост!$D$13-Пост!$D$6)*Исх!$C$18+Пост!$D$6+Пост!$D$15+Пост!$D$18</f>
        <v>133.07452500000002</v>
      </c>
      <c r="T14" s="29">
        <f>(Пост!$D$13-Пост!$D$6)*Исх!$C$18+Пост!$D$6+Пост!$D$15+Пост!$D$18</f>
        <v>133.07452500000002</v>
      </c>
      <c r="U14" s="29">
        <f>(Пост!$D$13-Пост!$D$6)*Исх!$C$18+Пост!$D$6+Пост!$D$15+Пост!$D$18</f>
        <v>133.07452500000002</v>
      </c>
      <c r="V14" s="29">
        <f>(Пост!$D$13-Пост!$D$6)*Исх!$C$18+Пост!$D$6+Пост!$D$15+Пост!$D$18</f>
        <v>133.07452500000002</v>
      </c>
      <c r="W14" s="29">
        <f>(Пост!$D$13-Пост!$D$6)*Исх!$C$18+Пост!$D$6+Пост!$D$15+Пост!$D$18</f>
        <v>133.07452500000002</v>
      </c>
      <c r="X14" s="29">
        <f>(Пост!$D$13-Пост!$D$6)*Исх!$C$18+Пост!$D$6+Пост!$D$15+Пост!$D$18</f>
        <v>133.07452500000002</v>
      </c>
      <c r="Y14" s="29">
        <f>(Пост!$D$13-Пост!$D$6)*Исх!$C$18+Пост!$D$6+Пост!$D$15+Пост!$D$18</f>
        <v>133.07452500000002</v>
      </c>
      <c r="Z14" s="29">
        <f>(Пост!$D$13-Пост!$D$6)*Исх!$C$18+Пост!$D$6+Пост!$D$15+Пост!$D$18</f>
        <v>133.07452500000002</v>
      </c>
      <c r="AA14" s="29"/>
      <c r="AB14" s="29"/>
      <c r="AC14" s="27">
        <f>SUM(Q14:AB14)</f>
        <v>1064.5962000000002</v>
      </c>
      <c r="AD14" s="29">
        <f>((Пост!E13-Пост!E6)*Исх!$C$18+Пост!E6+Пост!E15+Пост!E18)*8</f>
        <v>1064.5962000000002</v>
      </c>
      <c r="AE14" s="29">
        <f>((Пост!F13-Пост!F6)*Исх!$C$18+Пост!F6+Пост!F15+Пост!F18)*8</f>
        <v>1064.5962000000002</v>
      </c>
      <c r="AF14" s="29">
        <f>((Пост!G13-Пост!G6)*Исх!$C$18+Пост!G6+Пост!G15+Пост!G18)*8</f>
        <v>1064.5962000000002</v>
      </c>
      <c r="AG14" s="29">
        <f>((Пост!H13-Пост!H6)*Исх!$C$18+Пост!H6+Пост!H15+Пост!H18)*8</f>
        <v>1064.5962000000002</v>
      </c>
      <c r="AH14" s="29">
        <f>((Пост!I13-Пост!I6)*Исх!$C$18+Пост!I6+Пост!I15+Пост!I18)*8</f>
        <v>1064.5962000000002</v>
      </c>
      <c r="AI14" s="29">
        <f>((Пост!J13-Пост!J6)*Исх!$C$18+Пост!J6+Пост!J15+Пост!J18)*8</f>
        <v>1064.5962000000002</v>
      </c>
    </row>
    <row r="15" spans="1:35" ht="12.75">
      <c r="A15" s="28" t="s">
        <v>52</v>
      </c>
      <c r="B15" s="27">
        <f t="shared" si="6"/>
        <v>306.1413170999848</v>
      </c>
      <c r="C15" s="27"/>
      <c r="D15" s="29">
        <f>кр!C11</f>
        <v>0</v>
      </c>
      <c r="E15" s="29">
        <f>кр!D11</f>
        <v>0</v>
      </c>
      <c r="F15" s="29">
        <f>кр!E11</f>
        <v>0</v>
      </c>
      <c r="G15" s="29">
        <f>кр!F11</f>
        <v>0</v>
      </c>
      <c r="H15" s="29">
        <f>кр!G11</f>
        <v>0</v>
      </c>
      <c r="I15" s="29">
        <f>кр!H11</f>
        <v>0</v>
      </c>
      <c r="J15" s="29">
        <f>кр!I11</f>
        <v>0</v>
      </c>
      <c r="K15" s="29">
        <f>кр!J11</f>
        <v>0</v>
      </c>
      <c r="L15" s="29">
        <f>кр!K11</f>
        <v>0</v>
      </c>
      <c r="M15" s="29">
        <f>кр!L11</f>
        <v>0</v>
      </c>
      <c r="N15" s="29">
        <f>кр!M11</f>
        <v>0</v>
      </c>
      <c r="O15" s="29">
        <f>кр!N11</f>
        <v>0</v>
      </c>
      <c r="P15" s="27">
        <f>SUM(D15:O15)</f>
        <v>0</v>
      </c>
      <c r="Q15" s="29">
        <f>кр!P11</f>
        <v>0</v>
      </c>
      <c r="R15" s="29">
        <f>кр!Q11</f>
        <v>0</v>
      </c>
      <c r="S15" s="29">
        <f>кр!R11</f>
        <v>0</v>
      </c>
      <c r="T15" s="29">
        <f>кр!S11</f>
        <v>0</v>
      </c>
      <c r="U15" s="29">
        <f>кр!T11</f>
        <v>0</v>
      </c>
      <c r="V15" s="29">
        <f>кр!U11</f>
        <v>0</v>
      </c>
      <c r="W15" s="29">
        <f>кр!V11</f>
        <v>0</v>
      </c>
      <c r="X15" s="29">
        <f>кр!W11</f>
        <v>0</v>
      </c>
      <c r="Y15" s="29">
        <f>кр!X11</f>
        <v>0</v>
      </c>
      <c r="Z15" s="29">
        <f>кр!Y11</f>
        <v>0</v>
      </c>
      <c r="AA15" s="29">
        <f>кр!Z11</f>
        <v>6.312192105154323</v>
      </c>
      <c r="AB15" s="29">
        <f>кр!AA11</f>
        <v>6.312192105154323</v>
      </c>
      <c r="AC15" s="27">
        <f>SUM(Q15:AB15)</f>
        <v>12.624384210308646</v>
      </c>
      <c r="AD15" s="33">
        <f>кр!AO11</f>
        <v>75.74630526185187</v>
      </c>
      <c r="AE15" s="33">
        <f>кр!BB11</f>
        <v>75.61480125966116</v>
      </c>
      <c r="AF15" s="33">
        <f>кр!BO11</f>
        <v>63.910945064687525</v>
      </c>
      <c r="AG15" s="33">
        <f>кр!CB11</f>
        <v>44.97436874922457</v>
      </c>
      <c r="AH15" s="33">
        <f>кр!CO11</f>
        <v>26.03779243376161</v>
      </c>
      <c r="AI15" s="33">
        <f>кр!DB11</f>
        <v>7.232720120489368</v>
      </c>
    </row>
    <row r="16" spans="1:35" ht="12.75">
      <c r="A16" s="28" t="s">
        <v>201</v>
      </c>
      <c r="B16" s="27">
        <f t="shared" si="6"/>
        <v>359.2285714285714</v>
      </c>
      <c r="C16" s="27"/>
      <c r="D16" s="29">
        <f>'2-ф2'!D15</f>
        <v>0</v>
      </c>
      <c r="E16" s="29">
        <f>'2-ф2'!E15</f>
        <v>0</v>
      </c>
      <c r="F16" s="29">
        <f>'2-ф2'!F15</f>
        <v>0</v>
      </c>
      <c r="G16" s="29">
        <f>'2-ф2'!G15</f>
        <v>0</v>
      </c>
      <c r="H16" s="29">
        <f>'2-ф2'!H15</f>
        <v>0</v>
      </c>
      <c r="I16" s="29">
        <f>'2-ф2'!I15</f>
        <v>0</v>
      </c>
      <c r="J16" s="29">
        <f>'2-ф2'!J15</f>
        <v>0</v>
      </c>
      <c r="K16" s="29">
        <f>'2-ф2'!K15</f>
        <v>0</v>
      </c>
      <c r="L16" s="29">
        <f>'2-ф2'!L15</f>
        <v>0</v>
      </c>
      <c r="M16" s="29">
        <f>'2-ф2'!M15</f>
        <v>0</v>
      </c>
      <c r="N16" s="29">
        <f>'2-ф2'!N15</f>
        <v>0</v>
      </c>
      <c r="O16" s="29">
        <f>'2-ф2'!O15</f>
        <v>0</v>
      </c>
      <c r="P16" s="27">
        <f>SUM(D16:O16)</f>
        <v>0</v>
      </c>
      <c r="Q16" s="29">
        <f>'2-ф2'!Q15</f>
        <v>0</v>
      </c>
      <c r="R16" s="29">
        <f>'2-ф2'!R15</f>
        <v>0</v>
      </c>
      <c r="S16" s="29">
        <f>'2-ф2'!S15</f>
        <v>0</v>
      </c>
      <c r="T16" s="29">
        <f>'2-ф2'!T15</f>
        <v>0</v>
      </c>
      <c r="U16" s="29">
        <f>'2-ф2'!U15</f>
        <v>0</v>
      </c>
      <c r="V16" s="29">
        <f>'2-ф2'!V15</f>
        <v>0</v>
      </c>
      <c r="W16" s="29">
        <f>'2-ф2'!W15</f>
        <v>0</v>
      </c>
      <c r="X16" s="29">
        <f>'2-ф2'!X15</f>
        <v>0</v>
      </c>
      <c r="Y16" s="29">
        <f>'2-ф2'!Y15</f>
        <v>0</v>
      </c>
      <c r="Z16" s="29">
        <f>'2-ф2'!Z15</f>
        <v>0</v>
      </c>
      <c r="AA16" s="29">
        <f>'2-ф2'!AA15</f>
        <v>0</v>
      </c>
      <c r="AB16" s="29">
        <f>'2-ф2'!AB15</f>
        <v>0</v>
      </c>
      <c r="AC16" s="27">
        <f>SUM(Q16:AB16)</f>
        <v>0</v>
      </c>
      <c r="AD16" s="29">
        <f>'2-ф2'!AD15</f>
        <v>0</v>
      </c>
      <c r="AE16" s="29">
        <f>'2-ф2'!AE15</f>
        <v>71.84571428571428</v>
      </c>
      <c r="AF16" s="29">
        <f>'2-ф2'!AF15</f>
        <v>71.84571428571428</v>
      </c>
      <c r="AG16" s="29">
        <f>'2-ф2'!AG15</f>
        <v>71.84571428571428</v>
      </c>
      <c r="AH16" s="29">
        <f>'2-ф2'!AH15</f>
        <v>71.84571428571428</v>
      </c>
      <c r="AI16" s="29">
        <f>'2-ф2'!AI15</f>
        <v>71.84571428571428</v>
      </c>
    </row>
    <row r="17" spans="1:35" ht="12.75">
      <c r="A17" s="28" t="s">
        <v>31</v>
      </c>
      <c r="B17" s="27">
        <f t="shared" si="6"/>
        <v>0</v>
      </c>
      <c r="C17" s="27"/>
      <c r="D17" s="29">
        <f>'2-ф2'!D30</f>
        <v>0</v>
      </c>
      <c r="E17" s="29">
        <f>'2-ф2'!E30</f>
        <v>0</v>
      </c>
      <c r="F17" s="29">
        <f>'2-ф2'!F30</f>
        <v>0</v>
      </c>
      <c r="G17" s="29">
        <f>'2-ф2'!G30</f>
        <v>0</v>
      </c>
      <c r="H17" s="29">
        <f>'2-ф2'!H30</f>
        <v>0</v>
      </c>
      <c r="I17" s="29">
        <f>'2-ф2'!I30</f>
        <v>0</v>
      </c>
      <c r="J17" s="29">
        <f>'2-ф2'!J30</f>
        <v>0</v>
      </c>
      <c r="K17" s="29">
        <f>'2-ф2'!K30</f>
        <v>0</v>
      </c>
      <c r="L17" s="29">
        <f>'2-ф2'!L30</f>
        <v>0</v>
      </c>
      <c r="M17" s="29">
        <f>'2-ф2'!M30</f>
        <v>0</v>
      </c>
      <c r="N17" s="29">
        <f>'2-ф2'!N30</f>
        <v>0</v>
      </c>
      <c r="O17" s="29">
        <f>'2-ф2'!O30</f>
        <v>0</v>
      </c>
      <c r="P17" s="27">
        <f>SUM(D17:O17)</f>
        <v>0</v>
      </c>
      <c r="Q17" s="29">
        <f>'2-ф2'!Q30</f>
        <v>0</v>
      </c>
      <c r="R17" s="29">
        <f>'2-ф2'!R30</f>
        <v>0</v>
      </c>
      <c r="S17" s="29">
        <f>'2-ф2'!S30</f>
        <v>0</v>
      </c>
      <c r="T17" s="29">
        <f>'2-ф2'!T30</f>
        <v>0</v>
      </c>
      <c r="U17" s="29">
        <f>'2-ф2'!U30</f>
        <v>0</v>
      </c>
      <c r="V17" s="29">
        <f>'2-ф2'!V30</f>
        <v>0</v>
      </c>
      <c r="W17" s="29">
        <f>'2-ф2'!W30</f>
        <v>0</v>
      </c>
      <c r="X17" s="29">
        <f>'2-ф2'!X30</f>
        <v>0</v>
      </c>
      <c r="Y17" s="29">
        <f>'2-ф2'!Y30</f>
        <v>0</v>
      </c>
      <c r="Z17" s="29">
        <f>'2-ф2'!Z30</f>
        <v>0</v>
      </c>
      <c r="AA17" s="29">
        <f>'2-ф2'!AA30</f>
        <v>0</v>
      </c>
      <c r="AB17" s="29">
        <f>'2-ф2'!AB30</f>
        <v>0</v>
      </c>
      <c r="AC17" s="27">
        <f>SUM(Q17:AB17)</f>
        <v>0</v>
      </c>
      <c r="AD17" s="29">
        <f>'2-ф2'!AD30</f>
        <v>0</v>
      </c>
      <c r="AE17" s="29">
        <f>'2-ф2'!AE30</f>
        <v>0</v>
      </c>
      <c r="AF17" s="29">
        <f>'2-ф2'!AF30</f>
        <v>0</v>
      </c>
      <c r="AG17" s="29">
        <f>'2-ф2'!AG30</f>
        <v>0</v>
      </c>
      <c r="AH17" s="29">
        <f>'2-ф2'!AH30</f>
        <v>0</v>
      </c>
      <c r="AI17" s="29">
        <f>'2-ф2'!AI30</f>
        <v>0</v>
      </c>
    </row>
    <row r="18" spans="1:35" s="21" customFormat="1" ht="25.5">
      <c r="A18" s="34" t="s">
        <v>17</v>
      </c>
      <c r="B18" s="18">
        <f>B9-B12</f>
        <v>1697.2023495251578</v>
      </c>
      <c r="C18" s="18"/>
      <c r="D18" s="18">
        <f aca="true" t="shared" si="9" ref="D18:AI18">D9-D12</f>
        <v>0</v>
      </c>
      <c r="E18" s="18">
        <f t="shared" si="9"/>
        <v>0</v>
      </c>
      <c r="F18" s="18">
        <f t="shared" si="9"/>
        <v>0</v>
      </c>
      <c r="G18" s="18">
        <f t="shared" si="9"/>
        <v>0</v>
      </c>
      <c r="H18" s="18">
        <f t="shared" si="9"/>
        <v>0</v>
      </c>
      <c r="I18" s="18">
        <f t="shared" si="9"/>
        <v>0</v>
      </c>
      <c r="J18" s="18">
        <f t="shared" si="9"/>
        <v>0</v>
      </c>
      <c r="K18" s="18">
        <f t="shared" si="9"/>
        <v>0</v>
      </c>
      <c r="L18" s="18">
        <f t="shared" si="9"/>
        <v>0</v>
      </c>
      <c r="M18" s="18">
        <f t="shared" si="9"/>
        <v>0</v>
      </c>
      <c r="N18" s="18">
        <f t="shared" si="9"/>
        <v>0</v>
      </c>
      <c r="O18" s="18">
        <f t="shared" si="9"/>
        <v>0</v>
      </c>
      <c r="P18" s="18">
        <f t="shared" si="9"/>
        <v>0</v>
      </c>
      <c r="Q18" s="18">
        <f t="shared" si="9"/>
        <v>0</v>
      </c>
      <c r="R18" s="18">
        <f t="shared" si="9"/>
        <v>0</v>
      </c>
      <c r="S18" s="18">
        <f t="shared" si="9"/>
        <v>-228.72879800000004</v>
      </c>
      <c r="T18" s="18">
        <f t="shared" si="9"/>
        <v>-133.07452500000002</v>
      </c>
      <c r="U18" s="18">
        <f t="shared" si="9"/>
        <v>-162.373819794</v>
      </c>
      <c r="V18" s="18">
        <f t="shared" si="9"/>
        <v>-162.373819794</v>
      </c>
      <c r="W18" s="18">
        <f t="shared" si="9"/>
        <v>-162.373819794</v>
      </c>
      <c r="X18" s="18">
        <f t="shared" si="9"/>
        <v>-133.07452500000002</v>
      </c>
      <c r="Y18" s="18">
        <f t="shared" si="9"/>
        <v>-133.07452500000002</v>
      </c>
      <c r="Z18" s="18">
        <f t="shared" si="9"/>
        <v>-258.02809279400003</v>
      </c>
      <c r="AA18" s="18">
        <f t="shared" si="9"/>
        <v>-6.312192105154323</v>
      </c>
      <c r="AB18" s="18">
        <f t="shared" si="9"/>
        <v>-6.312192105154323</v>
      </c>
      <c r="AC18" s="18">
        <f t="shared" si="9"/>
        <v>-1385.726309386309</v>
      </c>
      <c r="AD18" s="18">
        <f t="shared" si="9"/>
        <v>-1448.8482304378522</v>
      </c>
      <c r="AE18" s="18">
        <f t="shared" si="9"/>
        <v>874.2947021357668</v>
      </c>
      <c r="AF18" s="18">
        <f t="shared" si="9"/>
        <v>885.9985583307407</v>
      </c>
      <c r="AG18" s="18">
        <f t="shared" si="9"/>
        <v>904.9351346462036</v>
      </c>
      <c r="AH18" s="18">
        <f t="shared" si="9"/>
        <v>923.8717109616664</v>
      </c>
      <c r="AI18" s="18">
        <f t="shared" si="9"/>
        <v>942.6767832749388</v>
      </c>
    </row>
    <row r="19" spans="1:35" s="21" customFormat="1" ht="12.75">
      <c r="A19" s="22" t="s">
        <v>18</v>
      </c>
      <c r="B19" s="23"/>
      <c r="C19" s="23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3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35"/>
      <c r="AD19" s="35"/>
      <c r="AE19" s="35"/>
      <c r="AF19" s="35"/>
      <c r="AG19" s="35"/>
      <c r="AH19" s="35"/>
      <c r="AI19" s="35"/>
    </row>
    <row r="20" spans="1:35" s="21" customFormat="1" ht="12.75">
      <c r="A20" s="26" t="s">
        <v>5</v>
      </c>
      <c r="B20" s="27"/>
      <c r="C20" s="27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27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27"/>
      <c r="AD20" s="27"/>
      <c r="AE20" s="27"/>
      <c r="AF20" s="27"/>
      <c r="AG20" s="27"/>
      <c r="AH20" s="27"/>
      <c r="AI20" s="27"/>
    </row>
    <row r="21" spans="1:35" s="21" customFormat="1" ht="12.75">
      <c r="A21" s="26" t="s">
        <v>6</v>
      </c>
      <c r="B21" s="27">
        <f>SUM(B22:B23)</f>
        <v>1014.063326984127</v>
      </c>
      <c r="C21" s="27"/>
      <c r="D21" s="27">
        <f aca="true" t="shared" si="10" ref="D21:AC21">SUM(D22:D23)</f>
        <v>0</v>
      </c>
      <c r="E21" s="27">
        <f t="shared" si="10"/>
        <v>0</v>
      </c>
      <c r="F21" s="27">
        <f t="shared" si="10"/>
        <v>0</v>
      </c>
      <c r="G21" s="27">
        <f t="shared" si="10"/>
        <v>0</v>
      </c>
      <c r="H21" s="27">
        <f>SUM(H22:H23)</f>
        <v>0</v>
      </c>
      <c r="I21" s="27">
        <f t="shared" si="10"/>
        <v>0</v>
      </c>
      <c r="J21" s="27">
        <f t="shared" si="10"/>
        <v>0</v>
      </c>
      <c r="K21" s="27">
        <f t="shared" si="10"/>
        <v>0</v>
      </c>
      <c r="L21" s="27">
        <f t="shared" si="10"/>
        <v>0</v>
      </c>
      <c r="M21" s="27">
        <f t="shared" si="10"/>
        <v>507.0316634920635</v>
      </c>
      <c r="N21" s="27">
        <f t="shared" si="10"/>
        <v>507.0316634920635</v>
      </c>
      <c r="O21" s="27">
        <f t="shared" si="10"/>
        <v>0</v>
      </c>
      <c r="P21" s="27">
        <f t="shared" si="10"/>
        <v>1014.063326984127</v>
      </c>
      <c r="Q21" s="27">
        <f t="shared" si="10"/>
        <v>0</v>
      </c>
      <c r="R21" s="27">
        <f t="shared" si="10"/>
        <v>0</v>
      </c>
      <c r="S21" s="27">
        <f t="shared" si="10"/>
        <v>0</v>
      </c>
      <c r="T21" s="27">
        <f t="shared" si="10"/>
        <v>0</v>
      </c>
      <c r="U21" s="27">
        <f t="shared" si="10"/>
        <v>0</v>
      </c>
      <c r="V21" s="27">
        <f t="shared" si="10"/>
        <v>0</v>
      </c>
      <c r="W21" s="27">
        <f t="shared" si="10"/>
        <v>0</v>
      </c>
      <c r="X21" s="27">
        <f t="shared" si="10"/>
        <v>0</v>
      </c>
      <c r="Y21" s="27">
        <f t="shared" si="10"/>
        <v>0</v>
      </c>
      <c r="Z21" s="27">
        <f t="shared" si="10"/>
        <v>0</v>
      </c>
      <c r="AA21" s="27">
        <f t="shared" si="10"/>
        <v>0</v>
      </c>
      <c r="AB21" s="27">
        <f t="shared" si="10"/>
        <v>0</v>
      </c>
      <c r="AC21" s="27">
        <f t="shared" si="10"/>
        <v>0</v>
      </c>
      <c r="AD21" s="27">
        <f aca="true" t="shared" si="11" ref="AD21:AI21">SUM(AD22:AD23)</f>
        <v>0</v>
      </c>
      <c r="AE21" s="27">
        <f t="shared" si="11"/>
        <v>0</v>
      </c>
      <c r="AF21" s="27">
        <f t="shared" si="11"/>
        <v>0</v>
      </c>
      <c r="AG21" s="27">
        <f t="shared" si="11"/>
        <v>0</v>
      </c>
      <c r="AH21" s="27">
        <f t="shared" si="11"/>
        <v>0</v>
      </c>
      <c r="AI21" s="27">
        <f t="shared" si="11"/>
        <v>0</v>
      </c>
    </row>
    <row r="22" spans="1:35" ht="12.75">
      <c r="A22" s="37" t="s">
        <v>19</v>
      </c>
      <c r="B22" s="27">
        <f>P22+AC22+AD22+AE22+AF22+AG22+AH22+AI22</f>
        <v>1014.063326984127</v>
      </c>
      <c r="C22" s="27"/>
      <c r="D22" s="29">
        <f>Инв!E16</f>
        <v>0</v>
      </c>
      <c r="E22" s="29">
        <f>Инв!F16</f>
        <v>0</v>
      </c>
      <c r="F22" s="29">
        <f>Инв!G16</f>
        <v>0</v>
      </c>
      <c r="G22" s="29">
        <f>Инв!H16</f>
        <v>0</v>
      </c>
      <c r="H22" s="29">
        <f>Инв!I16</f>
        <v>0</v>
      </c>
      <c r="I22" s="29">
        <f>Инв!J16</f>
        <v>0</v>
      </c>
      <c r="J22" s="29">
        <f>Инв!K16</f>
        <v>0</v>
      </c>
      <c r="K22" s="29"/>
      <c r="L22" s="29">
        <f>Инв!M16</f>
        <v>0</v>
      </c>
      <c r="M22" s="29">
        <f>Инв!N16</f>
        <v>507.0316634920635</v>
      </c>
      <c r="N22" s="29">
        <f>Инв!O16</f>
        <v>507.0316634920635</v>
      </c>
      <c r="O22" s="29">
        <f>Инв!P16</f>
        <v>0</v>
      </c>
      <c r="P22" s="27">
        <f>SUM(D22:O22)</f>
        <v>1014.063326984127</v>
      </c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7">
        <f>SUM(Q22:AB22)</f>
        <v>0</v>
      </c>
      <c r="AD22" s="27"/>
      <c r="AE22" s="27"/>
      <c r="AF22" s="27"/>
      <c r="AG22" s="27"/>
      <c r="AH22" s="27"/>
      <c r="AI22" s="27"/>
    </row>
    <row r="23" spans="1:35" ht="12.75" outlineLevel="1">
      <c r="A23" s="37"/>
      <c r="B23" s="27">
        <f>P23+AC23+AD23+AE23+AF23+AG23+AH23+AI23</f>
        <v>0</v>
      </c>
      <c r="C23" s="27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7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7"/>
      <c r="AD23" s="27"/>
      <c r="AE23" s="27"/>
      <c r="AF23" s="27"/>
      <c r="AG23" s="27"/>
      <c r="AH23" s="27"/>
      <c r="AI23" s="27"/>
    </row>
    <row r="24" spans="1:35" s="21" customFormat="1" ht="25.5">
      <c r="A24" s="38" t="s">
        <v>20</v>
      </c>
      <c r="B24" s="18">
        <f>B20-B21</f>
        <v>-1014.063326984127</v>
      </c>
      <c r="C24" s="18"/>
      <c r="D24" s="18">
        <f>D20-D21</f>
        <v>0</v>
      </c>
      <c r="E24" s="18">
        <f aca="true" t="shared" si="12" ref="E24:O24">E20-E21</f>
        <v>0</v>
      </c>
      <c r="F24" s="18">
        <f t="shared" si="12"/>
        <v>0</v>
      </c>
      <c r="G24" s="18">
        <f t="shared" si="12"/>
        <v>0</v>
      </c>
      <c r="H24" s="18">
        <f t="shared" si="12"/>
        <v>0</v>
      </c>
      <c r="I24" s="18">
        <f t="shared" si="12"/>
        <v>0</v>
      </c>
      <c r="J24" s="18">
        <f>J20-J21</f>
        <v>0</v>
      </c>
      <c r="K24" s="18">
        <f t="shared" si="12"/>
        <v>0</v>
      </c>
      <c r="L24" s="18">
        <f t="shared" si="12"/>
        <v>0</v>
      </c>
      <c r="M24" s="18">
        <f t="shared" si="12"/>
        <v>-507.0316634920635</v>
      </c>
      <c r="N24" s="18">
        <f t="shared" si="12"/>
        <v>-507.0316634920635</v>
      </c>
      <c r="O24" s="18">
        <f t="shared" si="12"/>
        <v>0</v>
      </c>
      <c r="P24" s="18">
        <f>SUM(D24:O24)</f>
        <v>-1014.063326984127</v>
      </c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</row>
    <row r="25" spans="1:35" s="42" customFormat="1" ht="12.75">
      <c r="A25" s="39" t="s">
        <v>21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1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1"/>
      <c r="AD25" s="41"/>
      <c r="AE25" s="41"/>
      <c r="AF25" s="41"/>
      <c r="AG25" s="41"/>
      <c r="AH25" s="41"/>
      <c r="AI25" s="41"/>
    </row>
    <row r="26" spans="1:35" s="21" customFormat="1" ht="12.75">
      <c r="A26" s="22" t="s">
        <v>22</v>
      </c>
      <c r="B26" s="23"/>
      <c r="C26" s="23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3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35"/>
      <c r="AD26" s="35"/>
      <c r="AE26" s="35"/>
      <c r="AF26" s="35"/>
      <c r="AG26" s="35"/>
      <c r="AH26" s="35"/>
      <c r="AI26" s="35"/>
    </row>
    <row r="27" spans="1:35" s="21" customFormat="1" ht="12.75">
      <c r="A27" s="26" t="s">
        <v>5</v>
      </c>
      <c r="B27" s="27">
        <f>SUM(B28:B29)</f>
        <v>3848.637866808288</v>
      </c>
      <c r="C27" s="27"/>
      <c r="D27" s="27">
        <f>SUM(D28:D29)</f>
        <v>0</v>
      </c>
      <c r="E27" s="27">
        <f aca="true" t="shared" si="13" ref="E27:O27">SUM(E28:E29)</f>
        <v>0</v>
      </c>
      <c r="F27" s="27">
        <f t="shared" si="13"/>
        <v>0</v>
      </c>
      <c r="G27" s="27">
        <f t="shared" si="13"/>
        <v>0</v>
      </c>
      <c r="H27" s="27">
        <f t="shared" si="13"/>
        <v>0</v>
      </c>
      <c r="I27" s="27">
        <f t="shared" si="13"/>
        <v>0</v>
      </c>
      <c r="J27" s="27">
        <f t="shared" si="13"/>
        <v>0</v>
      </c>
      <c r="K27" s="27">
        <f t="shared" si="13"/>
        <v>0</v>
      </c>
      <c r="L27" s="27">
        <f t="shared" si="13"/>
        <v>0</v>
      </c>
      <c r="M27" s="27">
        <f t="shared" si="13"/>
        <v>507.0316634920635</v>
      </c>
      <c r="N27" s="27">
        <f t="shared" si="13"/>
        <v>507.0316634920635</v>
      </c>
      <c r="O27" s="27">
        <f t="shared" si="13"/>
        <v>0</v>
      </c>
      <c r="P27" s="27">
        <f aca="true" t="shared" si="14" ref="P27:AD27">SUM(P28:P29)</f>
        <v>1014.063326984127</v>
      </c>
      <c r="Q27" s="27">
        <f t="shared" si="14"/>
        <v>0</v>
      </c>
      <c r="R27" s="27">
        <f t="shared" si="14"/>
        <v>0</v>
      </c>
      <c r="S27" s="27">
        <f t="shared" si="14"/>
        <v>228.72879800000004</v>
      </c>
      <c r="T27" s="27">
        <f t="shared" si="14"/>
        <v>133.07452500000002</v>
      </c>
      <c r="U27" s="27">
        <f t="shared" si="14"/>
        <v>162.373819794</v>
      </c>
      <c r="V27" s="27">
        <f t="shared" si="14"/>
        <v>162.373819794</v>
      </c>
      <c r="W27" s="27">
        <f t="shared" si="14"/>
        <v>162.373819794</v>
      </c>
      <c r="X27" s="27">
        <f t="shared" si="14"/>
        <v>133.07452500000002</v>
      </c>
      <c r="Y27" s="27">
        <f t="shared" si="14"/>
        <v>133.07452500000002</v>
      </c>
      <c r="Z27" s="27">
        <f t="shared" si="14"/>
        <v>258.02809279400003</v>
      </c>
      <c r="AA27" s="27">
        <f t="shared" si="14"/>
        <v>6.312192105154323</v>
      </c>
      <c r="AB27" s="27">
        <f t="shared" si="14"/>
        <v>6.312192105154323</v>
      </c>
      <c r="AC27" s="27">
        <f t="shared" si="14"/>
        <v>1385.726309386309</v>
      </c>
      <c r="AD27" s="27">
        <f t="shared" si="14"/>
        <v>1448.8482304378522</v>
      </c>
      <c r="AE27" s="27">
        <f>SUM(AE28:AE29)</f>
        <v>0</v>
      </c>
      <c r="AF27" s="27">
        <f>SUM(AF28:AF29)</f>
        <v>0</v>
      </c>
      <c r="AG27" s="27">
        <f>SUM(AG28:AG29)</f>
        <v>0</v>
      </c>
      <c r="AH27" s="27">
        <f>SUM(AH28:AH29)</f>
        <v>0</v>
      </c>
      <c r="AI27" s="27">
        <f>SUM(AI28:AI29)</f>
        <v>0</v>
      </c>
    </row>
    <row r="28" spans="1:35" ht="12.75" customHeight="1">
      <c r="A28" s="37" t="s">
        <v>54</v>
      </c>
      <c r="B28" s="27">
        <f>P28+AC28+AD28+AE28+AF28+AG28+AH28+AI28</f>
        <v>2834.574539824161</v>
      </c>
      <c r="C28" s="27"/>
      <c r="D28" s="29">
        <f>(-D18-D24)*Исх!$C$8</f>
        <v>0</v>
      </c>
      <c r="E28" s="29">
        <f>(-E18-E24)*Исх!$C$8</f>
        <v>0</v>
      </c>
      <c r="F28" s="29">
        <f>(-F18-F24)*Исх!$C$8</f>
        <v>0</v>
      </c>
      <c r="G28" s="29"/>
      <c r="H28" s="29"/>
      <c r="I28" s="29"/>
      <c r="J28" s="29"/>
      <c r="K28" s="29">
        <f>Инв!L5*Исх!$C$19</f>
        <v>0</v>
      </c>
      <c r="L28" s="29">
        <f>Инв!M5*Исх!$C$19</f>
        <v>0</v>
      </c>
      <c r="M28" s="29">
        <f>Инв!N5*Исх!$C$8</f>
        <v>0</v>
      </c>
      <c r="N28" s="29">
        <f>N13+N14+N15+N16</f>
        <v>0</v>
      </c>
      <c r="O28" s="29">
        <f>O13+O14+O15+O16</f>
        <v>0</v>
      </c>
      <c r="P28" s="27">
        <f>SUM(D28:O28)</f>
        <v>0</v>
      </c>
      <c r="Q28" s="29">
        <f aca="true" t="shared" si="15" ref="Q28:AD28">Q13+Q14+Q15+Q16</f>
        <v>0</v>
      </c>
      <c r="R28" s="29">
        <f t="shared" si="15"/>
        <v>0</v>
      </c>
      <c r="S28" s="29">
        <f t="shared" si="15"/>
        <v>228.72879800000004</v>
      </c>
      <c r="T28" s="29">
        <f t="shared" si="15"/>
        <v>133.07452500000002</v>
      </c>
      <c r="U28" s="29">
        <f t="shared" si="15"/>
        <v>162.373819794</v>
      </c>
      <c r="V28" s="29">
        <f t="shared" si="15"/>
        <v>162.373819794</v>
      </c>
      <c r="W28" s="29">
        <f t="shared" si="15"/>
        <v>162.373819794</v>
      </c>
      <c r="X28" s="29">
        <f t="shared" si="15"/>
        <v>133.07452500000002</v>
      </c>
      <c r="Y28" s="29">
        <f t="shared" si="15"/>
        <v>133.07452500000002</v>
      </c>
      <c r="Z28" s="29">
        <f t="shared" si="15"/>
        <v>258.02809279400003</v>
      </c>
      <c r="AA28" s="29">
        <f t="shared" si="15"/>
        <v>6.312192105154323</v>
      </c>
      <c r="AB28" s="29">
        <f t="shared" si="15"/>
        <v>6.312192105154323</v>
      </c>
      <c r="AC28" s="27">
        <f>SUM(Q28:AB28)</f>
        <v>1385.726309386309</v>
      </c>
      <c r="AD28" s="29">
        <f t="shared" si="15"/>
        <v>1448.8482304378522</v>
      </c>
      <c r="AE28" s="27"/>
      <c r="AF28" s="27"/>
      <c r="AG28" s="27"/>
      <c r="AH28" s="27"/>
      <c r="AI28" s="27"/>
    </row>
    <row r="29" spans="1:35" ht="12.75">
      <c r="A29" s="43" t="s">
        <v>158</v>
      </c>
      <c r="B29" s="27">
        <f>P29+AC29+AD29+AE29+AF29+AG29+AH29+AI29</f>
        <v>1014.063326984127</v>
      </c>
      <c r="C29" s="27"/>
      <c r="D29" s="44">
        <f>(-D18-D24)-D28</f>
        <v>0</v>
      </c>
      <c r="E29" s="44">
        <f>(-E18-E24)-E28</f>
        <v>0</v>
      </c>
      <c r="F29" s="44">
        <f>(-F18-F24)-F28</f>
        <v>0</v>
      </c>
      <c r="G29" s="44"/>
      <c r="H29" s="44"/>
      <c r="I29" s="44"/>
      <c r="J29" s="44">
        <f>Инв!K16</f>
        <v>0</v>
      </c>
      <c r="K29" s="44">
        <f>Инв!L16-'1-Ф3'!K28</f>
        <v>0</v>
      </c>
      <c r="L29" s="44">
        <f>Инв!M16-'1-Ф3'!L28</f>
        <v>0</v>
      </c>
      <c r="M29" s="44">
        <f>M22</f>
        <v>507.0316634920635</v>
      </c>
      <c r="N29" s="44">
        <f>N22</f>
        <v>507.0316634920635</v>
      </c>
      <c r="O29" s="44"/>
      <c r="P29" s="27">
        <f>SUM(D29:O29)</f>
        <v>1014.063326984127</v>
      </c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27">
        <f>SUM(Q29:AB29)</f>
        <v>0</v>
      </c>
      <c r="AD29" s="27"/>
      <c r="AE29" s="27"/>
      <c r="AF29" s="27"/>
      <c r="AG29" s="27"/>
      <c r="AH29" s="27"/>
      <c r="AI29" s="27"/>
    </row>
    <row r="30" spans="1:35" s="21" customFormat="1" ht="12.75">
      <c r="A30" s="26" t="s">
        <v>6</v>
      </c>
      <c r="B30" s="27">
        <f>SUM(B31:B32)</f>
        <v>1082.090075169312</v>
      </c>
      <c r="C30" s="27"/>
      <c r="D30" s="27">
        <f>SUM(D31:D32)</f>
        <v>0</v>
      </c>
      <c r="E30" s="27">
        <f aca="true" t="shared" si="16" ref="E30:AF30">SUM(E31:E32)</f>
        <v>0</v>
      </c>
      <c r="F30" s="27">
        <f t="shared" si="16"/>
        <v>0</v>
      </c>
      <c r="G30" s="27">
        <f t="shared" si="16"/>
        <v>0</v>
      </c>
      <c r="H30" s="27">
        <f t="shared" si="16"/>
        <v>0</v>
      </c>
      <c r="I30" s="27">
        <f>SUM(I31:I32)</f>
        <v>0</v>
      </c>
      <c r="J30" s="27">
        <f t="shared" si="16"/>
        <v>0</v>
      </c>
      <c r="K30" s="27">
        <f t="shared" si="16"/>
        <v>0</v>
      </c>
      <c r="L30" s="27">
        <f t="shared" si="16"/>
        <v>0</v>
      </c>
      <c r="M30" s="27">
        <f t="shared" si="16"/>
        <v>0</v>
      </c>
      <c r="N30" s="27">
        <f t="shared" si="16"/>
        <v>0</v>
      </c>
      <c r="O30" s="27">
        <f t="shared" si="16"/>
        <v>0</v>
      </c>
      <c r="P30" s="27">
        <f t="shared" si="16"/>
        <v>0</v>
      </c>
      <c r="Q30" s="27">
        <f t="shared" si="16"/>
        <v>0</v>
      </c>
      <c r="R30" s="27">
        <f t="shared" si="16"/>
        <v>0</v>
      </c>
      <c r="S30" s="27">
        <f t="shared" si="16"/>
        <v>0</v>
      </c>
      <c r="T30" s="27">
        <f t="shared" si="16"/>
        <v>0</v>
      </c>
      <c r="U30" s="27">
        <f t="shared" si="16"/>
        <v>0</v>
      </c>
      <c r="V30" s="27">
        <f t="shared" si="16"/>
        <v>0</v>
      </c>
      <c r="W30" s="27">
        <f t="shared" si="16"/>
        <v>0</v>
      </c>
      <c r="X30" s="27">
        <f t="shared" si="16"/>
        <v>0</v>
      </c>
      <c r="Y30" s="27">
        <f t="shared" si="16"/>
        <v>0</v>
      </c>
      <c r="Z30" s="27">
        <f t="shared" si="16"/>
        <v>0</v>
      </c>
      <c r="AA30" s="27">
        <f t="shared" si="16"/>
        <v>0</v>
      </c>
      <c r="AB30" s="27">
        <f t="shared" si="16"/>
        <v>0</v>
      </c>
      <c r="AC30" s="27">
        <f t="shared" si="16"/>
        <v>0</v>
      </c>
      <c r="AD30" s="27">
        <f t="shared" si="16"/>
        <v>0</v>
      </c>
      <c r="AE30" s="27">
        <f t="shared" si="16"/>
        <v>45.08708646538801</v>
      </c>
      <c r="AF30" s="27">
        <f t="shared" si="16"/>
        <v>270.522518792328</v>
      </c>
      <c r="AG30" s="27">
        <f>SUM(AG31:AG32)</f>
        <v>270.522518792328</v>
      </c>
      <c r="AH30" s="27">
        <f>SUM(AH31:AH32)</f>
        <v>270.522518792328</v>
      </c>
      <c r="AI30" s="27">
        <f>SUM(AI31:AI32)</f>
        <v>225.43543232694003</v>
      </c>
    </row>
    <row r="31" spans="1:35" ht="12.75">
      <c r="A31" s="28" t="s">
        <v>30</v>
      </c>
      <c r="B31" s="27">
        <f>P31+AC31+AD31+AE31+AF31+AG31+AH31+AI31</f>
        <v>0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27">
        <f>SUM(D31:O31)</f>
        <v>0</v>
      </c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27">
        <f>SUM(Q31:AB31)</f>
        <v>0</v>
      </c>
      <c r="AD31" s="33"/>
      <c r="AE31" s="27"/>
      <c r="AF31" s="27"/>
      <c r="AG31" s="27"/>
      <c r="AH31" s="27"/>
      <c r="AI31" s="27"/>
    </row>
    <row r="32" spans="1:35" ht="13.5" customHeight="1">
      <c r="A32" s="37" t="s">
        <v>157</v>
      </c>
      <c r="B32" s="27">
        <f>P32+AC32+AD32+AE32+AF32+AG32+AH32+AI32</f>
        <v>1082.090075169312</v>
      </c>
      <c r="C32" s="27"/>
      <c r="D32" s="33">
        <f>кр!C10</f>
        <v>0</v>
      </c>
      <c r="E32" s="33">
        <f>кр!D10</f>
        <v>0</v>
      </c>
      <c r="F32" s="33">
        <f>кр!E10</f>
        <v>0</v>
      </c>
      <c r="G32" s="33">
        <f>кр!F10</f>
        <v>0</v>
      </c>
      <c r="H32" s="33">
        <f>кр!G10</f>
        <v>0</v>
      </c>
      <c r="I32" s="33">
        <f>кр!H10</f>
        <v>0</v>
      </c>
      <c r="J32" s="33">
        <f>кр!I10</f>
        <v>0</v>
      </c>
      <c r="K32" s="33">
        <f>кр!J10</f>
        <v>0</v>
      </c>
      <c r="L32" s="33">
        <f>кр!K10</f>
        <v>0</v>
      </c>
      <c r="M32" s="33">
        <f>кр!L10</f>
        <v>0</v>
      </c>
      <c r="N32" s="33">
        <f>кр!M10</f>
        <v>0</v>
      </c>
      <c r="O32" s="33">
        <f>кр!N10</f>
        <v>0</v>
      </c>
      <c r="P32" s="27">
        <f>SUM(D32:O32)</f>
        <v>0</v>
      </c>
      <c r="Q32" s="33">
        <f>кр!P10</f>
        <v>0</v>
      </c>
      <c r="R32" s="33">
        <f>кр!Q10</f>
        <v>0</v>
      </c>
      <c r="S32" s="33">
        <f>кр!R10</f>
        <v>0</v>
      </c>
      <c r="T32" s="33">
        <f>кр!S10</f>
        <v>0</v>
      </c>
      <c r="U32" s="33">
        <f>кр!T10</f>
        <v>0</v>
      </c>
      <c r="V32" s="33">
        <f>кр!U10</f>
        <v>0</v>
      </c>
      <c r="W32" s="33">
        <f>кр!V10</f>
        <v>0</v>
      </c>
      <c r="X32" s="33">
        <f>кр!W10</f>
        <v>0</v>
      </c>
      <c r="Y32" s="33">
        <f>кр!X10</f>
        <v>0</v>
      </c>
      <c r="Z32" s="33">
        <f>кр!Y10</f>
        <v>0</v>
      </c>
      <c r="AA32" s="33">
        <f>кр!Z10</f>
        <v>0</v>
      </c>
      <c r="AB32" s="33">
        <f>кр!AA10</f>
        <v>0</v>
      </c>
      <c r="AC32" s="27">
        <f>SUM(Q32:AB32)</f>
        <v>0</v>
      </c>
      <c r="AD32" s="33">
        <f>кр!AO10</f>
        <v>0</v>
      </c>
      <c r="AE32" s="33">
        <f>кр!BB10</f>
        <v>45.08708646538801</v>
      </c>
      <c r="AF32" s="33">
        <f>кр!BO10</f>
        <v>270.522518792328</v>
      </c>
      <c r="AG32" s="33">
        <f>кр!CB10</f>
        <v>270.522518792328</v>
      </c>
      <c r="AH32" s="33">
        <f>кр!CO10</f>
        <v>270.522518792328</v>
      </c>
      <c r="AI32" s="33">
        <f>кр!DB10</f>
        <v>225.43543232694003</v>
      </c>
    </row>
    <row r="33" spans="1:35" s="21" customFormat="1" ht="25.5">
      <c r="A33" s="38" t="s">
        <v>23</v>
      </c>
      <c r="B33" s="18">
        <f>B27-B30</f>
        <v>2766.547791638976</v>
      </c>
      <c r="C33" s="18"/>
      <c r="D33" s="18">
        <f>D27-D30</f>
        <v>0</v>
      </c>
      <c r="E33" s="18">
        <f aca="true" t="shared" si="17" ref="E33:AF33">E27-E30</f>
        <v>0</v>
      </c>
      <c r="F33" s="18">
        <f t="shared" si="17"/>
        <v>0</v>
      </c>
      <c r="G33" s="18">
        <f t="shared" si="17"/>
        <v>0</v>
      </c>
      <c r="H33" s="18">
        <f t="shared" si="17"/>
        <v>0</v>
      </c>
      <c r="I33" s="18">
        <f t="shared" si="17"/>
        <v>0</v>
      </c>
      <c r="J33" s="18">
        <f t="shared" si="17"/>
        <v>0</v>
      </c>
      <c r="K33" s="18">
        <f t="shared" si="17"/>
        <v>0</v>
      </c>
      <c r="L33" s="18">
        <f t="shared" si="17"/>
        <v>0</v>
      </c>
      <c r="M33" s="18">
        <f t="shared" si="17"/>
        <v>507.0316634920635</v>
      </c>
      <c r="N33" s="18">
        <f t="shared" si="17"/>
        <v>507.0316634920635</v>
      </c>
      <c r="O33" s="18">
        <f t="shared" si="17"/>
        <v>0</v>
      </c>
      <c r="P33" s="18">
        <f t="shared" si="17"/>
        <v>1014.063326984127</v>
      </c>
      <c r="Q33" s="18">
        <f t="shared" si="17"/>
        <v>0</v>
      </c>
      <c r="R33" s="18">
        <f t="shared" si="17"/>
        <v>0</v>
      </c>
      <c r="S33" s="18">
        <f t="shared" si="17"/>
        <v>228.72879800000004</v>
      </c>
      <c r="T33" s="18">
        <f t="shared" si="17"/>
        <v>133.07452500000002</v>
      </c>
      <c r="U33" s="18">
        <f t="shared" si="17"/>
        <v>162.373819794</v>
      </c>
      <c r="V33" s="18">
        <f t="shared" si="17"/>
        <v>162.373819794</v>
      </c>
      <c r="W33" s="18">
        <f t="shared" si="17"/>
        <v>162.373819794</v>
      </c>
      <c r="X33" s="18">
        <f t="shared" si="17"/>
        <v>133.07452500000002</v>
      </c>
      <c r="Y33" s="18">
        <f t="shared" si="17"/>
        <v>133.07452500000002</v>
      </c>
      <c r="Z33" s="18">
        <f t="shared" si="17"/>
        <v>258.02809279400003</v>
      </c>
      <c r="AA33" s="18">
        <f t="shared" si="17"/>
        <v>6.312192105154323</v>
      </c>
      <c r="AB33" s="18">
        <f t="shared" si="17"/>
        <v>6.312192105154323</v>
      </c>
      <c r="AC33" s="18">
        <f t="shared" si="17"/>
        <v>1385.726309386309</v>
      </c>
      <c r="AD33" s="18">
        <f t="shared" si="17"/>
        <v>1448.8482304378522</v>
      </c>
      <c r="AE33" s="18">
        <f t="shared" si="17"/>
        <v>-45.08708646538801</v>
      </c>
      <c r="AF33" s="18">
        <f t="shared" si="17"/>
        <v>-270.522518792328</v>
      </c>
      <c r="AG33" s="18">
        <f>AG27-AG30</f>
        <v>-270.522518792328</v>
      </c>
      <c r="AH33" s="18">
        <f>AH27-AH30</f>
        <v>-270.522518792328</v>
      </c>
      <c r="AI33" s="18">
        <f>AI27-AI30</f>
        <v>-225.43543232694003</v>
      </c>
    </row>
    <row r="34" spans="1:35" s="47" customFormat="1" ht="12.75">
      <c r="A34" s="45" t="s">
        <v>24</v>
      </c>
      <c r="B34" s="46">
        <f>B18+B24+B33</f>
        <v>3449.686814180007</v>
      </c>
      <c r="C34" s="27"/>
      <c r="D34" s="46">
        <f>D18+D24+D33</f>
        <v>0</v>
      </c>
      <c r="E34" s="46">
        <f aca="true" t="shared" si="18" ref="E34:AF34">E18+E24+E33</f>
        <v>0</v>
      </c>
      <c r="F34" s="46">
        <f t="shared" si="18"/>
        <v>0</v>
      </c>
      <c r="G34" s="46">
        <f t="shared" si="18"/>
        <v>0</v>
      </c>
      <c r="H34" s="46">
        <f t="shared" si="18"/>
        <v>0</v>
      </c>
      <c r="I34" s="46">
        <f t="shared" si="18"/>
        <v>0</v>
      </c>
      <c r="J34" s="46">
        <f t="shared" si="18"/>
        <v>0</v>
      </c>
      <c r="K34" s="46">
        <f t="shared" si="18"/>
        <v>0</v>
      </c>
      <c r="L34" s="46">
        <f t="shared" si="18"/>
        <v>0</v>
      </c>
      <c r="M34" s="46">
        <f t="shared" si="18"/>
        <v>0</v>
      </c>
      <c r="N34" s="46">
        <f t="shared" si="18"/>
        <v>0</v>
      </c>
      <c r="O34" s="46">
        <f t="shared" si="18"/>
        <v>0</v>
      </c>
      <c r="P34" s="46">
        <f t="shared" si="18"/>
        <v>0</v>
      </c>
      <c r="Q34" s="46">
        <f t="shared" si="18"/>
        <v>0</v>
      </c>
      <c r="R34" s="46">
        <f t="shared" si="18"/>
        <v>0</v>
      </c>
      <c r="S34" s="46">
        <f t="shared" si="18"/>
        <v>0</v>
      </c>
      <c r="T34" s="46">
        <f t="shared" si="18"/>
        <v>0</v>
      </c>
      <c r="U34" s="46">
        <f t="shared" si="18"/>
        <v>0</v>
      </c>
      <c r="V34" s="46">
        <f t="shared" si="18"/>
        <v>0</v>
      </c>
      <c r="W34" s="46">
        <f t="shared" si="18"/>
        <v>0</v>
      </c>
      <c r="X34" s="46">
        <f t="shared" si="18"/>
        <v>0</v>
      </c>
      <c r="Y34" s="46">
        <f t="shared" si="18"/>
        <v>0</v>
      </c>
      <c r="Z34" s="46">
        <f t="shared" si="18"/>
        <v>0</v>
      </c>
      <c r="AA34" s="46">
        <f t="shared" si="18"/>
        <v>0</v>
      </c>
      <c r="AB34" s="46">
        <f t="shared" si="18"/>
        <v>0</v>
      </c>
      <c r="AC34" s="46">
        <f>AC18+AC24+AC33</f>
        <v>0</v>
      </c>
      <c r="AD34" s="46">
        <f t="shared" si="18"/>
        <v>0</v>
      </c>
      <c r="AE34" s="46">
        <f t="shared" si="18"/>
        <v>829.2076156703788</v>
      </c>
      <c r="AF34" s="46">
        <f t="shared" si="18"/>
        <v>615.4760395384127</v>
      </c>
      <c r="AG34" s="46">
        <f>AG18+AG24+AG33</f>
        <v>634.4126158538755</v>
      </c>
      <c r="AH34" s="46">
        <f>AH18+AH24+AH33</f>
        <v>653.3491921693384</v>
      </c>
      <c r="AI34" s="46">
        <f>AI18+AI24+AI33</f>
        <v>717.2413509479987</v>
      </c>
    </row>
    <row r="35" spans="1:46" s="21" customFormat="1" ht="12.75">
      <c r="A35" s="48" t="s">
        <v>53</v>
      </c>
      <c r="B35" s="27">
        <f>B7+B18+B24+B33</f>
        <v>3449.686814180007</v>
      </c>
      <c r="C35" s="49"/>
      <c r="D35" s="50">
        <f aca="true" t="shared" si="19" ref="D35:O35">D7+D18+D24+D33</f>
        <v>0</v>
      </c>
      <c r="E35" s="50">
        <f t="shared" si="19"/>
        <v>0</v>
      </c>
      <c r="F35" s="50">
        <f t="shared" si="19"/>
        <v>0</v>
      </c>
      <c r="G35" s="50">
        <f t="shared" si="19"/>
        <v>0</v>
      </c>
      <c r="H35" s="50">
        <f t="shared" si="19"/>
        <v>0</v>
      </c>
      <c r="I35" s="50">
        <f t="shared" si="19"/>
        <v>0</v>
      </c>
      <c r="J35" s="50">
        <f t="shared" si="19"/>
        <v>0</v>
      </c>
      <c r="K35" s="50">
        <f t="shared" si="19"/>
        <v>0</v>
      </c>
      <c r="L35" s="50">
        <f t="shared" si="19"/>
        <v>0</v>
      </c>
      <c r="M35" s="50">
        <f t="shared" si="19"/>
        <v>0</v>
      </c>
      <c r="N35" s="50">
        <f t="shared" si="19"/>
        <v>0</v>
      </c>
      <c r="O35" s="50">
        <f t="shared" si="19"/>
        <v>0</v>
      </c>
      <c r="P35" s="51">
        <f>O35</f>
        <v>0</v>
      </c>
      <c r="Q35" s="50">
        <f>P35+Q18+Q24+Q33</f>
        <v>0</v>
      </c>
      <c r="R35" s="50">
        <f aca="true" t="shared" si="20" ref="R35:AB35">Q35+R18+R24+R33</f>
        <v>0</v>
      </c>
      <c r="S35" s="50">
        <f t="shared" si="20"/>
        <v>0</v>
      </c>
      <c r="T35" s="50">
        <f t="shared" si="20"/>
        <v>0</v>
      </c>
      <c r="U35" s="50">
        <f t="shared" si="20"/>
        <v>0</v>
      </c>
      <c r="V35" s="50">
        <f t="shared" si="20"/>
        <v>0</v>
      </c>
      <c r="W35" s="50">
        <f t="shared" si="20"/>
        <v>0</v>
      </c>
      <c r="X35" s="50">
        <f t="shared" si="20"/>
        <v>0</v>
      </c>
      <c r="Y35" s="50">
        <f t="shared" si="20"/>
        <v>0</v>
      </c>
      <c r="Z35" s="50">
        <f t="shared" si="20"/>
        <v>0</v>
      </c>
      <c r="AA35" s="50">
        <f t="shared" si="20"/>
        <v>0</v>
      </c>
      <c r="AB35" s="50">
        <f t="shared" si="20"/>
        <v>0</v>
      </c>
      <c r="AC35" s="50">
        <f>AB35</f>
        <v>0</v>
      </c>
      <c r="AD35" s="50">
        <f aca="true" t="shared" si="21" ref="AD35:AI35">AC35+AD18+AD24+AD33</f>
        <v>0</v>
      </c>
      <c r="AE35" s="50">
        <f t="shared" si="21"/>
        <v>829.2076156703788</v>
      </c>
      <c r="AF35" s="50">
        <f t="shared" si="21"/>
        <v>1444.6836552087916</v>
      </c>
      <c r="AG35" s="50">
        <f t="shared" si="21"/>
        <v>2079.0962710626673</v>
      </c>
      <c r="AH35" s="50">
        <f t="shared" si="21"/>
        <v>2732.4454632320057</v>
      </c>
      <c r="AI35" s="50">
        <f t="shared" si="21"/>
        <v>3449.6868141800046</v>
      </c>
      <c r="AJ35" s="7">
        <v>2013</v>
      </c>
      <c r="AK35" s="7">
        <f aca="true" t="shared" si="22" ref="AK35:AN36">AJ35+1</f>
        <v>2014</v>
      </c>
      <c r="AL35" s="7">
        <f t="shared" si="22"/>
        <v>2015</v>
      </c>
      <c r="AM35" s="7">
        <f t="shared" si="22"/>
        <v>2016</v>
      </c>
      <c r="AN35" s="7">
        <f t="shared" si="22"/>
        <v>2017</v>
      </c>
      <c r="AO35" s="7">
        <f aca="true" t="shared" si="23" ref="AO35:AR36">AN35+1</f>
        <v>2018</v>
      </c>
      <c r="AP35" s="7">
        <f t="shared" si="23"/>
        <v>2019</v>
      </c>
      <c r="AQ35" s="7">
        <f t="shared" si="23"/>
        <v>2020</v>
      </c>
      <c r="AR35" s="7">
        <f t="shared" si="23"/>
        <v>2021</v>
      </c>
      <c r="AS35" s="47"/>
      <c r="AT35" s="47"/>
    </row>
    <row r="36" spans="1:46" ht="12.75">
      <c r="A36" s="52"/>
      <c r="B36" s="53">
        <f>AI35</f>
        <v>3449.6868141800046</v>
      </c>
      <c r="C36" s="54"/>
      <c r="D36" s="55">
        <f aca="true" t="shared" si="24" ref="D36:AI36">D7+D34-D35</f>
        <v>0</v>
      </c>
      <c r="E36" s="55">
        <f t="shared" si="24"/>
        <v>0</v>
      </c>
      <c r="F36" s="55">
        <f t="shared" si="24"/>
        <v>0</v>
      </c>
      <c r="G36" s="55">
        <f t="shared" si="24"/>
        <v>0</v>
      </c>
      <c r="H36" s="55">
        <f t="shared" si="24"/>
        <v>0</v>
      </c>
      <c r="I36" s="55">
        <f t="shared" si="24"/>
        <v>0</v>
      </c>
      <c r="J36" s="55">
        <f t="shared" si="24"/>
        <v>0</v>
      </c>
      <c r="K36" s="55">
        <f t="shared" si="24"/>
        <v>0</v>
      </c>
      <c r="L36" s="55">
        <f t="shared" si="24"/>
        <v>0</v>
      </c>
      <c r="M36" s="55">
        <f t="shared" si="24"/>
        <v>0</v>
      </c>
      <c r="N36" s="55">
        <f t="shared" si="24"/>
        <v>0</v>
      </c>
      <c r="O36" s="55">
        <f t="shared" si="24"/>
        <v>0</v>
      </c>
      <c r="P36" s="55">
        <f t="shared" si="24"/>
        <v>0</v>
      </c>
      <c r="Q36" s="55">
        <f t="shared" si="24"/>
        <v>0</v>
      </c>
      <c r="R36" s="55">
        <f t="shared" si="24"/>
        <v>0</v>
      </c>
      <c r="S36" s="55">
        <f t="shared" si="24"/>
        <v>0</v>
      </c>
      <c r="T36" s="55">
        <f t="shared" si="24"/>
        <v>0</v>
      </c>
      <c r="U36" s="55">
        <f t="shared" si="24"/>
        <v>0</v>
      </c>
      <c r="V36" s="55">
        <f t="shared" si="24"/>
        <v>0</v>
      </c>
      <c r="W36" s="55">
        <f t="shared" si="24"/>
        <v>0</v>
      </c>
      <c r="X36" s="55">
        <f t="shared" si="24"/>
        <v>0</v>
      </c>
      <c r="Y36" s="55">
        <f t="shared" si="24"/>
        <v>0</v>
      </c>
      <c r="Z36" s="55">
        <f t="shared" si="24"/>
        <v>0</v>
      </c>
      <c r="AA36" s="55">
        <f t="shared" si="24"/>
        <v>0</v>
      </c>
      <c r="AB36" s="55">
        <f t="shared" si="24"/>
        <v>0</v>
      </c>
      <c r="AC36" s="55">
        <f t="shared" si="24"/>
        <v>0</v>
      </c>
      <c r="AD36" s="55">
        <f t="shared" si="24"/>
        <v>0</v>
      </c>
      <c r="AE36" s="55">
        <f t="shared" si="24"/>
        <v>0</v>
      </c>
      <c r="AF36" s="55">
        <f t="shared" si="24"/>
        <v>0</v>
      </c>
      <c r="AG36" s="55">
        <f t="shared" si="24"/>
        <v>0</v>
      </c>
      <c r="AH36" s="55">
        <f t="shared" si="24"/>
        <v>0</v>
      </c>
      <c r="AI36" s="55">
        <f t="shared" si="24"/>
        <v>0</v>
      </c>
      <c r="AJ36" s="62">
        <v>0</v>
      </c>
      <c r="AK36" s="62">
        <f t="shared" si="22"/>
        <v>1</v>
      </c>
      <c r="AL36" s="62">
        <f t="shared" si="22"/>
        <v>2</v>
      </c>
      <c r="AM36" s="62">
        <f t="shared" si="22"/>
        <v>3</v>
      </c>
      <c r="AN36" s="62">
        <f t="shared" si="22"/>
        <v>4</v>
      </c>
      <c r="AO36" s="62">
        <f t="shared" si="23"/>
        <v>5</v>
      </c>
      <c r="AP36" s="62">
        <f t="shared" si="23"/>
        <v>6</v>
      </c>
      <c r="AQ36" s="62">
        <f t="shared" si="23"/>
        <v>7</v>
      </c>
      <c r="AR36" s="62">
        <f t="shared" si="23"/>
        <v>8</v>
      </c>
      <c r="AS36" s="47"/>
      <c r="AT36" s="47"/>
    </row>
    <row r="37" spans="1:46" ht="12.75">
      <c r="A37" s="52" t="s">
        <v>59</v>
      </c>
      <c r="B37" s="63">
        <f>B35-B36</f>
        <v>0</v>
      </c>
      <c r="C37" s="54"/>
      <c r="Q37" s="57"/>
      <c r="AJ37" s="57">
        <f>P34</f>
        <v>0</v>
      </c>
      <c r="AK37" s="57">
        <f aca="true" t="shared" si="25" ref="AK37:AP37">AC34</f>
        <v>0</v>
      </c>
      <c r="AL37" s="57">
        <f t="shared" si="25"/>
        <v>0</v>
      </c>
      <c r="AM37" s="57">
        <f t="shared" si="25"/>
        <v>829.2076156703788</v>
      </c>
      <c r="AN37" s="57">
        <f t="shared" si="25"/>
        <v>615.4760395384127</v>
      </c>
      <c r="AO37" s="57">
        <f t="shared" si="25"/>
        <v>634.4126158538755</v>
      </c>
      <c r="AP37" s="57">
        <f t="shared" si="25"/>
        <v>653.3491921693384</v>
      </c>
      <c r="AQ37" s="57">
        <f>AP37+AH32+AH15</f>
        <v>949.909503395428</v>
      </c>
      <c r="AR37" s="57">
        <f>AQ37</f>
        <v>949.909503395428</v>
      </c>
      <c r="AS37" s="47"/>
      <c r="AT37" s="47"/>
    </row>
    <row r="38" spans="1:46" ht="12.75">
      <c r="A38" s="52" t="s">
        <v>60</v>
      </c>
      <c r="B38" s="54"/>
      <c r="C38" s="54"/>
      <c r="AJ38" s="57">
        <f>AJ37+P32+P31+P15</f>
        <v>0</v>
      </c>
      <c r="AK38" s="57">
        <f aca="true" t="shared" si="26" ref="AK38:AP38">AK37+AC32+AC31+AC15</f>
        <v>12.624384210308646</v>
      </c>
      <c r="AL38" s="57">
        <f t="shared" si="26"/>
        <v>75.74630526185187</v>
      </c>
      <c r="AM38" s="57">
        <f t="shared" si="26"/>
        <v>949.9095033954279</v>
      </c>
      <c r="AN38" s="57">
        <f t="shared" si="26"/>
        <v>949.9095033954283</v>
      </c>
      <c r="AO38" s="57">
        <f t="shared" si="26"/>
        <v>949.9095033954281</v>
      </c>
      <c r="AP38" s="57">
        <f t="shared" si="26"/>
        <v>949.909503395428</v>
      </c>
      <c r="AQ38" s="57">
        <f>AQ37+AJ32+AJ31+AJ15</f>
        <v>949.909503395428</v>
      </c>
      <c r="AR38" s="57">
        <f>AR37+AK32+AK31+AK15</f>
        <v>949.909503395428</v>
      </c>
      <c r="AS38" s="47"/>
      <c r="AT38" s="47"/>
    </row>
    <row r="39" spans="1:46" ht="12.75">
      <c r="A39" s="52" t="s">
        <v>61</v>
      </c>
      <c r="B39" s="54"/>
      <c r="C39" s="54"/>
      <c r="V39" s="57"/>
      <c r="AJ39" s="57">
        <f>P27</f>
        <v>1014.063326984127</v>
      </c>
      <c r="AK39" s="57">
        <f>AC27</f>
        <v>1385.726309386309</v>
      </c>
      <c r="AL39" s="57">
        <f>AD27</f>
        <v>1448.8482304378522</v>
      </c>
      <c r="AM39" s="57"/>
      <c r="AN39" s="57"/>
      <c r="AO39" s="57"/>
      <c r="AP39" s="57"/>
      <c r="AQ39" s="57"/>
      <c r="AR39" s="57"/>
      <c r="AS39" s="47"/>
      <c r="AT39" s="47"/>
    </row>
    <row r="40" spans="1:46" ht="12.75">
      <c r="A40" s="64" t="s">
        <v>62</v>
      </c>
      <c r="B40" s="54"/>
      <c r="C40" s="54"/>
      <c r="AJ40" s="65">
        <f aca="true" t="shared" si="27" ref="AJ40:AP40">AJ38-AJ39</f>
        <v>-1014.063326984127</v>
      </c>
      <c r="AK40" s="65">
        <f t="shared" si="27"/>
        <v>-1373.1019251760003</v>
      </c>
      <c r="AL40" s="65">
        <f t="shared" si="27"/>
        <v>-1373.1019251760003</v>
      </c>
      <c r="AM40" s="65">
        <f t="shared" si="27"/>
        <v>949.9095033954279</v>
      </c>
      <c r="AN40" s="65">
        <f t="shared" si="27"/>
        <v>949.9095033954283</v>
      </c>
      <c r="AO40" s="65">
        <f t="shared" si="27"/>
        <v>949.9095033954281</v>
      </c>
      <c r="AP40" s="65">
        <f t="shared" si="27"/>
        <v>949.909503395428</v>
      </c>
      <c r="AQ40" s="65">
        <f>AQ38-AQ39</f>
        <v>949.909503395428</v>
      </c>
      <c r="AR40" s="65">
        <f>AR38-AR39</f>
        <v>949.909503395428</v>
      </c>
      <c r="AS40" s="47"/>
      <c r="AT40" s="47"/>
    </row>
    <row r="41" spans="1:46" ht="12.75">
      <c r="A41" s="66" t="s">
        <v>63</v>
      </c>
      <c r="B41" s="54"/>
      <c r="C41" s="54"/>
      <c r="AJ41" s="67">
        <f>AJ40/(1+Исх!$C$7)^'1-Ф3'!AJ36</f>
        <v>-1014.063326984127</v>
      </c>
      <c r="AK41" s="67">
        <f>AK40/(1+Исх!$C$7)^'1-Ф3'!AK36</f>
        <v>-1283.27282726729</v>
      </c>
      <c r="AL41" s="67">
        <f>AL40/(1+Исх!$C$7)^'1-Ф3'!AL36</f>
        <v>-1199.3203993152242</v>
      </c>
      <c r="AM41" s="67">
        <f>AM40/(1+Исх!$C$7)^'1-Ф3'!AM36</f>
        <v>775.4091108601314</v>
      </c>
      <c r="AN41" s="67">
        <f>AN40/(1+Исх!$C$7)^'1-Ф3'!AN36</f>
        <v>724.6814120188146</v>
      </c>
      <c r="AO41" s="67">
        <f>AO40/(1+Исх!$C$7)^'1-Ф3'!AO36</f>
        <v>677.272347681135</v>
      </c>
      <c r="AP41" s="67">
        <f>AP40/(1+Исх!$C$7)^'1-Ф3'!AP36</f>
        <v>632.9648109169486</v>
      </c>
      <c r="AQ41" s="67">
        <f>AQ40/(1+Исх!$C$7)^'1-Ф3'!AQ36</f>
        <v>591.5558980532229</v>
      </c>
      <c r="AR41" s="67">
        <f>AR40/(1+Исх!$C$7)^'1-Ф3'!AR36</f>
        <v>552.8559794889934</v>
      </c>
      <c r="AS41" s="47"/>
      <c r="AT41" s="47"/>
    </row>
    <row r="42" spans="1:46" ht="12.75">
      <c r="A42" s="64" t="s">
        <v>64</v>
      </c>
      <c r="B42" s="54"/>
      <c r="C42" s="54"/>
      <c r="AJ42" s="65">
        <f>AJ40</f>
        <v>-1014.063326984127</v>
      </c>
      <c r="AK42" s="65">
        <f aca="true" t="shared" si="28" ref="AK42:AN43">AJ42+AK40</f>
        <v>-2387.1652521601272</v>
      </c>
      <c r="AL42" s="65">
        <f t="shared" si="28"/>
        <v>-3760.2671773361276</v>
      </c>
      <c r="AM42" s="65">
        <f t="shared" si="28"/>
        <v>-2810.3576739407</v>
      </c>
      <c r="AN42" s="65">
        <f t="shared" si="28"/>
        <v>-1860.4481705452718</v>
      </c>
      <c r="AO42" s="65">
        <f aca="true" t="shared" si="29" ref="AO42:AR43">AN42+AO40</f>
        <v>-910.5386671498436</v>
      </c>
      <c r="AP42" s="65">
        <f t="shared" si="29"/>
        <v>39.37083624558443</v>
      </c>
      <c r="AQ42" s="65">
        <f t="shared" si="29"/>
        <v>989.2803396410125</v>
      </c>
      <c r="AR42" s="65">
        <f t="shared" si="29"/>
        <v>1939.1898430364404</v>
      </c>
      <c r="AS42" s="47"/>
      <c r="AT42" s="47"/>
    </row>
    <row r="43" spans="1:46" ht="12.75">
      <c r="A43" s="66" t="s">
        <v>65</v>
      </c>
      <c r="B43" s="54"/>
      <c r="C43" s="54"/>
      <c r="AJ43" s="67">
        <f>AJ41</f>
        <v>-1014.063326984127</v>
      </c>
      <c r="AK43" s="67">
        <f t="shared" si="28"/>
        <v>-2297.336154251417</v>
      </c>
      <c r="AL43" s="67">
        <f t="shared" si="28"/>
        <v>-3496.6565535666414</v>
      </c>
      <c r="AM43" s="67">
        <f t="shared" si="28"/>
        <v>-2721.24744270651</v>
      </c>
      <c r="AN43" s="67">
        <f t="shared" si="28"/>
        <v>-1996.5660306876953</v>
      </c>
      <c r="AO43" s="67">
        <f t="shared" si="29"/>
        <v>-1319.2936830065603</v>
      </c>
      <c r="AP43" s="67">
        <f t="shared" si="29"/>
        <v>-686.3288720896117</v>
      </c>
      <c r="AQ43" s="67">
        <f t="shared" si="29"/>
        <v>-94.77297403638875</v>
      </c>
      <c r="AR43" s="67">
        <f t="shared" si="29"/>
        <v>458.08300545260465</v>
      </c>
      <c r="AS43" s="47"/>
      <c r="AT43" s="47"/>
    </row>
    <row r="44" spans="1:46" ht="12.75">
      <c r="A44" s="52" t="s">
        <v>66</v>
      </c>
      <c r="B44" s="54"/>
      <c r="C44" s="54"/>
      <c r="AJ44" s="57">
        <f>NPV(Исх!$C$7,'1-Ф3'!$AJ38:AJ38)</f>
        <v>0</v>
      </c>
      <c r="AK44" s="57">
        <f>NPV(Исх!$C$7,'1-Ф3'!$AJ38:AK38)</f>
        <v>11.026626089884395</v>
      </c>
      <c r="AL44" s="57">
        <f>NPV(Исх!$C$7,'1-Ф3'!$AJ38:AL38)</f>
        <v>72.85817425746045</v>
      </c>
      <c r="AM44" s="57">
        <f>NPV(Исх!$C$7,'1-Ф3'!$AJ38:AM38)</f>
        <v>797.5395862762748</v>
      </c>
      <c r="AN44" s="57">
        <f>NPV(Исх!$C$7,'1-Ф3'!$AJ38:AN38)</f>
        <v>1474.8119339574098</v>
      </c>
      <c r="AO44" s="57">
        <f>NPV(Исх!$C$7,'1-Ф3'!$AJ38:AO38)</f>
        <v>2107.776744874358</v>
      </c>
      <c r="AP44" s="57">
        <f>NPV(Исх!$C$7,'1-Ф3'!$AJ38:AP38)</f>
        <v>2699.3326429275808</v>
      </c>
      <c r="AQ44" s="57">
        <f>NPV(Исх!$C$7,'1-Ф3'!$AJ38:AQ38)</f>
        <v>3252.188622416574</v>
      </c>
      <c r="AR44" s="57">
        <f>NPV(Исх!$C$7,'1-Ф3'!$AJ38:AR38)</f>
        <v>3768.8764537146985</v>
      </c>
      <c r="AS44" s="47"/>
      <c r="AT44" s="47"/>
    </row>
    <row r="45" spans="1:46" ht="12.75">
      <c r="A45" s="52" t="s">
        <v>67</v>
      </c>
      <c r="B45" s="54"/>
      <c r="C45" s="54"/>
      <c r="AJ45" s="57">
        <f>NPV(Исх!$C$7,'1-Ф3'!$AJ39:AJ39)</f>
        <v>947.7227354991841</v>
      </c>
      <c r="AK45" s="57">
        <f>NPV(Исх!$C$7,'1-Ф3'!$AJ39:AK39)</f>
        <v>2158.0697609042927</v>
      </c>
      <c r="AL45" s="57">
        <f>NPV(Исх!$C$7,'1-Ф3'!$AJ39:AL39)</f>
        <v>3340.761495347779</v>
      </c>
      <c r="AM45" s="57">
        <f>NPV(Исх!$C$7,'1-Ф3'!$AJ39:AM39)</f>
        <v>3340.761495347779</v>
      </c>
      <c r="AN45" s="57">
        <f>NPV(Исх!$C$7,'1-Ф3'!$AJ39:AN39)</f>
        <v>3340.761495347779</v>
      </c>
      <c r="AO45" s="57">
        <f>NPV(Исх!$C$7,'1-Ф3'!$AJ39:AO39)</f>
        <v>3340.761495347779</v>
      </c>
      <c r="AP45" s="57">
        <f>NPV(Исх!$C$7,'1-Ф3'!$AJ39:AP39)</f>
        <v>3340.761495347779</v>
      </c>
      <c r="AQ45" s="57">
        <f>NPV(Исх!$C$7,'1-Ф3'!$AJ39:AQ39)</f>
        <v>3340.761495347779</v>
      </c>
      <c r="AR45" s="57">
        <f>NPV(Исх!$C$7,'1-Ф3'!$AJ39:AR39)</f>
        <v>3340.761495347779</v>
      </c>
      <c r="AS45" s="47"/>
      <c r="AT45" s="47"/>
    </row>
    <row r="46" spans="1:46" ht="12.75">
      <c r="A46" s="52" t="s">
        <v>68</v>
      </c>
      <c r="B46" s="54"/>
      <c r="C46" s="54"/>
      <c r="AJ46" s="57">
        <f aca="true" t="shared" si="30" ref="AJ46:AP46">AJ44-AJ45</f>
        <v>-947.7227354991841</v>
      </c>
      <c r="AK46" s="57">
        <f t="shared" si="30"/>
        <v>-2147.0431348144084</v>
      </c>
      <c r="AL46" s="57">
        <f t="shared" si="30"/>
        <v>-3267.9033210903185</v>
      </c>
      <c r="AM46" s="57">
        <f t="shared" si="30"/>
        <v>-2543.2219090715043</v>
      </c>
      <c r="AN46" s="57">
        <f t="shared" si="30"/>
        <v>-1865.9495613903694</v>
      </c>
      <c r="AO46" s="57">
        <f t="shared" si="30"/>
        <v>-1232.9847504734212</v>
      </c>
      <c r="AP46" s="57">
        <f t="shared" si="30"/>
        <v>-641.4288524201984</v>
      </c>
      <c r="AQ46" s="57">
        <f>AQ44-AQ45</f>
        <v>-88.57287293120498</v>
      </c>
      <c r="AR46" s="57">
        <f>AR44-AR45</f>
        <v>428.1149583669194</v>
      </c>
      <c r="AS46" s="47"/>
      <c r="AT46" s="47"/>
    </row>
    <row r="47" spans="1:46" ht="12.75">
      <c r="A47" s="52" t="s">
        <v>69</v>
      </c>
      <c r="B47" s="54"/>
      <c r="C47" s="54"/>
      <c r="AJ47" s="68">
        <f aca="true" t="shared" si="31" ref="AJ47:AP47">AJ44/AJ45</f>
        <v>0</v>
      </c>
      <c r="AK47" s="68">
        <f t="shared" si="31"/>
        <v>0.005109485471528004</v>
      </c>
      <c r="AL47" s="68">
        <f t="shared" si="31"/>
        <v>0.021808852370610726</v>
      </c>
      <c r="AM47" s="68">
        <f t="shared" si="31"/>
        <v>0.23872987861806325</v>
      </c>
      <c r="AN47" s="68">
        <f t="shared" si="31"/>
        <v>0.4414598096904488</v>
      </c>
      <c r="AO47" s="68">
        <f t="shared" si="31"/>
        <v>0.6309270349917436</v>
      </c>
      <c r="AP47" s="68">
        <f t="shared" si="31"/>
        <v>0.8079992081705238</v>
      </c>
      <c r="AQ47" s="68">
        <f>AQ44/AQ45</f>
        <v>0.973487220487141</v>
      </c>
      <c r="AR47" s="68">
        <f>AR44/AR45</f>
        <v>1.1281489142409886</v>
      </c>
      <c r="AS47" s="47"/>
      <c r="AT47" s="47"/>
    </row>
    <row r="48" spans="1:46" ht="12.75">
      <c r="A48" s="52" t="s">
        <v>70</v>
      </c>
      <c r="B48" s="54"/>
      <c r="C48" s="54"/>
      <c r="AG48" s="69" t="str">
        <f>IF(ISERROR(IRR($AJ40:AJ$40))," ",IF(IRR($AJ40:AJ$40)&lt;0," ",IRR($AJ40:AJ$40)))</f>
        <v> </v>
      </c>
      <c r="AH48" s="69"/>
      <c r="AI48" s="69"/>
      <c r="AJ48" s="69" t="str">
        <f>IF(ISERROR(IRR($AJ40:AJ$40))," ",IF(IRR($AJ40:AJ$40)&lt;0," ",IRR($AJ40:AJ$40)))</f>
        <v> </v>
      </c>
      <c r="AK48" s="69" t="str">
        <f>IF(ISERROR(IRR($AJ40:AK$40))," ",IF(IRR($AJ40:AK$40)&lt;0," ",IRR($AJ40:AK$40)))</f>
        <v> </v>
      </c>
      <c r="AL48" s="69" t="str">
        <f>IF(ISERROR(IRR($AJ40:AL$40))," ",IF(IRR($AJ40:AL$40)&lt;0," ",IRR($AJ40:AL$40)))</f>
        <v> </v>
      </c>
      <c r="AM48" s="69" t="str">
        <f>IF(ISERROR(IRR($AJ40:AM$40))," ",IF(IRR($AJ40:AM$40)&lt;0," ",IRR($AJ40:AM$40)))</f>
        <v> </v>
      </c>
      <c r="AN48" s="69" t="str">
        <f>IF(ISERROR(IRR($AJ40:AN$40))," ",IF(IRR($AJ40:AN$40)&lt;0," ",IRR($AJ40:AN$40)))</f>
        <v> </v>
      </c>
      <c r="AO48" s="69" t="str">
        <f>IF(ISERROR(IRR($AJ40:AO$40))," ",IF(IRR($AJ40:AO$40)&lt;0," ",IRR($AJ40:AO$40)))</f>
        <v> </v>
      </c>
      <c r="AP48" s="69">
        <f>IF(ISERROR(IRR($AJ40:AP$40))," ",IF(IRR($AJ40:AP$40)&lt;0," ",IRR($AJ40:AP$40)))</f>
        <v>0.003064948299006831</v>
      </c>
      <c r="AQ48" s="69">
        <f>IF(ISERROR(IRR($AJ40:AQ$40))," ",IF(IRR($AJ40:AQ$40)&lt;0," ",IRR($AJ40:AQ$40)))</f>
        <v>0.06232462174599629</v>
      </c>
      <c r="AR48" s="69">
        <f>IF(ISERROR(IRR($AJ40:AR$40))," ",IF(IRR($AJ40:AR$40)&lt;0," ",IRR($AJ40:AR$40)))</f>
        <v>0.10169448361116462</v>
      </c>
      <c r="AS48" s="47"/>
      <c r="AT48" s="47"/>
    </row>
    <row r="49" spans="1:46" ht="12.75">
      <c r="A49" s="70" t="s">
        <v>32</v>
      </c>
      <c r="B49" s="58">
        <f>AO36-AO42/AP40</f>
        <v>5.958553066260676</v>
      </c>
      <c r="C49" s="54"/>
      <c r="AS49" s="47"/>
      <c r="AT49" s="47"/>
    </row>
    <row r="50" spans="1:3" ht="12.75">
      <c r="A50" s="70" t="s">
        <v>27</v>
      </c>
      <c r="B50" s="58">
        <f>AQ36-AQ43/AR41</f>
        <v>7.171424344770563</v>
      </c>
      <c r="C50" s="54"/>
    </row>
    <row r="51" spans="1:3" ht="12.75">
      <c r="A51" s="52"/>
      <c r="B51" s="54"/>
      <c r="C51" s="54"/>
    </row>
    <row r="52" spans="1:3" ht="12.75">
      <c r="A52" s="52"/>
      <c r="B52" s="54"/>
      <c r="C52" s="54"/>
    </row>
    <row r="53" spans="1:3" ht="12.75">
      <c r="A53" s="52"/>
      <c r="B53" s="54"/>
      <c r="C53" s="54"/>
    </row>
    <row r="54" spans="1:3" ht="12.75">
      <c r="A54" s="52"/>
      <c r="B54" s="54"/>
      <c r="C54" s="54"/>
    </row>
    <row r="55" spans="1:3" ht="12.75">
      <c r="A55" s="52"/>
      <c r="B55" s="54"/>
      <c r="C55" s="54"/>
    </row>
    <row r="56" spans="1:3" ht="12.75">
      <c r="A56" s="52"/>
      <c r="B56" s="54"/>
      <c r="C56" s="54"/>
    </row>
    <row r="57" spans="1:3" ht="12.75">
      <c r="A57" s="52"/>
      <c r="B57" s="54"/>
      <c r="C57" s="54"/>
    </row>
    <row r="58" spans="1:3" ht="12.75">
      <c r="A58" s="52"/>
      <c r="B58" s="54"/>
      <c r="C58" s="54"/>
    </row>
    <row r="59" spans="1:3" ht="12.75">
      <c r="A59" s="52"/>
      <c r="B59" s="54"/>
      <c r="C59" s="54"/>
    </row>
    <row r="60" spans="1:3" ht="12.75">
      <c r="A60" s="52"/>
      <c r="B60" s="54"/>
      <c r="C60" s="54"/>
    </row>
    <row r="61" spans="1:3" ht="12.75">
      <c r="A61" s="52"/>
      <c r="B61" s="54"/>
      <c r="C61" s="54"/>
    </row>
    <row r="62" spans="1:3" ht="12.75">
      <c r="A62" s="52"/>
      <c r="B62" s="54"/>
      <c r="C62" s="54"/>
    </row>
    <row r="63" spans="1:3" ht="12.75">
      <c r="A63" s="52"/>
      <c r="B63" s="54"/>
      <c r="C63" s="54"/>
    </row>
    <row r="64" spans="1:3" ht="12.75">
      <c r="A64" s="52"/>
      <c r="B64" s="54"/>
      <c r="C64" s="54"/>
    </row>
    <row r="65" spans="1:3" ht="12.75">
      <c r="A65" s="52"/>
      <c r="B65" s="54"/>
      <c r="C65" s="54"/>
    </row>
    <row r="66" spans="1:3" ht="12.75">
      <c r="A66" s="52"/>
      <c r="B66" s="54"/>
      <c r="C66" s="54"/>
    </row>
    <row r="67" spans="1:3" ht="12.75">
      <c r="A67" s="52"/>
      <c r="B67" s="54"/>
      <c r="C67" s="54"/>
    </row>
    <row r="68" spans="1:3" ht="12.75">
      <c r="A68" s="52"/>
      <c r="B68" s="54"/>
      <c r="C68" s="54"/>
    </row>
    <row r="69" spans="1:3" ht="12.75">
      <c r="A69" s="52"/>
      <c r="B69" s="54"/>
      <c r="C69" s="54"/>
    </row>
    <row r="70" spans="1:3" ht="12.75">
      <c r="A70" s="52"/>
      <c r="B70" s="54"/>
      <c r="C70" s="54"/>
    </row>
    <row r="71" spans="1:3" ht="12.75">
      <c r="A71" s="52"/>
      <c r="B71" s="54"/>
      <c r="C71" s="54"/>
    </row>
    <row r="72" spans="1:3" ht="12.75">
      <c r="A72" s="52"/>
      <c r="B72" s="54"/>
      <c r="C72" s="54"/>
    </row>
    <row r="73" spans="1:3" ht="12.75">
      <c r="A73" s="52"/>
      <c r="B73" s="54"/>
      <c r="C73" s="54"/>
    </row>
    <row r="74" spans="1:3" ht="12.75">
      <c r="A74" s="52"/>
      <c r="B74" s="54"/>
      <c r="C74" s="54"/>
    </row>
    <row r="75" spans="1:3" ht="12.75">
      <c r="A75" s="52"/>
      <c r="B75" s="54"/>
      <c r="C75" s="54"/>
    </row>
    <row r="76" spans="1:3" ht="12.75">
      <c r="A76" s="52"/>
      <c r="B76" s="54"/>
      <c r="C76" s="54"/>
    </row>
    <row r="77" spans="1:3" ht="12.75">
      <c r="A77" s="52"/>
      <c r="B77" s="54"/>
      <c r="C77" s="54"/>
    </row>
    <row r="78" spans="1:3" ht="12.75">
      <c r="A78" s="52"/>
      <c r="B78" s="54"/>
      <c r="C78" s="54"/>
    </row>
    <row r="79" spans="1:3" ht="12.75">
      <c r="A79" s="52"/>
      <c r="B79" s="54"/>
      <c r="C79" s="54"/>
    </row>
    <row r="80" spans="1:3" ht="12.75">
      <c r="A80" s="52"/>
      <c r="B80" s="54"/>
      <c r="C80" s="54"/>
    </row>
    <row r="81" spans="1:3" ht="12.75">
      <c r="A81" s="52"/>
      <c r="B81" s="54"/>
      <c r="C81" s="54"/>
    </row>
    <row r="82" spans="1:3" ht="12.75">
      <c r="A82" s="52"/>
      <c r="B82" s="54"/>
      <c r="C82" s="54"/>
    </row>
    <row r="83" spans="1:3" ht="12.75">
      <c r="A83" s="52"/>
      <c r="B83" s="54"/>
      <c r="C83" s="54"/>
    </row>
    <row r="84" spans="1:3" ht="12.75">
      <c r="A84" s="52"/>
      <c r="B84" s="54"/>
      <c r="C84" s="54"/>
    </row>
    <row r="85" spans="1:3" ht="12.75">
      <c r="A85" s="52"/>
      <c r="B85" s="54"/>
      <c r="C85" s="54"/>
    </row>
    <row r="86" spans="1:3" ht="12.75">
      <c r="A86" s="52"/>
      <c r="B86" s="54"/>
      <c r="C86" s="54"/>
    </row>
    <row r="87" spans="1:3" ht="12.75">
      <c r="A87" s="52"/>
      <c r="B87" s="54"/>
      <c r="C87" s="54"/>
    </row>
    <row r="88" spans="1:3" ht="12.75">
      <c r="A88" s="52"/>
      <c r="B88" s="54"/>
      <c r="C88" s="54"/>
    </row>
    <row r="89" spans="1:3" ht="12.75">
      <c r="A89" s="52"/>
      <c r="B89" s="54"/>
      <c r="C89" s="54"/>
    </row>
    <row r="90" spans="1:3" ht="12.75">
      <c r="A90" s="52"/>
      <c r="B90" s="54"/>
      <c r="C90" s="54"/>
    </row>
    <row r="91" spans="1:3" ht="12.75">
      <c r="A91" s="52"/>
      <c r="B91" s="54"/>
      <c r="C91" s="54"/>
    </row>
    <row r="92" spans="1:3" ht="12.75">
      <c r="A92" s="52"/>
      <c r="B92" s="54"/>
      <c r="C92" s="54"/>
    </row>
    <row r="93" spans="1:3" ht="12.75">
      <c r="A93" s="52"/>
      <c r="B93" s="54"/>
      <c r="C93" s="54"/>
    </row>
    <row r="94" spans="1:3" ht="12.75">
      <c r="A94" s="52"/>
      <c r="B94" s="54"/>
      <c r="C94" s="54"/>
    </row>
    <row r="95" spans="1:3" ht="12.75">
      <c r="A95" s="52"/>
      <c r="B95" s="54"/>
      <c r="C95" s="54"/>
    </row>
    <row r="96" spans="1:3" ht="12.75">
      <c r="A96" s="52"/>
      <c r="B96" s="54"/>
      <c r="C96" s="54"/>
    </row>
    <row r="97" spans="1:3" ht="12.75">
      <c r="A97" s="52"/>
      <c r="B97" s="54"/>
      <c r="C97" s="54"/>
    </row>
    <row r="98" spans="1:3" ht="12.75">
      <c r="A98" s="52"/>
      <c r="B98" s="54"/>
      <c r="C98" s="54"/>
    </row>
    <row r="99" spans="1:3" ht="12.75">
      <c r="A99" s="52"/>
      <c r="B99" s="54"/>
      <c r="C99" s="54"/>
    </row>
    <row r="100" spans="1:3" ht="12.75">
      <c r="A100" s="52"/>
      <c r="B100" s="54"/>
      <c r="C100" s="54"/>
    </row>
    <row r="101" spans="1:3" ht="12.75">
      <c r="A101" s="52"/>
      <c r="B101" s="54"/>
      <c r="C101" s="54"/>
    </row>
    <row r="102" spans="1:3" ht="12.75">
      <c r="A102" s="52"/>
      <c r="B102" s="54"/>
      <c r="C102" s="54"/>
    </row>
    <row r="103" spans="1:3" ht="12.75">
      <c r="A103" s="52"/>
      <c r="B103" s="54"/>
      <c r="C103" s="54"/>
    </row>
    <row r="104" spans="1:3" ht="12.75">
      <c r="A104" s="52"/>
      <c r="B104" s="54"/>
      <c r="C104" s="54"/>
    </row>
    <row r="105" spans="1:3" ht="12.75">
      <c r="A105" s="52"/>
      <c r="B105" s="54"/>
      <c r="C105" s="54"/>
    </row>
    <row r="106" spans="1:3" ht="12.75">
      <c r="A106" s="52"/>
      <c r="B106" s="54"/>
      <c r="C106" s="54"/>
    </row>
    <row r="107" spans="1:3" ht="12.75">
      <c r="A107" s="52"/>
      <c r="B107" s="54"/>
      <c r="C107" s="54"/>
    </row>
    <row r="108" spans="1:3" ht="12.75">
      <c r="A108" s="52"/>
      <c r="B108" s="54"/>
      <c r="C108" s="54"/>
    </row>
    <row r="109" spans="1:3" ht="12.75">
      <c r="A109" s="52"/>
      <c r="B109" s="54"/>
      <c r="C109" s="54"/>
    </row>
    <row r="110" spans="1:3" ht="12.75">
      <c r="A110" s="52"/>
      <c r="B110" s="54"/>
      <c r="C110" s="54"/>
    </row>
    <row r="111" spans="1:3" ht="12.75">
      <c r="A111" s="52"/>
      <c r="B111" s="54"/>
      <c r="C111" s="54"/>
    </row>
    <row r="112" spans="1:3" ht="12.75">
      <c r="A112" s="52"/>
      <c r="B112" s="54"/>
      <c r="C112" s="54"/>
    </row>
    <row r="113" spans="1:3" ht="12.75">
      <c r="A113" s="52"/>
      <c r="B113" s="54"/>
      <c r="C113" s="54"/>
    </row>
    <row r="114" spans="1:3" ht="12.75">
      <c r="A114" s="52"/>
      <c r="B114" s="54"/>
      <c r="C114" s="54"/>
    </row>
    <row r="115" spans="1:3" ht="12.75">
      <c r="A115" s="52"/>
      <c r="B115" s="54"/>
      <c r="C115" s="54"/>
    </row>
    <row r="116" spans="1:3" ht="12.75">
      <c r="A116" s="52"/>
      <c r="B116" s="54"/>
      <c r="C116" s="54"/>
    </row>
    <row r="117" spans="1:3" ht="12.75">
      <c r="A117" s="52"/>
      <c r="B117" s="54"/>
      <c r="C117" s="54"/>
    </row>
    <row r="118" spans="1:3" ht="12.75">
      <c r="A118" s="52"/>
      <c r="B118" s="54"/>
      <c r="C118" s="54"/>
    </row>
    <row r="119" spans="1:3" ht="12.75">
      <c r="A119" s="52"/>
      <c r="B119" s="54"/>
      <c r="C119" s="54"/>
    </row>
    <row r="120" spans="1:3" ht="12.75">
      <c r="A120" s="52"/>
      <c r="B120" s="54"/>
      <c r="C120" s="54"/>
    </row>
    <row r="121" spans="1:3" ht="12.75">
      <c r="A121" s="52"/>
      <c r="B121" s="54"/>
      <c r="C121" s="54"/>
    </row>
    <row r="122" spans="1:3" ht="12.75">
      <c r="A122" s="52"/>
      <c r="B122" s="54"/>
      <c r="C122" s="54"/>
    </row>
    <row r="123" spans="1:3" ht="12.75">
      <c r="A123" s="52"/>
      <c r="B123" s="54"/>
      <c r="C123" s="54"/>
    </row>
    <row r="124" spans="1:3" ht="12.75">
      <c r="A124" s="52"/>
      <c r="B124" s="54"/>
      <c r="C124" s="54"/>
    </row>
    <row r="125" spans="1:3" ht="12.75">
      <c r="A125" s="52"/>
      <c r="B125" s="54"/>
      <c r="C125" s="54"/>
    </row>
    <row r="126" spans="1:3" ht="12.75">
      <c r="A126" s="52"/>
      <c r="B126" s="54"/>
      <c r="C126" s="54"/>
    </row>
    <row r="127" spans="1:3" ht="12.75">
      <c r="A127" s="52"/>
      <c r="B127" s="54"/>
      <c r="C127" s="54"/>
    </row>
    <row r="128" spans="1:3" ht="12.75">
      <c r="A128" s="52"/>
      <c r="B128" s="54"/>
      <c r="C128" s="54"/>
    </row>
    <row r="129" spans="1:3" ht="12.75">
      <c r="A129" s="52"/>
      <c r="B129" s="54"/>
      <c r="C129" s="54"/>
    </row>
    <row r="130" spans="1:3" ht="12.75">
      <c r="A130" s="52"/>
      <c r="B130" s="54"/>
      <c r="C130" s="54"/>
    </row>
    <row r="131" spans="1:3" ht="12.75">
      <c r="A131" s="52"/>
      <c r="B131" s="54"/>
      <c r="C131" s="54"/>
    </row>
    <row r="132" spans="1:3" ht="12.75">
      <c r="A132" s="52"/>
      <c r="B132" s="54"/>
      <c r="C132" s="54"/>
    </row>
    <row r="133" spans="1:3" ht="12.75">
      <c r="A133" s="52"/>
      <c r="B133" s="54"/>
      <c r="C133" s="54"/>
    </row>
    <row r="134" spans="1:3" ht="12.75">
      <c r="A134" s="52"/>
      <c r="B134" s="54"/>
      <c r="C134" s="54"/>
    </row>
    <row r="135" spans="1:3" ht="12.75">
      <c r="A135" s="52"/>
      <c r="B135" s="54"/>
      <c r="C135" s="54"/>
    </row>
    <row r="136" spans="1:3" ht="12.75">
      <c r="A136" s="52"/>
      <c r="B136" s="54"/>
      <c r="C136" s="54"/>
    </row>
    <row r="137" spans="1:3" ht="12.75">
      <c r="A137" s="52"/>
      <c r="B137" s="54"/>
      <c r="C137" s="54"/>
    </row>
    <row r="138" spans="1:3" ht="12.75">
      <c r="A138" s="52"/>
      <c r="B138" s="54"/>
      <c r="C138" s="54"/>
    </row>
    <row r="139" spans="1:3" ht="12.75">
      <c r="A139" s="52"/>
      <c r="B139" s="54"/>
      <c r="C139" s="54"/>
    </row>
    <row r="140" spans="1:3" ht="12.75">
      <c r="A140" s="52"/>
      <c r="B140" s="54"/>
      <c r="C140" s="54"/>
    </row>
    <row r="141" spans="1:3" ht="12.75">
      <c r="A141" s="52"/>
      <c r="B141" s="54"/>
      <c r="C141" s="54"/>
    </row>
    <row r="142" spans="1:3" ht="12.75">
      <c r="A142" s="52"/>
      <c r="B142" s="54"/>
      <c r="C142" s="54"/>
    </row>
  </sheetData>
  <sheetProtection/>
  <mergeCells count="4">
    <mergeCell ref="A5:A6"/>
    <mergeCell ref="B5:B6"/>
    <mergeCell ref="D5:P5"/>
    <mergeCell ref="Q5:AC5"/>
  </mergeCells>
  <printOptions/>
  <pageMargins left="0.4330708661417323" right="0.2755905511811024" top="0.7086614173228347" bottom="0.35433070866141736" header="0.4330708661417323" footer="0.2362204724409449"/>
  <pageSetup horizontalDpi="600" verticalDpi="600" orientation="landscape" paperSize="9" r:id="rId1"/>
  <headerFooter alignWithMargins="0">
    <oddHeader>&amp;RПриложение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2:DC17"/>
  <sheetViews>
    <sheetView showGridLines="0" zoomScalePageLayoutView="0" workbookViewId="0" topLeftCell="A1">
      <pane xSplit="2" ySplit="6" topLeftCell="O7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CB19" sqref="CB19"/>
    </sheetView>
  </sheetViews>
  <sheetFormatPr defaultColWidth="9.00390625" defaultRowHeight="12.75" outlineLevelRow="1" outlineLevelCol="1"/>
  <cols>
    <col min="1" max="1" width="23.25390625" style="172" customWidth="1"/>
    <col min="2" max="2" width="12.125" style="172" customWidth="1"/>
    <col min="3" max="14" width="9.125" style="172" hidden="1" customWidth="1" outlineLevel="1"/>
    <col min="15" max="15" width="10.125" style="173" bestFit="1" customWidth="1" collapsed="1"/>
    <col min="16" max="27" width="9.125" style="172" hidden="1" customWidth="1" outlineLevel="1"/>
    <col min="28" max="28" width="10.125" style="173" bestFit="1" customWidth="1" collapsed="1"/>
    <col min="29" max="40" width="9.125" style="172" hidden="1" customWidth="1" outlineLevel="1"/>
    <col min="41" max="41" width="10.125" style="173" bestFit="1" customWidth="1" collapsed="1"/>
    <col min="42" max="47" width="9.125" style="172" hidden="1" customWidth="1" outlineLevel="1"/>
    <col min="48" max="48" width="9.25390625" style="172" hidden="1" customWidth="1" outlineLevel="1"/>
    <col min="49" max="53" width="8.75390625" style="172" hidden="1" customWidth="1" outlineLevel="1"/>
    <col min="54" max="54" width="10.125" style="173" customWidth="1" collapsed="1"/>
    <col min="55" max="66" width="8.75390625" style="172" hidden="1" customWidth="1" outlineLevel="1"/>
    <col min="67" max="67" width="10.125" style="173" customWidth="1" collapsed="1"/>
    <col min="68" max="79" width="8.75390625" style="172" hidden="1" customWidth="1" outlineLevel="1"/>
    <col min="80" max="80" width="10.125" style="173" customWidth="1" collapsed="1"/>
    <col min="81" max="92" width="8.75390625" style="172" hidden="1" customWidth="1" outlineLevel="1"/>
    <col min="93" max="93" width="10.125" style="173" customWidth="1" collapsed="1"/>
    <col min="94" max="105" width="8.75390625" style="172" hidden="1" customWidth="1" outlineLevel="1"/>
    <col min="106" max="106" width="10.125" style="173" customWidth="1" collapsed="1"/>
    <col min="107" max="16384" width="9.125" style="172" customWidth="1"/>
  </cols>
  <sheetData>
    <row r="1" ht="9.75" customHeight="1"/>
    <row r="2" spans="1:15" ht="18.75" customHeight="1">
      <c r="A2" s="173" t="s">
        <v>97</v>
      </c>
      <c r="B2" s="174"/>
      <c r="D2" s="175"/>
      <c r="E2" s="175"/>
      <c r="F2" s="176"/>
      <c r="G2" s="175"/>
      <c r="O2" s="177"/>
    </row>
    <row r="3" spans="1:15" ht="13.5" customHeight="1">
      <c r="A3" s="178"/>
      <c r="B3" s="174"/>
      <c r="D3" s="175"/>
      <c r="E3" s="175"/>
      <c r="F3" s="176"/>
      <c r="G3" s="175"/>
      <c r="O3" s="177"/>
    </row>
    <row r="4" spans="1:2" ht="12.75">
      <c r="A4" s="287"/>
      <c r="B4" s="288"/>
    </row>
    <row r="5" spans="1:106" ht="15.75" customHeight="1">
      <c r="A5" s="179" t="s">
        <v>10</v>
      </c>
      <c r="B5" s="289">
        <f>Исх!C60</f>
        <v>0.07</v>
      </c>
      <c r="C5" s="340">
        <v>2013</v>
      </c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>
        <v>2014</v>
      </c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>
        <v>2015</v>
      </c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>
        <v>2016</v>
      </c>
      <c r="AQ5" s="340"/>
      <c r="AR5" s="340"/>
      <c r="AS5" s="340"/>
      <c r="AT5" s="340"/>
      <c r="AU5" s="340"/>
      <c r="AV5" s="340"/>
      <c r="AW5" s="340"/>
      <c r="AX5" s="340"/>
      <c r="AY5" s="340"/>
      <c r="AZ5" s="340"/>
      <c r="BA5" s="340"/>
      <c r="BB5" s="340"/>
      <c r="BC5" s="340">
        <v>2017</v>
      </c>
      <c r="BD5" s="340"/>
      <c r="BE5" s="340"/>
      <c r="BF5" s="340"/>
      <c r="BG5" s="340"/>
      <c r="BH5" s="340"/>
      <c r="BI5" s="340"/>
      <c r="BJ5" s="340"/>
      <c r="BK5" s="340"/>
      <c r="BL5" s="340"/>
      <c r="BM5" s="340"/>
      <c r="BN5" s="340"/>
      <c r="BO5" s="340"/>
      <c r="BP5" s="340">
        <v>2018</v>
      </c>
      <c r="BQ5" s="340"/>
      <c r="BR5" s="340"/>
      <c r="BS5" s="340"/>
      <c r="BT5" s="340"/>
      <c r="BU5" s="340"/>
      <c r="BV5" s="340"/>
      <c r="BW5" s="340"/>
      <c r="BX5" s="340"/>
      <c r="BY5" s="340"/>
      <c r="BZ5" s="340"/>
      <c r="CA5" s="340"/>
      <c r="CB5" s="340"/>
      <c r="CC5" s="340">
        <v>2019</v>
      </c>
      <c r="CD5" s="340"/>
      <c r="CE5" s="340"/>
      <c r="CF5" s="340"/>
      <c r="CG5" s="340"/>
      <c r="CH5" s="340"/>
      <c r="CI5" s="340"/>
      <c r="CJ5" s="340"/>
      <c r="CK5" s="340"/>
      <c r="CL5" s="340"/>
      <c r="CM5" s="340"/>
      <c r="CN5" s="340"/>
      <c r="CO5" s="340"/>
      <c r="CP5" s="340">
        <v>2020</v>
      </c>
      <c r="CQ5" s="340"/>
      <c r="CR5" s="340"/>
      <c r="CS5" s="340"/>
      <c r="CT5" s="340"/>
      <c r="CU5" s="340"/>
      <c r="CV5" s="340"/>
      <c r="CW5" s="340"/>
      <c r="CX5" s="340"/>
      <c r="CY5" s="340"/>
      <c r="CZ5" s="340"/>
      <c r="DA5" s="340"/>
      <c r="DB5" s="340"/>
    </row>
    <row r="6" spans="1:106" s="184" customFormat="1" ht="15" customHeight="1">
      <c r="A6" s="180" t="s">
        <v>8</v>
      </c>
      <c r="B6" s="181" t="s">
        <v>86</v>
      </c>
      <c r="C6" s="182">
        <v>1</v>
      </c>
      <c r="D6" s="182">
        <v>2</v>
      </c>
      <c r="E6" s="182">
        <f>D6+1</f>
        <v>3</v>
      </c>
      <c r="F6" s="182">
        <f aca="true" t="shared" si="0" ref="F6:N6">E6+1</f>
        <v>4</v>
      </c>
      <c r="G6" s="182">
        <f t="shared" si="0"/>
        <v>5</v>
      </c>
      <c r="H6" s="182">
        <f t="shared" si="0"/>
        <v>6</v>
      </c>
      <c r="I6" s="182">
        <f t="shared" si="0"/>
        <v>7</v>
      </c>
      <c r="J6" s="182">
        <f t="shared" si="0"/>
        <v>8</v>
      </c>
      <c r="K6" s="182">
        <f t="shared" si="0"/>
        <v>9</v>
      </c>
      <c r="L6" s="182">
        <f t="shared" si="0"/>
        <v>10</v>
      </c>
      <c r="M6" s="182">
        <f t="shared" si="0"/>
        <v>11</v>
      </c>
      <c r="N6" s="182">
        <f t="shared" si="0"/>
        <v>12</v>
      </c>
      <c r="O6" s="183" t="s">
        <v>0</v>
      </c>
      <c r="P6" s="182">
        <v>1</v>
      </c>
      <c r="Q6" s="182">
        <v>2</v>
      </c>
      <c r="R6" s="182">
        <f>Q6+1</f>
        <v>3</v>
      </c>
      <c r="S6" s="182">
        <f aca="true" t="shared" si="1" ref="S6:AA6">R6+1</f>
        <v>4</v>
      </c>
      <c r="T6" s="182">
        <f t="shared" si="1"/>
        <v>5</v>
      </c>
      <c r="U6" s="182">
        <f t="shared" si="1"/>
        <v>6</v>
      </c>
      <c r="V6" s="182">
        <f t="shared" si="1"/>
        <v>7</v>
      </c>
      <c r="W6" s="182">
        <f t="shared" si="1"/>
        <v>8</v>
      </c>
      <c r="X6" s="182">
        <f t="shared" si="1"/>
        <v>9</v>
      </c>
      <c r="Y6" s="182">
        <f t="shared" si="1"/>
        <v>10</v>
      </c>
      <c r="Z6" s="182">
        <f t="shared" si="1"/>
        <v>11</v>
      </c>
      <c r="AA6" s="182">
        <f t="shared" si="1"/>
        <v>12</v>
      </c>
      <c r="AB6" s="183" t="s">
        <v>0</v>
      </c>
      <c r="AC6" s="182">
        <v>1</v>
      </c>
      <c r="AD6" s="182">
        <v>2</v>
      </c>
      <c r="AE6" s="182">
        <f aca="true" t="shared" si="2" ref="AE6:BN6">AD6+1</f>
        <v>3</v>
      </c>
      <c r="AF6" s="182">
        <f t="shared" si="2"/>
        <v>4</v>
      </c>
      <c r="AG6" s="182">
        <f t="shared" si="2"/>
        <v>5</v>
      </c>
      <c r="AH6" s="182">
        <f t="shared" si="2"/>
        <v>6</v>
      </c>
      <c r="AI6" s="182">
        <f t="shared" si="2"/>
        <v>7</v>
      </c>
      <c r="AJ6" s="182">
        <f t="shared" si="2"/>
        <v>8</v>
      </c>
      <c r="AK6" s="182">
        <f t="shared" si="2"/>
        <v>9</v>
      </c>
      <c r="AL6" s="182">
        <f t="shared" si="2"/>
        <v>10</v>
      </c>
      <c r="AM6" s="182">
        <f t="shared" si="2"/>
        <v>11</v>
      </c>
      <c r="AN6" s="182">
        <f t="shared" si="2"/>
        <v>12</v>
      </c>
      <c r="AO6" s="183" t="s">
        <v>0</v>
      </c>
      <c r="AP6" s="182">
        <v>1</v>
      </c>
      <c r="AQ6" s="182">
        <v>2</v>
      </c>
      <c r="AR6" s="182">
        <f>AQ6+1</f>
        <v>3</v>
      </c>
      <c r="AS6" s="182">
        <f t="shared" si="2"/>
        <v>4</v>
      </c>
      <c r="AT6" s="182">
        <f t="shared" si="2"/>
        <v>5</v>
      </c>
      <c r="AU6" s="182">
        <f t="shared" si="2"/>
        <v>6</v>
      </c>
      <c r="AV6" s="182">
        <f t="shared" si="2"/>
        <v>7</v>
      </c>
      <c r="AW6" s="182">
        <f t="shared" si="2"/>
        <v>8</v>
      </c>
      <c r="AX6" s="182">
        <f t="shared" si="2"/>
        <v>9</v>
      </c>
      <c r="AY6" s="182">
        <f t="shared" si="2"/>
        <v>10</v>
      </c>
      <c r="AZ6" s="182">
        <f t="shared" si="2"/>
        <v>11</v>
      </c>
      <c r="BA6" s="182">
        <f t="shared" si="2"/>
        <v>12</v>
      </c>
      <c r="BB6" s="183" t="s">
        <v>0</v>
      </c>
      <c r="BC6" s="182">
        <v>1</v>
      </c>
      <c r="BD6" s="182">
        <v>2</v>
      </c>
      <c r="BE6" s="182">
        <f>BD6+1</f>
        <v>3</v>
      </c>
      <c r="BF6" s="182">
        <f t="shared" si="2"/>
        <v>4</v>
      </c>
      <c r="BG6" s="182">
        <f t="shared" si="2"/>
        <v>5</v>
      </c>
      <c r="BH6" s="182">
        <f t="shared" si="2"/>
        <v>6</v>
      </c>
      <c r="BI6" s="182">
        <f t="shared" si="2"/>
        <v>7</v>
      </c>
      <c r="BJ6" s="182">
        <f t="shared" si="2"/>
        <v>8</v>
      </c>
      <c r="BK6" s="182">
        <f t="shared" si="2"/>
        <v>9</v>
      </c>
      <c r="BL6" s="182">
        <f t="shared" si="2"/>
        <v>10</v>
      </c>
      <c r="BM6" s="182">
        <f t="shared" si="2"/>
        <v>11</v>
      </c>
      <c r="BN6" s="182">
        <f t="shared" si="2"/>
        <v>12</v>
      </c>
      <c r="BO6" s="183" t="s">
        <v>0</v>
      </c>
      <c r="BP6" s="182">
        <v>1</v>
      </c>
      <c r="BQ6" s="182">
        <v>2</v>
      </c>
      <c r="BR6" s="182">
        <f aca="true" t="shared" si="3" ref="BR6:CA6">BQ6+1</f>
        <v>3</v>
      </c>
      <c r="BS6" s="182">
        <f t="shared" si="3"/>
        <v>4</v>
      </c>
      <c r="BT6" s="182">
        <f t="shared" si="3"/>
        <v>5</v>
      </c>
      <c r="BU6" s="182">
        <f t="shared" si="3"/>
        <v>6</v>
      </c>
      <c r="BV6" s="182">
        <f t="shared" si="3"/>
        <v>7</v>
      </c>
      <c r="BW6" s="182">
        <f t="shared" si="3"/>
        <v>8</v>
      </c>
      <c r="BX6" s="182">
        <f t="shared" si="3"/>
        <v>9</v>
      </c>
      <c r="BY6" s="182">
        <f t="shared" si="3"/>
        <v>10</v>
      </c>
      <c r="BZ6" s="182">
        <f t="shared" si="3"/>
        <v>11</v>
      </c>
      <c r="CA6" s="182">
        <f t="shared" si="3"/>
        <v>12</v>
      </c>
      <c r="CB6" s="183" t="s">
        <v>0</v>
      </c>
      <c r="CC6" s="182">
        <v>1</v>
      </c>
      <c r="CD6" s="182">
        <v>2</v>
      </c>
      <c r="CE6" s="182">
        <f aca="true" t="shared" si="4" ref="CE6:CN6">CD6+1</f>
        <v>3</v>
      </c>
      <c r="CF6" s="182">
        <f t="shared" si="4"/>
        <v>4</v>
      </c>
      <c r="CG6" s="182">
        <f t="shared" si="4"/>
        <v>5</v>
      </c>
      <c r="CH6" s="182">
        <f t="shared" si="4"/>
        <v>6</v>
      </c>
      <c r="CI6" s="182">
        <f t="shared" si="4"/>
        <v>7</v>
      </c>
      <c r="CJ6" s="182">
        <f t="shared" si="4"/>
        <v>8</v>
      </c>
      <c r="CK6" s="182">
        <f t="shared" si="4"/>
        <v>9</v>
      </c>
      <c r="CL6" s="182">
        <f t="shared" si="4"/>
        <v>10</v>
      </c>
      <c r="CM6" s="182">
        <f t="shared" si="4"/>
        <v>11</v>
      </c>
      <c r="CN6" s="182">
        <f t="shared" si="4"/>
        <v>12</v>
      </c>
      <c r="CO6" s="183" t="s">
        <v>0</v>
      </c>
      <c r="CP6" s="182">
        <v>1</v>
      </c>
      <c r="CQ6" s="182">
        <v>2</v>
      </c>
      <c r="CR6" s="182">
        <f aca="true" t="shared" si="5" ref="CR6:DA6">CQ6+1</f>
        <v>3</v>
      </c>
      <c r="CS6" s="182">
        <f t="shared" si="5"/>
        <v>4</v>
      </c>
      <c r="CT6" s="182">
        <f t="shared" si="5"/>
        <v>5</v>
      </c>
      <c r="CU6" s="182">
        <f t="shared" si="5"/>
        <v>6</v>
      </c>
      <c r="CV6" s="182">
        <f t="shared" si="5"/>
        <v>7</v>
      </c>
      <c r="CW6" s="182">
        <f t="shared" si="5"/>
        <v>8</v>
      </c>
      <c r="CX6" s="182">
        <f t="shared" si="5"/>
        <v>9</v>
      </c>
      <c r="CY6" s="182">
        <f t="shared" si="5"/>
        <v>10</v>
      </c>
      <c r="CZ6" s="182">
        <f t="shared" si="5"/>
        <v>11</v>
      </c>
      <c r="DA6" s="182">
        <f t="shared" si="5"/>
        <v>12</v>
      </c>
      <c r="DB6" s="183" t="s">
        <v>0</v>
      </c>
    </row>
    <row r="7" spans="1:107" ht="12.75">
      <c r="A7" s="180" t="s">
        <v>104</v>
      </c>
      <c r="B7" s="185">
        <f>O7+AB7+AO7+BB7+BO7+CB7+CO7+DB7</f>
        <v>1014.063326984127</v>
      </c>
      <c r="C7" s="186"/>
      <c r="D7" s="186"/>
      <c r="E7" s="186"/>
      <c r="F7" s="186"/>
      <c r="G7" s="186"/>
      <c r="H7" s="186"/>
      <c r="I7" s="186"/>
      <c r="J7" s="186"/>
      <c r="K7" s="186"/>
      <c r="L7" s="186">
        <f>'1-Ф3'!M29</f>
        <v>507.0316634920635</v>
      </c>
      <c r="M7" s="186">
        <f>'1-Ф3'!N29</f>
        <v>507.0316634920635</v>
      </c>
      <c r="N7" s="186"/>
      <c r="O7" s="187">
        <f>SUM(C7:N7)</f>
        <v>1014.063326984127</v>
      </c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7">
        <f>SUM(P7:AA7)</f>
        <v>0</v>
      </c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6"/>
      <c r="CO7" s="186"/>
      <c r="CP7" s="186"/>
      <c r="CQ7" s="186"/>
      <c r="CR7" s="186"/>
      <c r="CS7" s="186"/>
      <c r="CT7" s="186"/>
      <c r="CU7" s="186"/>
      <c r="CV7" s="186"/>
      <c r="CW7" s="186"/>
      <c r="CX7" s="186"/>
      <c r="CY7" s="186"/>
      <c r="CZ7" s="186"/>
      <c r="DA7" s="186"/>
      <c r="DB7" s="186"/>
      <c r="DC7" s="188"/>
    </row>
    <row r="8" spans="1:106" s="189" customFormat="1" ht="20.25" customHeight="1">
      <c r="A8" s="180" t="s">
        <v>29</v>
      </c>
      <c r="B8" s="185">
        <f>O8+AB8+AO8+BB8+BO8+CB8+CO8+DB8</f>
        <v>68.02674818518521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7">
        <f>SUM(C8:N8)</f>
        <v>0</v>
      </c>
      <c r="P8" s="186"/>
      <c r="Q8" s="186"/>
      <c r="R8" s="186"/>
      <c r="S8" s="186"/>
      <c r="T8" s="186"/>
      <c r="U8" s="186"/>
      <c r="V8" s="186"/>
      <c r="W8" s="186"/>
      <c r="X8" s="186"/>
      <c r="Y8" s="186">
        <f>SUM(O9:Y9)</f>
        <v>68.02674818518521</v>
      </c>
      <c r="Z8" s="186"/>
      <c r="AA8" s="186"/>
      <c r="AB8" s="187">
        <f>SUM(P8:AA8)</f>
        <v>68.02674818518521</v>
      </c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7">
        <f>SUM(AC8:AN8)</f>
        <v>0</v>
      </c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7">
        <f>SUM(AP8:BA8)</f>
        <v>0</v>
      </c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7">
        <f>SUM(BC8:BN8)</f>
        <v>0</v>
      </c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7">
        <f>SUM(BP8:CA8)</f>
        <v>0</v>
      </c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6"/>
      <c r="CO8" s="187">
        <f>SUM(CC8:CN8)</f>
        <v>0</v>
      </c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7">
        <f>SUM(CP8:DA8)</f>
        <v>0</v>
      </c>
    </row>
    <row r="9" spans="1:106" s="189" customFormat="1" ht="12.75">
      <c r="A9" s="190" t="s">
        <v>11</v>
      </c>
      <c r="B9" s="185">
        <f>O9+AB9+AO9+BB9+BO9+CB9+CO9+DB9</f>
        <v>374.16806528517</v>
      </c>
      <c r="C9" s="186"/>
      <c r="D9" s="186">
        <f>C12*$B$5/12</f>
        <v>0</v>
      </c>
      <c r="E9" s="186">
        <f>D12*$B$5/12</f>
        <v>0</v>
      </c>
      <c r="F9" s="186">
        <f>E12*$B$5/12</f>
        <v>0</v>
      </c>
      <c r="G9" s="186">
        <f>F12*$B$5/12</f>
        <v>0</v>
      </c>
      <c r="H9" s="186">
        <f>G12*$B$5/12</f>
        <v>0</v>
      </c>
      <c r="I9" s="186">
        <f aca="true" t="shared" si="6" ref="I9:AA9">H12*$B$5/12</f>
        <v>0</v>
      </c>
      <c r="J9" s="186">
        <f t="shared" si="6"/>
        <v>0</v>
      </c>
      <c r="K9" s="186">
        <f t="shared" si="6"/>
        <v>0</v>
      </c>
      <c r="L9" s="186">
        <f>K12*$B$5/12</f>
        <v>0</v>
      </c>
      <c r="M9" s="186">
        <f t="shared" si="6"/>
        <v>2.957684703703704</v>
      </c>
      <c r="N9" s="186">
        <f t="shared" si="6"/>
        <v>5.915369407407408</v>
      </c>
      <c r="O9" s="187">
        <f>SUM(C9:N9)</f>
        <v>8.873054111111113</v>
      </c>
      <c r="P9" s="186">
        <f t="shared" si="6"/>
        <v>5.915369407407408</v>
      </c>
      <c r="Q9" s="186">
        <f t="shared" si="6"/>
        <v>5.915369407407408</v>
      </c>
      <c r="R9" s="186">
        <f t="shared" si="6"/>
        <v>5.915369407407408</v>
      </c>
      <c r="S9" s="186">
        <f t="shared" si="6"/>
        <v>5.915369407407408</v>
      </c>
      <c r="T9" s="186">
        <f t="shared" si="6"/>
        <v>5.915369407407408</v>
      </c>
      <c r="U9" s="186">
        <f t="shared" si="6"/>
        <v>5.915369407407408</v>
      </c>
      <c r="V9" s="186">
        <f t="shared" si="6"/>
        <v>5.915369407407408</v>
      </c>
      <c r="W9" s="186">
        <f t="shared" si="6"/>
        <v>5.915369407407408</v>
      </c>
      <c r="X9" s="186">
        <f t="shared" si="6"/>
        <v>5.915369407407408</v>
      </c>
      <c r="Y9" s="186">
        <f t="shared" si="6"/>
        <v>5.915369407407408</v>
      </c>
      <c r="Z9" s="186">
        <f t="shared" si="6"/>
        <v>6.312192105154323</v>
      </c>
      <c r="AA9" s="186">
        <f t="shared" si="6"/>
        <v>6.312192105154323</v>
      </c>
      <c r="AB9" s="187">
        <f>SUM(P9:AA9)</f>
        <v>71.77807828438274</v>
      </c>
      <c r="AC9" s="186">
        <f aca="true" t="shared" si="7" ref="AC9:AN9">AB12*$B$5/12</f>
        <v>6.312192105154323</v>
      </c>
      <c r="AD9" s="186">
        <f t="shared" si="7"/>
        <v>6.312192105154323</v>
      </c>
      <c r="AE9" s="186">
        <f t="shared" si="7"/>
        <v>6.312192105154323</v>
      </c>
      <c r="AF9" s="186">
        <f t="shared" si="7"/>
        <v>6.312192105154323</v>
      </c>
      <c r="AG9" s="186">
        <f t="shared" si="7"/>
        <v>6.312192105154323</v>
      </c>
      <c r="AH9" s="186">
        <f t="shared" si="7"/>
        <v>6.312192105154323</v>
      </c>
      <c r="AI9" s="186">
        <f t="shared" si="7"/>
        <v>6.312192105154323</v>
      </c>
      <c r="AJ9" s="186">
        <f t="shared" si="7"/>
        <v>6.312192105154323</v>
      </c>
      <c r="AK9" s="186">
        <f t="shared" si="7"/>
        <v>6.312192105154323</v>
      </c>
      <c r="AL9" s="186">
        <f t="shared" si="7"/>
        <v>6.312192105154323</v>
      </c>
      <c r="AM9" s="186">
        <f t="shared" si="7"/>
        <v>6.312192105154323</v>
      </c>
      <c r="AN9" s="186">
        <f t="shared" si="7"/>
        <v>6.312192105154323</v>
      </c>
      <c r="AO9" s="187">
        <f>SUM(AC9:AN9)</f>
        <v>75.74630526185187</v>
      </c>
      <c r="AP9" s="186">
        <f aca="true" t="shared" si="8" ref="AP9:BA9">AO12*$B$5/12</f>
        <v>6.312192105154323</v>
      </c>
      <c r="AQ9" s="186">
        <f t="shared" si="8"/>
        <v>6.312192105154323</v>
      </c>
      <c r="AR9" s="186">
        <f t="shared" si="8"/>
        <v>6.312192105154323</v>
      </c>
      <c r="AS9" s="186">
        <f t="shared" si="8"/>
        <v>6.312192105154323</v>
      </c>
      <c r="AT9" s="186">
        <f t="shared" si="8"/>
        <v>6.312192105154323</v>
      </c>
      <c r="AU9" s="186">
        <f t="shared" si="8"/>
        <v>6.312192105154323</v>
      </c>
      <c r="AV9" s="186">
        <f t="shared" si="8"/>
        <v>6.312192105154323</v>
      </c>
      <c r="AW9" s="186">
        <f t="shared" si="8"/>
        <v>6.312192105154323</v>
      </c>
      <c r="AX9" s="186">
        <f t="shared" si="8"/>
        <v>6.312192105154323</v>
      </c>
      <c r="AY9" s="186">
        <f t="shared" si="8"/>
        <v>6.312192105154323</v>
      </c>
      <c r="AZ9" s="186">
        <f t="shared" si="8"/>
        <v>6.312192105154323</v>
      </c>
      <c r="BA9" s="186">
        <f t="shared" si="8"/>
        <v>6.180688102963607</v>
      </c>
      <c r="BB9" s="187">
        <f>SUM(AP9:BA9)</f>
        <v>75.61480125966116</v>
      </c>
      <c r="BC9" s="186">
        <f aca="true" t="shared" si="9" ref="BC9:BN9">BB12*$B$5/12</f>
        <v>6.049184100772892</v>
      </c>
      <c r="BD9" s="186">
        <f t="shared" si="9"/>
        <v>5.917680098582178</v>
      </c>
      <c r="BE9" s="186">
        <f t="shared" si="9"/>
        <v>5.786176096391462</v>
      </c>
      <c r="BF9" s="186">
        <f t="shared" si="9"/>
        <v>5.654672094200747</v>
      </c>
      <c r="BG9" s="186">
        <f t="shared" si="9"/>
        <v>5.523168092010033</v>
      </c>
      <c r="BH9" s="186">
        <f t="shared" si="9"/>
        <v>5.391664089819318</v>
      </c>
      <c r="BI9" s="186">
        <f t="shared" si="9"/>
        <v>5.260160087628603</v>
      </c>
      <c r="BJ9" s="186">
        <f t="shared" si="9"/>
        <v>5.128656085437887</v>
      </c>
      <c r="BK9" s="186">
        <f t="shared" si="9"/>
        <v>4.9971520832471725</v>
      </c>
      <c r="BL9" s="186">
        <f t="shared" si="9"/>
        <v>4.865648081056458</v>
      </c>
      <c r="BM9" s="186">
        <f t="shared" si="9"/>
        <v>4.734144078865743</v>
      </c>
      <c r="BN9" s="186">
        <f t="shared" si="9"/>
        <v>4.602640076675027</v>
      </c>
      <c r="BO9" s="187">
        <f>SUM(BC9:BN9)</f>
        <v>63.910945064687525</v>
      </c>
      <c r="BP9" s="186">
        <f aca="true" t="shared" si="10" ref="BP9:CA9">BO12*$B$5/12</f>
        <v>4.4711360744843125</v>
      </c>
      <c r="BQ9" s="186">
        <f t="shared" si="10"/>
        <v>4.339632072293598</v>
      </c>
      <c r="BR9" s="186">
        <f t="shared" si="10"/>
        <v>4.208128070102883</v>
      </c>
      <c r="BS9" s="186">
        <f t="shared" si="10"/>
        <v>4.076624067912168</v>
      </c>
      <c r="BT9" s="186">
        <f t="shared" si="10"/>
        <v>3.945120065721453</v>
      </c>
      <c r="BU9" s="186">
        <f t="shared" si="10"/>
        <v>3.8136160635307377</v>
      </c>
      <c r="BV9" s="186">
        <f t="shared" si="10"/>
        <v>3.682112061340023</v>
      </c>
      <c r="BW9" s="186">
        <f t="shared" si="10"/>
        <v>3.550608059149308</v>
      </c>
      <c r="BX9" s="186">
        <f t="shared" si="10"/>
        <v>3.4191040569585933</v>
      </c>
      <c r="BY9" s="186">
        <f t="shared" si="10"/>
        <v>3.287600054767878</v>
      </c>
      <c r="BZ9" s="186">
        <f t="shared" si="10"/>
        <v>3.1560960525771633</v>
      </c>
      <c r="CA9" s="186">
        <f t="shared" si="10"/>
        <v>3.0245920503864485</v>
      </c>
      <c r="CB9" s="187">
        <f>SUM(BP9:CA9)</f>
        <v>44.97436874922457</v>
      </c>
      <c r="CC9" s="186">
        <f aca="true" t="shared" si="11" ref="CC9:CN9">CB12*$B$5/12</f>
        <v>2.893088048195733</v>
      </c>
      <c r="CD9" s="186">
        <f t="shared" si="11"/>
        <v>2.761584046005018</v>
      </c>
      <c r="CE9" s="186">
        <f t="shared" si="11"/>
        <v>2.6300800438143033</v>
      </c>
      <c r="CF9" s="186">
        <f t="shared" si="11"/>
        <v>2.4985760416235885</v>
      </c>
      <c r="CG9" s="186">
        <f t="shared" si="11"/>
        <v>2.3670720394328733</v>
      </c>
      <c r="CH9" s="186">
        <f t="shared" si="11"/>
        <v>2.2355680372421585</v>
      </c>
      <c r="CI9" s="186">
        <f t="shared" si="11"/>
        <v>2.1040640350514432</v>
      </c>
      <c r="CJ9" s="186">
        <f t="shared" si="11"/>
        <v>1.9725600328607282</v>
      </c>
      <c r="CK9" s="186">
        <f t="shared" si="11"/>
        <v>1.8410560306700134</v>
      </c>
      <c r="CL9" s="186">
        <f t="shared" si="11"/>
        <v>1.7095520284792984</v>
      </c>
      <c r="CM9" s="186">
        <f t="shared" si="11"/>
        <v>1.5780480262885836</v>
      </c>
      <c r="CN9" s="186">
        <f t="shared" si="11"/>
        <v>1.4465440240978686</v>
      </c>
      <c r="CO9" s="187">
        <f>SUM(CC9:CN9)</f>
        <v>26.03779243376161</v>
      </c>
      <c r="CP9" s="186">
        <f aca="true" t="shared" si="12" ref="CP9:DA9">CO12*$B$5/12</f>
        <v>1.3150400219071536</v>
      </c>
      <c r="CQ9" s="186">
        <f t="shared" si="12"/>
        <v>1.1835360197164386</v>
      </c>
      <c r="CR9" s="186">
        <f t="shared" si="12"/>
        <v>1.0520320175257238</v>
      </c>
      <c r="CS9" s="186">
        <f t="shared" si="12"/>
        <v>0.9205280153350087</v>
      </c>
      <c r="CT9" s="186">
        <f t="shared" si="12"/>
        <v>0.7890240131442937</v>
      </c>
      <c r="CU9" s="186">
        <f t="shared" si="12"/>
        <v>0.6575200109535787</v>
      </c>
      <c r="CV9" s="186">
        <f t="shared" si="12"/>
        <v>0.5260160087628637</v>
      </c>
      <c r="CW9" s="186">
        <f t="shared" si="12"/>
        <v>0.39451200657214863</v>
      </c>
      <c r="CX9" s="186">
        <f t="shared" si="12"/>
        <v>0.26300800438143357</v>
      </c>
      <c r="CY9" s="186">
        <f t="shared" si="12"/>
        <v>0.13150400219071853</v>
      </c>
      <c r="CZ9" s="186">
        <f t="shared" si="12"/>
        <v>3.4816594052244912E-15</v>
      </c>
      <c r="DA9" s="186">
        <f t="shared" si="12"/>
        <v>3.4816594052244912E-15</v>
      </c>
      <c r="DB9" s="187">
        <f>SUM(CP9:DA9)</f>
        <v>7.232720120489368</v>
      </c>
    </row>
    <row r="10" spans="1:107" ht="12.75">
      <c r="A10" s="180" t="s">
        <v>12</v>
      </c>
      <c r="B10" s="185">
        <f>O10+AB10+AO10+BB10+BO10+CB10+CO10+DB10</f>
        <v>1082.090075169312</v>
      </c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91"/>
      <c r="N10" s="191"/>
      <c r="O10" s="187">
        <f>SUM(C10:N10)</f>
        <v>0</v>
      </c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87">
        <f>SUM(P10:AA10)</f>
        <v>0</v>
      </c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87">
        <f>SUM(AC10:AN10)</f>
        <v>0</v>
      </c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86">
        <f>$AY$12/$B$13</f>
        <v>22.543543232694006</v>
      </c>
      <c r="BA10" s="186">
        <f>$AY$12/$B$13</f>
        <v>22.543543232694006</v>
      </c>
      <c r="BB10" s="187">
        <f>SUM(AP10:BA10)</f>
        <v>45.08708646538801</v>
      </c>
      <c r="BC10" s="186">
        <f aca="true" t="shared" si="13" ref="BC10:BN10">$AY$12/$B$13</f>
        <v>22.543543232694006</v>
      </c>
      <c r="BD10" s="186">
        <f t="shared" si="13"/>
        <v>22.543543232694006</v>
      </c>
      <c r="BE10" s="186">
        <f t="shared" si="13"/>
        <v>22.543543232694006</v>
      </c>
      <c r="BF10" s="186">
        <f t="shared" si="13"/>
        <v>22.543543232694006</v>
      </c>
      <c r="BG10" s="186">
        <f t="shared" si="13"/>
        <v>22.543543232694006</v>
      </c>
      <c r="BH10" s="186">
        <f t="shared" si="13"/>
        <v>22.543543232694006</v>
      </c>
      <c r="BI10" s="186">
        <f t="shared" si="13"/>
        <v>22.543543232694006</v>
      </c>
      <c r="BJ10" s="186">
        <f t="shared" si="13"/>
        <v>22.543543232694006</v>
      </c>
      <c r="BK10" s="186">
        <f t="shared" si="13"/>
        <v>22.543543232694006</v>
      </c>
      <c r="BL10" s="186">
        <f t="shared" si="13"/>
        <v>22.543543232694006</v>
      </c>
      <c r="BM10" s="186">
        <f t="shared" si="13"/>
        <v>22.543543232694006</v>
      </c>
      <c r="BN10" s="186">
        <f t="shared" si="13"/>
        <v>22.543543232694006</v>
      </c>
      <c r="BO10" s="187">
        <f>SUM(BC10:BN10)</f>
        <v>270.522518792328</v>
      </c>
      <c r="BP10" s="186">
        <f aca="true" t="shared" si="14" ref="BP10:CA10">$AY$12/$B$13</f>
        <v>22.543543232694006</v>
      </c>
      <c r="BQ10" s="186">
        <f t="shared" si="14"/>
        <v>22.543543232694006</v>
      </c>
      <c r="BR10" s="186">
        <f t="shared" si="14"/>
        <v>22.543543232694006</v>
      </c>
      <c r="BS10" s="186">
        <f t="shared" si="14"/>
        <v>22.543543232694006</v>
      </c>
      <c r="BT10" s="186">
        <f t="shared" si="14"/>
        <v>22.543543232694006</v>
      </c>
      <c r="BU10" s="186">
        <f t="shared" si="14"/>
        <v>22.543543232694006</v>
      </c>
      <c r="BV10" s="186">
        <f t="shared" si="14"/>
        <v>22.543543232694006</v>
      </c>
      <c r="BW10" s="186">
        <f t="shared" si="14"/>
        <v>22.543543232694006</v>
      </c>
      <c r="BX10" s="186">
        <f t="shared" si="14"/>
        <v>22.543543232694006</v>
      </c>
      <c r="BY10" s="186">
        <f t="shared" si="14"/>
        <v>22.543543232694006</v>
      </c>
      <c r="BZ10" s="186">
        <f t="shared" si="14"/>
        <v>22.543543232694006</v>
      </c>
      <c r="CA10" s="186">
        <f t="shared" si="14"/>
        <v>22.543543232694006</v>
      </c>
      <c r="CB10" s="187">
        <f>SUM(BP10:CA10)</f>
        <v>270.522518792328</v>
      </c>
      <c r="CC10" s="186">
        <f aca="true" t="shared" si="15" ref="CC10:CN10">$AY$12/$B$13</f>
        <v>22.543543232694006</v>
      </c>
      <c r="CD10" s="186">
        <f t="shared" si="15"/>
        <v>22.543543232694006</v>
      </c>
      <c r="CE10" s="186">
        <f t="shared" si="15"/>
        <v>22.543543232694006</v>
      </c>
      <c r="CF10" s="186">
        <f t="shared" si="15"/>
        <v>22.543543232694006</v>
      </c>
      <c r="CG10" s="186">
        <f t="shared" si="15"/>
        <v>22.543543232694006</v>
      </c>
      <c r="CH10" s="186">
        <f t="shared" si="15"/>
        <v>22.543543232694006</v>
      </c>
      <c r="CI10" s="186">
        <f t="shared" si="15"/>
        <v>22.543543232694006</v>
      </c>
      <c r="CJ10" s="186">
        <f t="shared" si="15"/>
        <v>22.543543232694006</v>
      </c>
      <c r="CK10" s="186">
        <f t="shared" si="15"/>
        <v>22.543543232694006</v>
      </c>
      <c r="CL10" s="186">
        <f t="shared" si="15"/>
        <v>22.543543232694006</v>
      </c>
      <c r="CM10" s="186">
        <f t="shared" si="15"/>
        <v>22.543543232694006</v>
      </c>
      <c r="CN10" s="186">
        <f t="shared" si="15"/>
        <v>22.543543232694006</v>
      </c>
      <c r="CO10" s="187">
        <f>SUM(CC10:CN10)</f>
        <v>270.522518792328</v>
      </c>
      <c r="CP10" s="186">
        <f aca="true" t="shared" si="16" ref="CP10:CY10">$AY$12/$B$13</f>
        <v>22.543543232694006</v>
      </c>
      <c r="CQ10" s="186">
        <f t="shared" si="16"/>
        <v>22.543543232694006</v>
      </c>
      <c r="CR10" s="186">
        <f t="shared" si="16"/>
        <v>22.543543232694006</v>
      </c>
      <c r="CS10" s="186">
        <f t="shared" si="16"/>
        <v>22.543543232694006</v>
      </c>
      <c r="CT10" s="186">
        <f t="shared" si="16"/>
        <v>22.543543232694006</v>
      </c>
      <c r="CU10" s="186">
        <f t="shared" si="16"/>
        <v>22.543543232694006</v>
      </c>
      <c r="CV10" s="186">
        <f t="shared" si="16"/>
        <v>22.543543232694006</v>
      </c>
      <c r="CW10" s="186">
        <f t="shared" si="16"/>
        <v>22.543543232694006</v>
      </c>
      <c r="CX10" s="186">
        <f t="shared" si="16"/>
        <v>22.543543232694006</v>
      </c>
      <c r="CY10" s="186">
        <f t="shared" si="16"/>
        <v>22.543543232694006</v>
      </c>
      <c r="CZ10" s="186"/>
      <c r="DA10" s="186"/>
      <c r="DB10" s="187">
        <f>SUM(CP10:DA10)</f>
        <v>225.43543232694003</v>
      </c>
      <c r="DC10" s="188"/>
    </row>
    <row r="11" spans="1:107" ht="12.75">
      <c r="A11" s="180" t="s">
        <v>13</v>
      </c>
      <c r="B11" s="185">
        <f>O11+AB11+AO11+BB11+BO11+CB11+CO11+DB11</f>
        <v>306.1413170999848</v>
      </c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91"/>
      <c r="N11" s="191"/>
      <c r="O11" s="187">
        <f>SUM(C11:N11)</f>
        <v>0</v>
      </c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86">
        <f aca="true" t="shared" si="17" ref="Z11:BN11">Z9</f>
        <v>6.312192105154323</v>
      </c>
      <c r="AA11" s="186">
        <f t="shared" si="17"/>
        <v>6.312192105154323</v>
      </c>
      <c r="AB11" s="187">
        <f>SUM(P11:AA11)</f>
        <v>12.624384210308646</v>
      </c>
      <c r="AC11" s="186">
        <f t="shared" si="17"/>
        <v>6.312192105154323</v>
      </c>
      <c r="AD11" s="186">
        <f t="shared" si="17"/>
        <v>6.312192105154323</v>
      </c>
      <c r="AE11" s="186">
        <f t="shared" si="17"/>
        <v>6.312192105154323</v>
      </c>
      <c r="AF11" s="186">
        <f t="shared" si="17"/>
        <v>6.312192105154323</v>
      </c>
      <c r="AG11" s="186">
        <f t="shared" si="17"/>
        <v>6.312192105154323</v>
      </c>
      <c r="AH11" s="186">
        <f t="shared" si="17"/>
        <v>6.312192105154323</v>
      </c>
      <c r="AI11" s="186">
        <f t="shared" si="17"/>
        <v>6.312192105154323</v>
      </c>
      <c r="AJ11" s="186">
        <f t="shared" si="17"/>
        <v>6.312192105154323</v>
      </c>
      <c r="AK11" s="186">
        <f t="shared" si="17"/>
        <v>6.312192105154323</v>
      </c>
      <c r="AL11" s="186">
        <f t="shared" si="17"/>
        <v>6.312192105154323</v>
      </c>
      <c r="AM11" s="186">
        <f t="shared" si="17"/>
        <v>6.312192105154323</v>
      </c>
      <c r="AN11" s="186">
        <f t="shared" si="17"/>
        <v>6.312192105154323</v>
      </c>
      <c r="AO11" s="187">
        <f>SUM(AC11:AN11)</f>
        <v>75.74630526185187</v>
      </c>
      <c r="AP11" s="186">
        <f t="shared" si="17"/>
        <v>6.312192105154323</v>
      </c>
      <c r="AQ11" s="186">
        <f t="shared" si="17"/>
        <v>6.312192105154323</v>
      </c>
      <c r="AR11" s="186">
        <f t="shared" si="17"/>
        <v>6.312192105154323</v>
      </c>
      <c r="AS11" s="186">
        <f t="shared" si="17"/>
        <v>6.312192105154323</v>
      </c>
      <c r="AT11" s="186">
        <f t="shared" si="17"/>
        <v>6.312192105154323</v>
      </c>
      <c r="AU11" s="186">
        <f t="shared" si="17"/>
        <v>6.312192105154323</v>
      </c>
      <c r="AV11" s="186">
        <f t="shared" si="17"/>
        <v>6.312192105154323</v>
      </c>
      <c r="AW11" s="186">
        <f t="shared" si="17"/>
        <v>6.312192105154323</v>
      </c>
      <c r="AX11" s="186">
        <f t="shared" si="17"/>
        <v>6.312192105154323</v>
      </c>
      <c r="AY11" s="186">
        <f t="shared" si="17"/>
        <v>6.312192105154323</v>
      </c>
      <c r="AZ11" s="186">
        <f t="shared" si="17"/>
        <v>6.312192105154323</v>
      </c>
      <c r="BA11" s="186">
        <f t="shared" si="17"/>
        <v>6.180688102963607</v>
      </c>
      <c r="BB11" s="187">
        <f>SUM(AP11:BA11)</f>
        <v>75.61480125966116</v>
      </c>
      <c r="BC11" s="186">
        <f t="shared" si="17"/>
        <v>6.049184100772892</v>
      </c>
      <c r="BD11" s="186">
        <f t="shared" si="17"/>
        <v>5.917680098582178</v>
      </c>
      <c r="BE11" s="186">
        <f t="shared" si="17"/>
        <v>5.786176096391462</v>
      </c>
      <c r="BF11" s="186">
        <f t="shared" si="17"/>
        <v>5.654672094200747</v>
      </c>
      <c r="BG11" s="186">
        <f t="shared" si="17"/>
        <v>5.523168092010033</v>
      </c>
      <c r="BH11" s="186">
        <f t="shared" si="17"/>
        <v>5.391664089819318</v>
      </c>
      <c r="BI11" s="186">
        <f t="shared" si="17"/>
        <v>5.260160087628603</v>
      </c>
      <c r="BJ11" s="186">
        <f t="shared" si="17"/>
        <v>5.128656085437887</v>
      </c>
      <c r="BK11" s="186">
        <f t="shared" si="17"/>
        <v>4.9971520832471725</v>
      </c>
      <c r="BL11" s="186">
        <f t="shared" si="17"/>
        <v>4.865648081056458</v>
      </c>
      <c r="BM11" s="186">
        <f t="shared" si="17"/>
        <v>4.734144078865743</v>
      </c>
      <c r="BN11" s="186">
        <f t="shared" si="17"/>
        <v>4.602640076675027</v>
      </c>
      <c r="BO11" s="187">
        <f>SUM(BC11:BN11)</f>
        <v>63.910945064687525</v>
      </c>
      <c r="BP11" s="186">
        <f aca="true" t="shared" si="18" ref="BP11:CA11">BP9</f>
        <v>4.4711360744843125</v>
      </c>
      <c r="BQ11" s="186">
        <f t="shared" si="18"/>
        <v>4.339632072293598</v>
      </c>
      <c r="BR11" s="186">
        <f t="shared" si="18"/>
        <v>4.208128070102883</v>
      </c>
      <c r="BS11" s="186">
        <f t="shared" si="18"/>
        <v>4.076624067912168</v>
      </c>
      <c r="BT11" s="186">
        <f t="shared" si="18"/>
        <v>3.945120065721453</v>
      </c>
      <c r="BU11" s="186">
        <f t="shared" si="18"/>
        <v>3.8136160635307377</v>
      </c>
      <c r="BV11" s="186">
        <f t="shared" si="18"/>
        <v>3.682112061340023</v>
      </c>
      <c r="BW11" s="186">
        <f t="shared" si="18"/>
        <v>3.550608059149308</v>
      </c>
      <c r="BX11" s="186">
        <f t="shared" si="18"/>
        <v>3.4191040569585933</v>
      </c>
      <c r="BY11" s="186">
        <f t="shared" si="18"/>
        <v>3.287600054767878</v>
      </c>
      <c r="BZ11" s="186">
        <f t="shared" si="18"/>
        <v>3.1560960525771633</v>
      </c>
      <c r="CA11" s="186">
        <f t="shared" si="18"/>
        <v>3.0245920503864485</v>
      </c>
      <c r="CB11" s="187">
        <f>SUM(BP11:CA11)</f>
        <v>44.97436874922457</v>
      </c>
      <c r="CC11" s="186">
        <f aca="true" t="shared" si="19" ref="CC11:CN11">CC9</f>
        <v>2.893088048195733</v>
      </c>
      <c r="CD11" s="186">
        <f t="shared" si="19"/>
        <v>2.761584046005018</v>
      </c>
      <c r="CE11" s="186">
        <f t="shared" si="19"/>
        <v>2.6300800438143033</v>
      </c>
      <c r="CF11" s="186">
        <f t="shared" si="19"/>
        <v>2.4985760416235885</v>
      </c>
      <c r="CG11" s="186">
        <f t="shared" si="19"/>
        <v>2.3670720394328733</v>
      </c>
      <c r="CH11" s="186">
        <f t="shared" si="19"/>
        <v>2.2355680372421585</v>
      </c>
      <c r="CI11" s="186">
        <f t="shared" si="19"/>
        <v>2.1040640350514432</v>
      </c>
      <c r="CJ11" s="186">
        <f t="shared" si="19"/>
        <v>1.9725600328607282</v>
      </c>
      <c r="CK11" s="186">
        <f t="shared" si="19"/>
        <v>1.8410560306700134</v>
      </c>
      <c r="CL11" s="186">
        <f t="shared" si="19"/>
        <v>1.7095520284792984</v>
      </c>
      <c r="CM11" s="186">
        <f t="shared" si="19"/>
        <v>1.5780480262885836</v>
      </c>
      <c r="CN11" s="186">
        <f t="shared" si="19"/>
        <v>1.4465440240978686</v>
      </c>
      <c r="CO11" s="187">
        <f>SUM(CC11:CN11)</f>
        <v>26.03779243376161</v>
      </c>
      <c r="CP11" s="186">
        <f aca="true" t="shared" si="20" ref="CP11:DA11">CP9</f>
        <v>1.3150400219071536</v>
      </c>
      <c r="CQ11" s="186">
        <f t="shared" si="20"/>
        <v>1.1835360197164386</v>
      </c>
      <c r="CR11" s="186">
        <f t="shared" si="20"/>
        <v>1.0520320175257238</v>
      </c>
      <c r="CS11" s="186">
        <f t="shared" si="20"/>
        <v>0.9205280153350087</v>
      </c>
      <c r="CT11" s="186">
        <f t="shared" si="20"/>
        <v>0.7890240131442937</v>
      </c>
      <c r="CU11" s="186">
        <f t="shared" si="20"/>
        <v>0.6575200109535787</v>
      </c>
      <c r="CV11" s="186">
        <f t="shared" si="20"/>
        <v>0.5260160087628637</v>
      </c>
      <c r="CW11" s="186">
        <f t="shared" si="20"/>
        <v>0.39451200657214863</v>
      </c>
      <c r="CX11" s="186">
        <f t="shared" si="20"/>
        <v>0.26300800438143357</v>
      </c>
      <c r="CY11" s="186">
        <f t="shared" si="20"/>
        <v>0.13150400219071853</v>
      </c>
      <c r="CZ11" s="186">
        <f t="shared" si="20"/>
        <v>3.4816594052244912E-15</v>
      </c>
      <c r="DA11" s="186">
        <f t="shared" si="20"/>
        <v>3.4816594052244912E-15</v>
      </c>
      <c r="DB11" s="187">
        <f>SUM(CP11:DA11)</f>
        <v>7.232720120489368</v>
      </c>
      <c r="DC11" s="188" t="s">
        <v>56</v>
      </c>
    </row>
    <row r="12" spans="1:107" ht="12.75">
      <c r="A12" s="180" t="s">
        <v>14</v>
      </c>
      <c r="B12" s="185">
        <f>DB12</f>
        <v>5.968558980384842E-13</v>
      </c>
      <c r="C12" s="186">
        <f>C7</f>
        <v>0</v>
      </c>
      <c r="D12" s="186">
        <f>C12+D7-D10+D8</f>
        <v>0</v>
      </c>
      <c r="E12" s="186">
        <f>D12+E7-E10+E8</f>
        <v>0</v>
      </c>
      <c r="F12" s="186">
        <f>E12+F7-F10+F8</f>
        <v>0</v>
      </c>
      <c r="G12" s="186">
        <f aca="true" t="shared" si="21" ref="G12:M12">F12+G7-G10+G8</f>
        <v>0</v>
      </c>
      <c r="H12" s="186">
        <f>G12+H7-H10+H8</f>
        <v>0</v>
      </c>
      <c r="I12" s="186">
        <f t="shared" si="21"/>
        <v>0</v>
      </c>
      <c r="J12" s="186">
        <f t="shared" si="21"/>
        <v>0</v>
      </c>
      <c r="K12" s="186">
        <f t="shared" si="21"/>
        <v>0</v>
      </c>
      <c r="L12" s="186">
        <f t="shared" si="21"/>
        <v>507.0316634920635</v>
      </c>
      <c r="M12" s="186">
        <f t="shared" si="21"/>
        <v>1014.063326984127</v>
      </c>
      <c r="N12" s="186">
        <f>M12+N7-N10+N8</f>
        <v>1014.063326984127</v>
      </c>
      <c r="O12" s="187">
        <f>N12</f>
        <v>1014.063326984127</v>
      </c>
      <c r="P12" s="186">
        <f>O12+P7-P10+P8</f>
        <v>1014.063326984127</v>
      </c>
      <c r="Q12" s="186">
        <f aca="true" t="shared" si="22" ref="Q12:Z12">P12+Q7-Q10+Q8</f>
        <v>1014.063326984127</v>
      </c>
      <c r="R12" s="186">
        <f t="shared" si="22"/>
        <v>1014.063326984127</v>
      </c>
      <c r="S12" s="186">
        <f t="shared" si="22"/>
        <v>1014.063326984127</v>
      </c>
      <c r="T12" s="186">
        <f t="shared" si="22"/>
        <v>1014.063326984127</v>
      </c>
      <c r="U12" s="186">
        <f t="shared" si="22"/>
        <v>1014.063326984127</v>
      </c>
      <c r="V12" s="186">
        <f t="shared" si="22"/>
        <v>1014.063326984127</v>
      </c>
      <c r="W12" s="186">
        <f t="shared" si="22"/>
        <v>1014.063326984127</v>
      </c>
      <c r="X12" s="186">
        <f t="shared" si="22"/>
        <v>1014.063326984127</v>
      </c>
      <c r="Y12" s="186">
        <f t="shared" si="22"/>
        <v>1082.0900751693123</v>
      </c>
      <c r="Z12" s="186">
        <f t="shared" si="22"/>
        <v>1082.0900751693123</v>
      </c>
      <c r="AA12" s="186">
        <f>Z12+AA7-AA10+AA8</f>
        <v>1082.0900751693123</v>
      </c>
      <c r="AB12" s="187">
        <f>AA12</f>
        <v>1082.0900751693123</v>
      </c>
      <c r="AC12" s="186">
        <f>AB12+AC7-AC10+AC8</f>
        <v>1082.0900751693123</v>
      </c>
      <c r="AD12" s="186">
        <f aca="true" t="shared" si="23" ref="AD12:AN12">AC12+AD7-AD10+AD8</f>
        <v>1082.0900751693123</v>
      </c>
      <c r="AE12" s="186">
        <f t="shared" si="23"/>
        <v>1082.0900751693123</v>
      </c>
      <c r="AF12" s="186">
        <f t="shared" si="23"/>
        <v>1082.0900751693123</v>
      </c>
      <c r="AG12" s="186">
        <f t="shared" si="23"/>
        <v>1082.0900751693123</v>
      </c>
      <c r="AH12" s="186">
        <f t="shared" si="23"/>
        <v>1082.0900751693123</v>
      </c>
      <c r="AI12" s="186">
        <f t="shared" si="23"/>
        <v>1082.0900751693123</v>
      </c>
      <c r="AJ12" s="186">
        <f t="shared" si="23"/>
        <v>1082.0900751693123</v>
      </c>
      <c r="AK12" s="186">
        <f t="shared" si="23"/>
        <v>1082.0900751693123</v>
      </c>
      <c r="AL12" s="186">
        <f t="shared" si="23"/>
        <v>1082.0900751693123</v>
      </c>
      <c r="AM12" s="186">
        <f t="shared" si="23"/>
        <v>1082.0900751693123</v>
      </c>
      <c r="AN12" s="186">
        <f t="shared" si="23"/>
        <v>1082.0900751693123</v>
      </c>
      <c r="AO12" s="187">
        <f>AN12</f>
        <v>1082.0900751693123</v>
      </c>
      <c r="AP12" s="186">
        <f>AO12+AP7-AP10+AP8</f>
        <v>1082.0900751693123</v>
      </c>
      <c r="AQ12" s="186">
        <f aca="true" t="shared" si="24" ref="AQ12:BA12">AP12+AQ7-AQ10+AQ8</f>
        <v>1082.0900751693123</v>
      </c>
      <c r="AR12" s="186">
        <f t="shared" si="24"/>
        <v>1082.0900751693123</v>
      </c>
      <c r="AS12" s="186">
        <f t="shared" si="24"/>
        <v>1082.0900751693123</v>
      </c>
      <c r="AT12" s="186">
        <f t="shared" si="24"/>
        <v>1082.0900751693123</v>
      </c>
      <c r="AU12" s="186">
        <f t="shared" si="24"/>
        <v>1082.0900751693123</v>
      </c>
      <c r="AV12" s="186">
        <f t="shared" si="24"/>
        <v>1082.0900751693123</v>
      </c>
      <c r="AW12" s="186">
        <f t="shared" si="24"/>
        <v>1082.0900751693123</v>
      </c>
      <c r="AX12" s="186">
        <f t="shared" si="24"/>
        <v>1082.0900751693123</v>
      </c>
      <c r="AY12" s="186">
        <f t="shared" si="24"/>
        <v>1082.0900751693123</v>
      </c>
      <c r="AZ12" s="186">
        <f t="shared" si="24"/>
        <v>1059.5465319366183</v>
      </c>
      <c r="BA12" s="186">
        <f t="shared" si="24"/>
        <v>1037.0029887039243</v>
      </c>
      <c r="BB12" s="187">
        <f>BA12</f>
        <v>1037.0029887039243</v>
      </c>
      <c r="BC12" s="186">
        <f>BB12+BC7-BC10+BC8</f>
        <v>1014.4594454712303</v>
      </c>
      <c r="BD12" s="186">
        <f aca="true" t="shared" si="25" ref="BD12:BN12">BC12+BD7-BD10+BD8</f>
        <v>991.9159022385363</v>
      </c>
      <c r="BE12" s="186">
        <f t="shared" si="25"/>
        <v>969.3723590058423</v>
      </c>
      <c r="BF12" s="186">
        <f t="shared" si="25"/>
        <v>946.8288157731483</v>
      </c>
      <c r="BG12" s="186">
        <f t="shared" si="25"/>
        <v>924.2852725404543</v>
      </c>
      <c r="BH12" s="186">
        <f t="shared" si="25"/>
        <v>901.7417293077604</v>
      </c>
      <c r="BI12" s="186">
        <f t="shared" si="25"/>
        <v>879.1981860750664</v>
      </c>
      <c r="BJ12" s="186">
        <f t="shared" si="25"/>
        <v>856.6546428423724</v>
      </c>
      <c r="BK12" s="186">
        <f t="shared" si="25"/>
        <v>834.1110996096784</v>
      </c>
      <c r="BL12" s="186">
        <f t="shared" si="25"/>
        <v>811.5675563769844</v>
      </c>
      <c r="BM12" s="186">
        <f t="shared" si="25"/>
        <v>789.0240131442904</v>
      </c>
      <c r="BN12" s="186">
        <f t="shared" si="25"/>
        <v>766.4804699115964</v>
      </c>
      <c r="BO12" s="187">
        <f>BN12</f>
        <v>766.4804699115964</v>
      </c>
      <c r="BP12" s="186">
        <f aca="true" t="shared" si="26" ref="BP12:CA12">BO12+BP7-BP10+BP8</f>
        <v>743.9369266789024</v>
      </c>
      <c r="BQ12" s="186">
        <f t="shared" si="26"/>
        <v>721.3933834462084</v>
      </c>
      <c r="BR12" s="186">
        <f t="shared" si="26"/>
        <v>698.8498402135144</v>
      </c>
      <c r="BS12" s="186">
        <f t="shared" si="26"/>
        <v>676.3062969808204</v>
      </c>
      <c r="BT12" s="186">
        <f t="shared" si="26"/>
        <v>653.7627537481264</v>
      </c>
      <c r="BU12" s="186">
        <f t="shared" si="26"/>
        <v>631.2192105154325</v>
      </c>
      <c r="BV12" s="186">
        <f t="shared" si="26"/>
        <v>608.6756672827385</v>
      </c>
      <c r="BW12" s="186">
        <f t="shared" si="26"/>
        <v>586.1321240500445</v>
      </c>
      <c r="BX12" s="186">
        <f t="shared" si="26"/>
        <v>563.5885808173505</v>
      </c>
      <c r="BY12" s="186">
        <f t="shared" si="26"/>
        <v>541.0450375846565</v>
      </c>
      <c r="BZ12" s="186">
        <f t="shared" si="26"/>
        <v>518.5014943519625</v>
      </c>
      <c r="CA12" s="186">
        <f t="shared" si="26"/>
        <v>495.9579511192685</v>
      </c>
      <c r="CB12" s="187">
        <f>CA12</f>
        <v>495.9579511192685</v>
      </c>
      <c r="CC12" s="186">
        <f aca="true" t="shared" si="27" ref="CC12:CN12">CB12+CC7-CC10+CC8</f>
        <v>473.4144078865745</v>
      </c>
      <c r="CD12" s="186">
        <f t="shared" si="27"/>
        <v>450.8708646538805</v>
      </c>
      <c r="CE12" s="186">
        <f t="shared" si="27"/>
        <v>428.3273214211865</v>
      </c>
      <c r="CF12" s="186">
        <f t="shared" si="27"/>
        <v>405.78377818849253</v>
      </c>
      <c r="CG12" s="186">
        <f t="shared" si="27"/>
        <v>383.24023495579854</v>
      </c>
      <c r="CH12" s="186">
        <f t="shared" si="27"/>
        <v>360.69669172310455</v>
      </c>
      <c r="CI12" s="186">
        <f t="shared" si="27"/>
        <v>338.15314849041056</v>
      </c>
      <c r="CJ12" s="186">
        <f t="shared" si="27"/>
        <v>315.60960525771657</v>
      </c>
      <c r="CK12" s="186">
        <f t="shared" si="27"/>
        <v>293.0660620250226</v>
      </c>
      <c r="CL12" s="186">
        <f t="shared" si="27"/>
        <v>270.5225187923286</v>
      </c>
      <c r="CM12" s="186">
        <f t="shared" si="27"/>
        <v>247.9789755596346</v>
      </c>
      <c r="CN12" s="186">
        <f t="shared" si="27"/>
        <v>225.4354323269406</v>
      </c>
      <c r="CO12" s="187">
        <f>CN12</f>
        <v>225.4354323269406</v>
      </c>
      <c r="CP12" s="186">
        <f aca="true" t="shared" si="28" ref="CP12:DA12">CO12+CP7-CP10+CP8</f>
        <v>202.8918890942466</v>
      </c>
      <c r="CQ12" s="186">
        <f t="shared" si="28"/>
        <v>180.34834586155262</v>
      </c>
      <c r="CR12" s="186">
        <f t="shared" si="28"/>
        <v>157.80480262885862</v>
      </c>
      <c r="CS12" s="186">
        <f t="shared" si="28"/>
        <v>135.26125939616463</v>
      </c>
      <c r="CT12" s="186">
        <f t="shared" si="28"/>
        <v>112.71771616347063</v>
      </c>
      <c r="CU12" s="186">
        <f t="shared" si="28"/>
        <v>90.17417293077662</v>
      </c>
      <c r="CV12" s="186">
        <f t="shared" si="28"/>
        <v>67.63062969808261</v>
      </c>
      <c r="CW12" s="186">
        <f t="shared" si="28"/>
        <v>45.08708646538861</v>
      </c>
      <c r="CX12" s="186">
        <f t="shared" si="28"/>
        <v>22.543543232694603</v>
      </c>
      <c r="CY12" s="186">
        <f t="shared" si="28"/>
        <v>5.968558980384842E-13</v>
      </c>
      <c r="CZ12" s="186">
        <f t="shared" si="28"/>
        <v>5.968558980384842E-13</v>
      </c>
      <c r="DA12" s="186">
        <f t="shared" si="28"/>
        <v>5.968558980384842E-13</v>
      </c>
      <c r="DB12" s="187">
        <f>DA12</f>
        <v>5.968558980384842E-13</v>
      </c>
      <c r="DC12" s="192">
        <f>MAX(C12:DB12)</f>
        <v>1082.0900751693123</v>
      </c>
    </row>
    <row r="13" spans="1:107" ht="12.75">
      <c r="A13" s="172" t="s">
        <v>76</v>
      </c>
      <c r="B13" s="172">
        <f>Исх!C61*12-Исх!C62</f>
        <v>48</v>
      </c>
      <c r="DC13" s="175"/>
    </row>
    <row r="16" ht="12.75" outlineLevel="1">
      <c r="A16" s="193">
        <f>B7+B8-B10</f>
        <v>0</v>
      </c>
    </row>
    <row r="17" ht="12.75" outlineLevel="1">
      <c r="A17" s="193">
        <f>B9-B8-B11</f>
        <v>0</v>
      </c>
    </row>
  </sheetData>
  <sheetProtection/>
  <mergeCells count="8">
    <mergeCell ref="CP5:DB5"/>
    <mergeCell ref="CC5:CO5"/>
    <mergeCell ref="C5:O5"/>
    <mergeCell ref="P5:AB5"/>
    <mergeCell ref="AC5:AO5"/>
    <mergeCell ref="AP5:BB5"/>
    <mergeCell ref="BC5:BO5"/>
    <mergeCell ref="BP5:CB5"/>
  </mergeCells>
  <printOptions/>
  <pageMargins left="0.35433070866141736" right="0.1968503937007874" top="0.46" bottom="0.31496062992125984" header="0.1968503937007874" footer="0.2362204724409449"/>
  <pageSetup horizontalDpi="600" verticalDpi="600" orientation="landscape" paperSize="9" scale="11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2:S22"/>
  <sheetViews>
    <sheetView showGridLines="0" zoomScalePageLayoutView="0" workbookViewId="0" topLeftCell="A1">
      <pane xSplit="2" ySplit="4" topLeftCell="C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L26" sqref="L26"/>
    </sheetView>
  </sheetViews>
  <sheetFormatPr defaultColWidth="8.875" defaultRowHeight="12.75" outlineLevelRow="1" outlineLevelCol="1"/>
  <cols>
    <col min="1" max="1" width="36.25390625" style="71" customWidth="1"/>
    <col min="2" max="2" width="8.125" style="71" customWidth="1"/>
    <col min="3" max="3" width="8.25390625" style="71" customWidth="1"/>
    <col min="4" max="4" width="10.00390625" style="71" customWidth="1"/>
    <col min="5" max="13" width="4.875" style="71" customWidth="1" outlineLevel="1"/>
    <col min="14" max="16" width="6.125" style="71" customWidth="1" outlineLevel="1"/>
    <col min="17" max="17" width="10.125" style="71" customWidth="1"/>
    <col min="18" max="18" width="3.625" style="71" customWidth="1"/>
    <col min="19" max="19" width="16.00390625" style="71" customWidth="1"/>
    <col min="20" max="20" width="12.875" style="71" bestFit="1" customWidth="1"/>
    <col min="21" max="16384" width="8.875" style="71" customWidth="1"/>
  </cols>
  <sheetData>
    <row r="1" ht="8.25" customHeight="1"/>
    <row r="2" spans="1:19" ht="12.75">
      <c r="A2" s="61" t="s">
        <v>223</v>
      </c>
      <c r="B2" s="168"/>
      <c r="Q2" s="144" t="s">
        <v>57</v>
      </c>
      <c r="R2" s="194"/>
      <c r="S2" s="166"/>
    </row>
    <row r="3" spans="1:19" ht="12.75">
      <c r="A3" s="344" t="s">
        <v>184</v>
      </c>
      <c r="B3" s="345" t="s">
        <v>154</v>
      </c>
      <c r="C3" s="345" t="s">
        <v>155</v>
      </c>
      <c r="D3" s="346" t="s">
        <v>153</v>
      </c>
      <c r="E3" s="341">
        <v>2013</v>
      </c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3"/>
      <c r="Q3" s="86" t="s">
        <v>0</v>
      </c>
      <c r="R3" s="194"/>
      <c r="S3" s="195"/>
    </row>
    <row r="4" spans="1:17" ht="12.75">
      <c r="A4" s="344"/>
      <c r="B4" s="345"/>
      <c r="C4" s="345"/>
      <c r="D4" s="346"/>
      <c r="E4" s="196">
        <v>1</v>
      </c>
      <c r="F4" s="196">
        <v>2</v>
      </c>
      <c r="G4" s="196">
        <v>3</v>
      </c>
      <c r="H4" s="196">
        <v>4</v>
      </c>
      <c r="I4" s="196">
        <v>5</v>
      </c>
      <c r="J4" s="196">
        <v>6</v>
      </c>
      <c r="K4" s="196">
        <v>7</v>
      </c>
      <c r="L4" s="196">
        <v>8</v>
      </c>
      <c r="M4" s="196">
        <v>9</v>
      </c>
      <c r="N4" s="196">
        <v>10</v>
      </c>
      <c r="O4" s="196">
        <v>11</v>
      </c>
      <c r="P4" s="196">
        <v>12</v>
      </c>
      <c r="Q4" s="88">
        <v>2013</v>
      </c>
    </row>
    <row r="5" spans="1:17" s="61" customFormat="1" ht="12.75">
      <c r="A5" s="197" t="s">
        <v>183</v>
      </c>
      <c r="B5" s="198"/>
      <c r="C5" s="198"/>
      <c r="D5" s="141">
        <f aca="true" t="shared" si="0" ref="D5:Q5">SUM(D6:D7)</f>
        <v>632.6347555555556</v>
      </c>
      <c r="E5" s="141">
        <f t="shared" si="0"/>
        <v>0</v>
      </c>
      <c r="F5" s="141">
        <f t="shared" si="0"/>
        <v>0</v>
      </c>
      <c r="G5" s="141">
        <f t="shared" si="0"/>
        <v>0</v>
      </c>
      <c r="H5" s="141">
        <f t="shared" si="0"/>
        <v>0</v>
      </c>
      <c r="I5" s="141">
        <f t="shared" si="0"/>
        <v>0</v>
      </c>
      <c r="J5" s="141">
        <f t="shared" si="0"/>
        <v>0</v>
      </c>
      <c r="K5" s="141">
        <f t="shared" si="0"/>
        <v>0</v>
      </c>
      <c r="L5" s="141">
        <f t="shared" si="0"/>
        <v>0</v>
      </c>
      <c r="M5" s="141">
        <f t="shared" si="0"/>
        <v>0</v>
      </c>
      <c r="N5" s="141">
        <f t="shared" si="0"/>
        <v>316.3173777777778</v>
      </c>
      <c r="O5" s="141">
        <f t="shared" si="0"/>
        <v>316.3173777777778</v>
      </c>
      <c r="P5" s="141">
        <f t="shared" si="0"/>
        <v>0</v>
      </c>
      <c r="Q5" s="141">
        <f t="shared" si="0"/>
        <v>632.6347555555556</v>
      </c>
    </row>
    <row r="6" spans="1:19" ht="12.75" outlineLevel="1">
      <c r="A6" s="230" t="s">
        <v>338</v>
      </c>
      <c r="B6" s="44">
        <f>Исх!C50</f>
        <v>222.2222222222222</v>
      </c>
      <c r="C6" s="44">
        <f>Исх!C37/1000</f>
        <v>2.5</v>
      </c>
      <c r="D6" s="149">
        <f>B6*C6</f>
        <v>555.5555555555555</v>
      </c>
      <c r="E6" s="149"/>
      <c r="F6" s="149"/>
      <c r="G6" s="149"/>
      <c r="H6" s="149"/>
      <c r="I6" s="149"/>
      <c r="J6" s="149"/>
      <c r="K6" s="149"/>
      <c r="L6" s="149"/>
      <c r="M6" s="149"/>
      <c r="N6" s="149">
        <f>$D6/2</f>
        <v>277.77777777777777</v>
      </c>
      <c r="O6" s="149">
        <f>$D6/2</f>
        <v>277.77777777777777</v>
      </c>
      <c r="P6" s="149"/>
      <c r="Q6" s="150">
        <f>SUM(E6:P6)</f>
        <v>555.5555555555555</v>
      </c>
      <c r="R6" s="61"/>
      <c r="S6" s="61"/>
    </row>
    <row r="7" spans="1:19" ht="12.75" outlineLevel="1">
      <c r="A7" s="199" t="s">
        <v>339</v>
      </c>
      <c r="B7" s="143">
        <f>Исх!C49</f>
        <v>4</v>
      </c>
      <c r="C7" s="143">
        <f>Исх!C36/1000</f>
        <v>19.269800000000004</v>
      </c>
      <c r="D7" s="149">
        <f>B7*C7</f>
        <v>77.07920000000001</v>
      </c>
      <c r="E7" s="149"/>
      <c r="F7" s="149"/>
      <c r="G7" s="149"/>
      <c r="H7" s="149"/>
      <c r="I7" s="149"/>
      <c r="J7" s="149"/>
      <c r="K7" s="149"/>
      <c r="L7" s="149"/>
      <c r="M7" s="149"/>
      <c r="N7" s="149">
        <f>$D7/2</f>
        <v>38.53960000000001</v>
      </c>
      <c r="O7" s="149">
        <f>$D7/2</f>
        <v>38.53960000000001</v>
      </c>
      <c r="P7" s="149"/>
      <c r="Q7" s="150">
        <f>SUM(E7:P7)</f>
        <v>77.07920000000001</v>
      </c>
      <c r="R7" s="61"/>
      <c r="S7" s="61"/>
    </row>
    <row r="8" spans="1:19" ht="12.75" hidden="1">
      <c r="A8" s="197" t="s">
        <v>103</v>
      </c>
      <c r="B8" s="198"/>
      <c r="C8" s="198"/>
      <c r="D8" s="141">
        <f aca="true" t="shared" si="1" ref="D8:Q8">SUM(D9:D11)</f>
        <v>0</v>
      </c>
      <c r="E8" s="141">
        <f t="shared" si="1"/>
        <v>0</v>
      </c>
      <c r="F8" s="141">
        <f t="shared" si="1"/>
        <v>0</v>
      </c>
      <c r="G8" s="141">
        <f t="shared" si="1"/>
        <v>0</v>
      </c>
      <c r="H8" s="141">
        <f t="shared" si="1"/>
        <v>0</v>
      </c>
      <c r="I8" s="141">
        <f t="shared" si="1"/>
        <v>0</v>
      </c>
      <c r="J8" s="141">
        <f t="shared" si="1"/>
        <v>0</v>
      </c>
      <c r="K8" s="141">
        <f t="shared" si="1"/>
        <v>0</v>
      </c>
      <c r="L8" s="141">
        <f t="shared" si="1"/>
        <v>0</v>
      </c>
      <c r="M8" s="141">
        <f t="shared" si="1"/>
        <v>0</v>
      </c>
      <c r="N8" s="141">
        <f t="shared" si="1"/>
        <v>0</v>
      </c>
      <c r="O8" s="141">
        <f t="shared" si="1"/>
        <v>0</v>
      </c>
      <c r="P8" s="141">
        <f t="shared" si="1"/>
        <v>0</v>
      </c>
      <c r="Q8" s="141">
        <f t="shared" si="1"/>
        <v>0</v>
      </c>
      <c r="R8" s="61"/>
      <c r="S8" s="61"/>
    </row>
    <row r="9" spans="1:19" ht="12.75" hidden="1" outlineLevel="1">
      <c r="A9" s="222"/>
      <c r="B9" s="143"/>
      <c r="C9" s="142"/>
      <c r="D9" s="149">
        <f>B9*C9</f>
        <v>0</v>
      </c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50">
        <f>SUM(E9:P9)</f>
        <v>0</v>
      </c>
      <c r="R9" s="61"/>
      <c r="S9" s="61"/>
    </row>
    <row r="10" spans="1:19" ht="12.75" hidden="1" outlineLevel="1">
      <c r="A10" s="200"/>
      <c r="B10" s="143"/>
      <c r="C10" s="142"/>
      <c r="D10" s="149">
        <f>B10*C10</f>
        <v>0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50">
        <f>SUM(E10:P10)</f>
        <v>0</v>
      </c>
      <c r="R10" s="61"/>
      <c r="S10" s="61"/>
    </row>
    <row r="11" spans="1:19" ht="12.75" hidden="1" outlineLevel="1">
      <c r="A11" s="200"/>
      <c r="B11" s="143"/>
      <c r="C11" s="142"/>
      <c r="D11" s="149">
        <f>B11*C11</f>
        <v>0</v>
      </c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50">
        <f>SUM(E11:P11)</f>
        <v>0</v>
      </c>
      <c r="R11" s="61"/>
      <c r="S11" s="61"/>
    </row>
    <row r="12" spans="1:19" ht="12.75" collapsed="1">
      <c r="A12" s="197" t="s">
        <v>222</v>
      </c>
      <c r="B12" s="198"/>
      <c r="C12" s="198"/>
      <c r="D12" s="141">
        <f aca="true" t="shared" si="2" ref="D12:Q12">SUM(D14:D15)</f>
        <v>381.42857142857144</v>
      </c>
      <c r="E12" s="141">
        <f t="shared" si="2"/>
        <v>0</v>
      </c>
      <c r="F12" s="141">
        <f t="shared" si="2"/>
        <v>0</v>
      </c>
      <c r="G12" s="141">
        <f t="shared" si="2"/>
        <v>0</v>
      </c>
      <c r="H12" s="141">
        <f t="shared" si="2"/>
        <v>0</v>
      </c>
      <c r="I12" s="141">
        <f t="shared" si="2"/>
        <v>0</v>
      </c>
      <c r="J12" s="141">
        <f t="shared" si="2"/>
        <v>0</v>
      </c>
      <c r="K12" s="141">
        <f t="shared" si="2"/>
        <v>0</v>
      </c>
      <c r="L12" s="141">
        <f t="shared" si="2"/>
        <v>0</v>
      </c>
      <c r="M12" s="141">
        <f t="shared" si="2"/>
        <v>0</v>
      </c>
      <c r="N12" s="141">
        <f t="shared" si="2"/>
        <v>190.71428571428572</v>
      </c>
      <c r="O12" s="141">
        <f t="shared" si="2"/>
        <v>190.71428571428572</v>
      </c>
      <c r="P12" s="141">
        <f t="shared" si="2"/>
        <v>0</v>
      </c>
      <c r="Q12" s="141">
        <f t="shared" si="2"/>
        <v>381.42857142857144</v>
      </c>
      <c r="S12" s="61"/>
    </row>
    <row r="13" spans="1:19" ht="12.75" outlineLevel="1">
      <c r="A13" s="161" t="s">
        <v>300</v>
      </c>
      <c r="B13" s="143">
        <f>Исх!C26</f>
        <v>599.9999999999999</v>
      </c>
      <c r="C13" s="258">
        <f>Исх!C34/1000</f>
        <v>0.8</v>
      </c>
      <c r="D13" s="149">
        <f>B13*C13</f>
        <v>479.99999999999994</v>
      </c>
      <c r="E13" s="149"/>
      <c r="F13" s="149"/>
      <c r="G13" s="149"/>
      <c r="H13" s="149"/>
      <c r="I13" s="149"/>
      <c r="J13" s="149"/>
      <c r="K13" s="149"/>
      <c r="L13" s="149"/>
      <c r="M13" s="149"/>
      <c r="N13" s="149">
        <f aca="true" t="shared" si="3" ref="N13:O15">$D13/2</f>
        <v>239.99999999999997</v>
      </c>
      <c r="O13" s="149">
        <f t="shared" si="3"/>
        <v>239.99999999999997</v>
      </c>
      <c r="P13" s="149"/>
      <c r="Q13" s="150">
        <f>SUM(E13:P13)</f>
        <v>479.99999999999994</v>
      </c>
      <c r="S13" s="61"/>
    </row>
    <row r="14" spans="1:19" ht="12.75" outlineLevel="1">
      <c r="A14" s="161" t="s">
        <v>301</v>
      </c>
      <c r="B14" s="143">
        <f>Исх!C27</f>
        <v>257.1428571428571</v>
      </c>
      <c r="C14" s="258">
        <f>Исх!C35/1000</f>
        <v>0.9</v>
      </c>
      <c r="D14" s="149">
        <f>B14*C14</f>
        <v>231.42857142857142</v>
      </c>
      <c r="E14" s="149"/>
      <c r="F14" s="149"/>
      <c r="G14" s="149"/>
      <c r="H14" s="149"/>
      <c r="I14" s="149"/>
      <c r="J14" s="149"/>
      <c r="K14" s="149"/>
      <c r="L14" s="149"/>
      <c r="M14" s="149"/>
      <c r="N14" s="149">
        <f t="shared" si="3"/>
        <v>115.71428571428571</v>
      </c>
      <c r="O14" s="149">
        <f t="shared" si="3"/>
        <v>115.71428571428571</v>
      </c>
      <c r="P14" s="149"/>
      <c r="Q14" s="150">
        <f>SUM(E14:P14)</f>
        <v>231.42857142857142</v>
      </c>
      <c r="S14" s="61"/>
    </row>
    <row r="15" spans="1:19" ht="12.75" outlineLevel="1">
      <c r="A15" s="200" t="s">
        <v>340</v>
      </c>
      <c r="B15" s="142">
        <v>1</v>
      </c>
      <c r="C15" s="142">
        <v>150</v>
      </c>
      <c r="D15" s="149">
        <f>B15*C15</f>
        <v>150</v>
      </c>
      <c r="E15" s="149"/>
      <c r="F15" s="149"/>
      <c r="G15" s="149"/>
      <c r="H15" s="149"/>
      <c r="I15" s="149"/>
      <c r="J15" s="149"/>
      <c r="K15" s="149"/>
      <c r="L15" s="149"/>
      <c r="M15" s="149"/>
      <c r="N15" s="149">
        <f t="shared" si="3"/>
        <v>75</v>
      </c>
      <c r="O15" s="149">
        <f t="shared" si="3"/>
        <v>75</v>
      </c>
      <c r="P15" s="149"/>
      <c r="Q15" s="150">
        <f>SUM(E15:P15)</f>
        <v>150</v>
      </c>
      <c r="S15" s="61"/>
    </row>
    <row r="16" spans="1:17" ht="12.75">
      <c r="A16" s="138" t="s">
        <v>0</v>
      </c>
      <c r="B16" s="162"/>
      <c r="C16" s="162"/>
      <c r="D16" s="162">
        <f aca="true" t="shared" si="4" ref="D16:Q16">D5+D8+D12</f>
        <v>1014.063326984127</v>
      </c>
      <c r="E16" s="162">
        <f t="shared" si="4"/>
        <v>0</v>
      </c>
      <c r="F16" s="162">
        <f t="shared" si="4"/>
        <v>0</v>
      </c>
      <c r="G16" s="162">
        <f t="shared" si="4"/>
        <v>0</v>
      </c>
      <c r="H16" s="162">
        <f t="shared" si="4"/>
        <v>0</v>
      </c>
      <c r="I16" s="162">
        <f t="shared" si="4"/>
        <v>0</v>
      </c>
      <c r="J16" s="162">
        <f t="shared" si="4"/>
        <v>0</v>
      </c>
      <c r="K16" s="162">
        <f t="shared" si="4"/>
        <v>0</v>
      </c>
      <c r="L16" s="162">
        <f t="shared" si="4"/>
        <v>0</v>
      </c>
      <c r="M16" s="162">
        <f t="shared" si="4"/>
        <v>0</v>
      </c>
      <c r="N16" s="162">
        <f t="shared" si="4"/>
        <v>507.0316634920635</v>
      </c>
      <c r="O16" s="162">
        <f t="shared" si="4"/>
        <v>507.0316634920635</v>
      </c>
      <c r="P16" s="162">
        <f t="shared" si="4"/>
        <v>0</v>
      </c>
      <c r="Q16" s="162">
        <f t="shared" si="4"/>
        <v>1014.063326984127</v>
      </c>
    </row>
    <row r="17" ht="12.75">
      <c r="D17" s="194">
        <f>D16-Q16</f>
        <v>0</v>
      </c>
    </row>
    <row r="18" spans="2:4" ht="12.75">
      <c r="B18" s="144" t="s">
        <v>57</v>
      </c>
      <c r="C18" s="194" t="s">
        <v>40</v>
      </c>
      <c r="D18" s="201" t="s">
        <v>96</v>
      </c>
    </row>
    <row r="19" spans="1:12" ht="12.75">
      <c r="A19" s="71" t="str">
        <f>A5</f>
        <v>Здания и сооружения</v>
      </c>
      <c r="B19" s="194">
        <f>Q5</f>
        <v>632.6347555555556</v>
      </c>
      <c r="C19" s="194">
        <f>B19/Исх!$C$18</f>
        <v>632.6347555555556</v>
      </c>
      <c r="D19" s="163">
        <f>B19/Исх!$C$5</f>
        <v>4.1747047350901125</v>
      </c>
      <c r="L19" s="168"/>
    </row>
    <row r="20" spans="1:12" ht="12.75">
      <c r="A20" s="71" t="str">
        <f>A8</f>
        <v>Оборудование</v>
      </c>
      <c r="B20" s="194">
        <f>Q8</f>
        <v>0</v>
      </c>
      <c r="C20" s="194">
        <f>B20/Исх!$C$18</f>
        <v>0</v>
      </c>
      <c r="D20" s="163">
        <f>B20/Исх!$C$5</f>
        <v>0</v>
      </c>
      <c r="L20" s="168"/>
    </row>
    <row r="21" spans="1:12" ht="12.75">
      <c r="A21" s="71" t="str">
        <f>A12</f>
        <v>Прочие ОС</v>
      </c>
      <c r="B21" s="194">
        <f>Q12</f>
        <v>381.42857142857144</v>
      </c>
      <c r="C21" s="194">
        <f>B21/Исх!$C$18</f>
        <v>381.42857142857144</v>
      </c>
      <c r="D21" s="163">
        <f>B21/Исх!$C$5</f>
        <v>2.517015780840514</v>
      </c>
      <c r="L21" s="168"/>
    </row>
    <row r="22" spans="1:4" ht="12.75">
      <c r="A22" s="61" t="s">
        <v>86</v>
      </c>
      <c r="B22" s="202">
        <f>SUM(B19:B21)</f>
        <v>1014.063326984127</v>
      </c>
      <c r="C22" s="202">
        <f>SUM(C19:C21)</f>
        <v>1014.063326984127</v>
      </c>
      <c r="D22" s="271">
        <f>SUM(D19:D21)</f>
        <v>6.691720515930626</v>
      </c>
    </row>
  </sheetData>
  <sheetProtection/>
  <mergeCells count="5">
    <mergeCell ref="E3:P3"/>
    <mergeCell ref="A3:A4"/>
    <mergeCell ref="B3:B4"/>
    <mergeCell ref="C3:C4"/>
    <mergeCell ref="D3:D4"/>
  </mergeCells>
  <printOptions/>
  <pageMargins left="0.48" right="0.2362204724409449" top="0.69" bottom="0.2755905511811024" header="0.52" footer="0.1968503937007874"/>
  <pageSetup horizontalDpi="600" verticalDpi="600" orientation="landscape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I13"/>
  <sheetViews>
    <sheetView showGridLines="0" zoomScalePageLayoutView="0" workbookViewId="0" topLeftCell="A1">
      <pane ySplit="3" topLeftCell="A4" activePane="bottomLeft" state="frozen"/>
      <selection pane="topLeft" activeCell="A34" sqref="A34"/>
      <selection pane="bottomLeft" activeCell="A7" sqref="A7"/>
    </sheetView>
  </sheetViews>
  <sheetFormatPr defaultColWidth="9.00390625" defaultRowHeight="12.75"/>
  <cols>
    <col min="1" max="1" width="38.625" style="71" customWidth="1"/>
    <col min="2" max="2" width="9.875" style="71" hidden="1" customWidth="1"/>
    <col min="3" max="4" width="0" style="71" hidden="1" customWidth="1"/>
    <col min="5" max="16384" width="9.125" style="71" customWidth="1"/>
  </cols>
  <sheetData>
    <row r="1" spans="1:6" ht="12.75">
      <c r="A1" s="61" t="s">
        <v>72</v>
      </c>
      <c r="B1" s="61"/>
      <c r="C1" s="61"/>
      <c r="D1" s="61"/>
      <c r="E1" s="61"/>
      <c r="F1" s="61"/>
    </row>
    <row r="2" spans="1:9" ht="12.75">
      <c r="A2" s="203"/>
      <c r="B2" s="203"/>
      <c r="C2" s="203"/>
      <c r="D2" s="203"/>
      <c r="E2" s="203"/>
      <c r="F2" s="203"/>
      <c r="I2" s="144" t="str">
        <f>Исх!$C$9</f>
        <v>тыс.тг.</v>
      </c>
    </row>
    <row r="3" spans="1:9" ht="12.75">
      <c r="A3" s="213" t="s">
        <v>8</v>
      </c>
      <c r="B3" s="220">
        <v>2013</v>
      </c>
      <c r="C3" s="220">
        <f aca="true" t="shared" si="0" ref="C3:I3">B3+1</f>
        <v>2014</v>
      </c>
      <c r="D3" s="220">
        <f t="shared" si="0"/>
        <v>2015</v>
      </c>
      <c r="E3" s="220">
        <f t="shared" si="0"/>
        <v>2016</v>
      </c>
      <c r="F3" s="220">
        <f t="shared" si="0"/>
        <v>2017</v>
      </c>
      <c r="G3" s="220">
        <f t="shared" si="0"/>
        <v>2018</v>
      </c>
      <c r="H3" s="220">
        <f t="shared" si="0"/>
        <v>2019</v>
      </c>
      <c r="I3" s="220">
        <f t="shared" si="0"/>
        <v>2020</v>
      </c>
    </row>
    <row r="4" spans="1:9" ht="12.75">
      <c r="A4" s="204" t="s">
        <v>357</v>
      </c>
      <c r="B4" s="205">
        <f>'2-ф2'!P5</f>
        <v>0</v>
      </c>
      <c r="C4" s="205">
        <f>'2-ф2'!AC5</f>
        <v>0</v>
      </c>
      <c r="D4" s="205">
        <f>'2-ф2'!AD5</f>
        <v>0</v>
      </c>
      <c r="E4" s="205">
        <f>'2-ф2'!AE5</f>
        <v>2394.8571428571427</v>
      </c>
      <c r="F4" s="205">
        <f>'2-ф2'!AF5</f>
        <v>2394.8571428571427</v>
      </c>
      <c r="G4" s="205">
        <f>'2-ф2'!AG5</f>
        <v>2394.8571428571427</v>
      </c>
      <c r="H4" s="205">
        <f>'2-ф2'!AH5</f>
        <v>2394.8571428571427</v>
      </c>
      <c r="I4" s="205">
        <f>'2-ф2'!AI5</f>
        <v>2394.8571428571427</v>
      </c>
    </row>
    <row r="5" spans="1:9" ht="12.75">
      <c r="A5" s="204" t="s">
        <v>87</v>
      </c>
      <c r="B5" s="206">
        <f aca="true" t="shared" si="1" ref="B5:H5">B4-B6</f>
        <v>-8.873054111111113</v>
      </c>
      <c r="C5" s="206">
        <f t="shared" si="1"/>
        <v>-1136.3742782843829</v>
      </c>
      <c r="D5" s="206">
        <f t="shared" si="1"/>
        <v>-1140.342505261852</v>
      </c>
      <c r="E5" s="206">
        <f t="shared" si="1"/>
        <v>1050.382264597132</v>
      </c>
      <c r="F5" s="206">
        <f t="shared" si="1"/>
        <v>1062.0861207921057</v>
      </c>
      <c r="G5" s="206">
        <f t="shared" si="1"/>
        <v>1081.0226971075688</v>
      </c>
      <c r="H5" s="206">
        <f t="shared" si="1"/>
        <v>1099.9592734230316</v>
      </c>
      <c r="I5" s="206">
        <f>I4-I6</f>
        <v>1118.7643457363038</v>
      </c>
    </row>
    <row r="6" spans="1:9" ht="12.75">
      <c r="A6" s="204" t="s">
        <v>358</v>
      </c>
      <c r="B6" s="207">
        <f aca="true" t="shared" si="2" ref="B6:H6">SUM(B7:B8)</f>
        <v>8.873054111111113</v>
      </c>
      <c r="C6" s="207">
        <f t="shared" si="2"/>
        <v>1136.3742782843829</v>
      </c>
      <c r="D6" s="207">
        <f t="shared" si="2"/>
        <v>1140.342505261852</v>
      </c>
      <c r="E6" s="207">
        <f t="shared" si="2"/>
        <v>1344.4748782600107</v>
      </c>
      <c r="F6" s="207">
        <f t="shared" si="2"/>
        <v>1332.771022065037</v>
      </c>
      <c r="G6" s="207">
        <f t="shared" si="2"/>
        <v>1313.834445749574</v>
      </c>
      <c r="H6" s="207">
        <f t="shared" si="2"/>
        <v>1294.897869434111</v>
      </c>
      <c r="I6" s="207">
        <f>SUM(I7:I8)</f>
        <v>1276.092797120839</v>
      </c>
    </row>
    <row r="7" spans="1:9" ht="12.75">
      <c r="A7" s="204" t="s">
        <v>88</v>
      </c>
      <c r="B7" s="205">
        <f>'2-ф2'!P13+'2-ф2'!P12+'2-ф2'!P11</f>
        <v>8.873054111111113</v>
      </c>
      <c r="C7" s="205">
        <f>'2-ф2'!AC13+'2-ф2'!AC12+'2-ф2'!AC11</f>
        <v>1136.3742782843829</v>
      </c>
      <c r="D7" s="205">
        <f>'2-ф2'!AD13+'2-ф2'!AD12+'2-ф2'!AD11</f>
        <v>1140.342505261852</v>
      </c>
      <c r="E7" s="205">
        <f>'2-ф2'!AE13+'2-ф2'!AE12+'2-ф2'!AE11</f>
        <v>1219.5213104660106</v>
      </c>
      <c r="F7" s="205">
        <f>'2-ф2'!AF13+'2-ф2'!AF12+'2-ф2'!AF11</f>
        <v>1207.817454271037</v>
      </c>
      <c r="G7" s="205">
        <f>'2-ф2'!AG13+'2-ф2'!AG12+'2-ф2'!AG11</f>
        <v>1188.8808779555739</v>
      </c>
      <c r="H7" s="205">
        <f>'2-ф2'!AH13+'2-ф2'!AH12+'2-ф2'!AH11</f>
        <v>1169.944301640111</v>
      </c>
      <c r="I7" s="205">
        <f>'2-ф2'!AI13+'2-ф2'!AI12+'2-ф2'!AI11</f>
        <v>1151.1392293268389</v>
      </c>
    </row>
    <row r="8" spans="1:9" ht="12.75">
      <c r="A8" s="204" t="s">
        <v>89</v>
      </c>
      <c r="B8" s="205">
        <f>'2-ф2'!P8</f>
        <v>0</v>
      </c>
      <c r="C8" s="205">
        <f>'2-ф2'!AC8</f>
        <v>0</v>
      </c>
      <c r="D8" s="205">
        <f>'2-ф2'!AD8</f>
        <v>0</v>
      </c>
      <c r="E8" s="205">
        <f>'2-ф2'!AE8</f>
        <v>124.95356779400001</v>
      </c>
      <c r="F8" s="205">
        <f>'2-ф2'!AF8</f>
        <v>124.95356779400001</v>
      </c>
      <c r="G8" s="205">
        <f>'2-ф2'!AG8</f>
        <v>124.95356779400001</v>
      </c>
      <c r="H8" s="205">
        <f>'2-ф2'!AH8</f>
        <v>124.95356779400001</v>
      </c>
      <c r="I8" s="205">
        <f>'2-ф2'!AI8</f>
        <v>124.95356779400001</v>
      </c>
    </row>
    <row r="9" spans="1:9" ht="12.75">
      <c r="A9" s="204" t="s">
        <v>90</v>
      </c>
      <c r="B9" s="207">
        <f aca="true" t="shared" si="3" ref="B9:H9">B4-B8</f>
        <v>0</v>
      </c>
      <c r="C9" s="207">
        <f t="shared" si="3"/>
        <v>0</v>
      </c>
      <c r="D9" s="207">
        <f t="shared" si="3"/>
        <v>0</v>
      </c>
      <c r="E9" s="207">
        <f t="shared" si="3"/>
        <v>2269.903575063143</v>
      </c>
      <c r="F9" s="207">
        <f t="shared" si="3"/>
        <v>2269.903575063143</v>
      </c>
      <c r="G9" s="207">
        <f t="shared" si="3"/>
        <v>2269.903575063143</v>
      </c>
      <c r="H9" s="207">
        <f t="shared" si="3"/>
        <v>2269.903575063143</v>
      </c>
      <c r="I9" s="207">
        <f>I4-I8</f>
        <v>2269.903575063143</v>
      </c>
    </row>
    <row r="10" spans="1:9" ht="12.75">
      <c r="A10" s="204" t="s">
        <v>73</v>
      </c>
      <c r="B10" s="208" t="e">
        <f aca="true" t="shared" si="4" ref="B10:H10">B9/B4</f>
        <v>#DIV/0!</v>
      </c>
      <c r="C10" s="208" t="e">
        <f t="shared" si="4"/>
        <v>#DIV/0!</v>
      </c>
      <c r="D10" s="208" t="e">
        <f t="shared" si="4"/>
        <v>#DIV/0!</v>
      </c>
      <c r="E10" s="208">
        <f t="shared" si="4"/>
        <v>0.9478242081509187</v>
      </c>
      <c r="F10" s="208">
        <f t="shared" si="4"/>
        <v>0.9478242081509187</v>
      </c>
      <c r="G10" s="208">
        <f t="shared" si="4"/>
        <v>0.9478242081509187</v>
      </c>
      <c r="H10" s="208">
        <f t="shared" si="4"/>
        <v>0.9478242081509187</v>
      </c>
      <c r="I10" s="208">
        <f>I9/I4</f>
        <v>0.9478242081509187</v>
      </c>
    </row>
    <row r="11" spans="1:9" ht="12.75">
      <c r="A11" s="204" t="s">
        <v>91</v>
      </c>
      <c r="B11" s="207" t="e">
        <f aca="true" t="shared" si="5" ref="B11:H11">B7/B10</f>
        <v>#DIV/0!</v>
      </c>
      <c r="C11" s="207" t="e">
        <f t="shared" si="5"/>
        <v>#DIV/0!</v>
      </c>
      <c r="D11" s="207" t="e">
        <f t="shared" si="5"/>
        <v>#DIV/0!</v>
      </c>
      <c r="E11" s="207">
        <f t="shared" si="5"/>
        <v>1286.6534743242498</v>
      </c>
      <c r="F11" s="207">
        <f t="shared" si="5"/>
        <v>1274.3053446876304</v>
      </c>
      <c r="G11" s="207">
        <f t="shared" si="5"/>
        <v>1254.3263484216395</v>
      </c>
      <c r="H11" s="207">
        <f t="shared" si="5"/>
        <v>1234.3473521556487</v>
      </c>
      <c r="I11" s="207">
        <f>I7/I10</f>
        <v>1214.507098919283</v>
      </c>
    </row>
    <row r="12" spans="1:9" ht="25.5">
      <c r="A12" s="209" t="s">
        <v>74</v>
      </c>
      <c r="B12" s="210" t="e">
        <f aca="true" t="shared" si="6" ref="B12:H12">(B4-B11)/B4</f>
        <v>#DIV/0!</v>
      </c>
      <c r="C12" s="210" t="e">
        <f t="shared" si="6"/>
        <v>#DIV/0!</v>
      </c>
      <c r="D12" s="210" t="e">
        <f t="shared" si="6"/>
        <v>#DIV/0!</v>
      </c>
      <c r="E12" s="210">
        <f t="shared" si="6"/>
        <v>0.46274312095742365</v>
      </c>
      <c r="F12" s="210">
        <f t="shared" si="6"/>
        <v>0.467899223764411</v>
      </c>
      <c r="G12" s="210">
        <f t="shared" si="6"/>
        <v>0.4762416822386377</v>
      </c>
      <c r="H12" s="210">
        <f t="shared" si="6"/>
        <v>0.4845841407128644</v>
      </c>
      <c r="I12" s="210">
        <f>(I4-I11)/I4</f>
        <v>0.49286866544768665</v>
      </c>
    </row>
    <row r="13" spans="1:9" ht="12.75">
      <c r="A13" s="204" t="s">
        <v>101</v>
      </c>
      <c r="B13" s="211" t="e">
        <f aca="true" t="shared" si="7" ref="B13:H13">100%-B12</f>
        <v>#DIV/0!</v>
      </c>
      <c r="C13" s="211" t="e">
        <f t="shared" si="7"/>
        <v>#DIV/0!</v>
      </c>
      <c r="D13" s="211" t="e">
        <f t="shared" si="7"/>
        <v>#DIV/0!</v>
      </c>
      <c r="E13" s="211">
        <f t="shared" si="7"/>
        <v>0.5372568790425764</v>
      </c>
      <c r="F13" s="211">
        <f t="shared" si="7"/>
        <v>0.5321007762355889</v>
      </c>
      <c r="G13" s="211">
        <f t="shared" si="7"/>
        <v>0.5237583177613623</v>
      </c>
      <c r="H13" s="211">
        <f t="shared" si="7"/>
        <v>0.5154158592871356</v>
      </c>
      <c r="I13" s="211">
        <f>100%-I12</f>
        <v>0.5071313345523134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I69"/>
  <sheetViews>
    <sheetView showGridLines="0" tabSelected="1" zoomScalePageLayoutView="0" workbookViewId="0" topLeftCell="A1">
      <pane ySplit="4" topLeftCell="A5" activePane="bottomLeft" state="frozen"/>
      <selection pane="topLeft" activeCell="A34" sqref="A34"/>
      <selection pane="bottomLeft" activeCell="A22" sqref="A22"/>
    </sheetView>
  </sheetViews>
  <sheetFormatPr defaultColWidth="9.00390625" defaultRowHeight="12.75"/>
  <cols>
    <col min="1" max="1" width="48.75390625" style="234" customWidth="1"/>
    <col min="2" max="2" width="16.875" style="235" customWidth="1"/>
    <col min="3" max="3" width="14.00390625" style="236" customWidth="1"/>
    <col min="4" max="4" width="11.00390625" style="236" customWidth="1"/>
    <col min="5" max="5" width="9.125" style="236" customWidth="1"/>
    <col min="6" max="6" width="8.375" style="236" customWidth="1"/>
    <col min="7" max="16384" width="9.125" style="236" customWidth="1"/>
  </cols>
  <sheetData>
    <row r="1" ht="13.5" customHeight="1">
      <c r="A1" s="250" t="s">
        <v>211</v>
      </c>
    </row>
    <row r="2" ht="13.5" customHeight="1">
      <c r="A2" s="250" t="s">
        <v>354</v>
      </c>
    </row>
    <row r="3" ht="13.5" customHeight="1"/>
    <row r="4" spans="1:6" ht="13.5" customHeight="1">
      <c r="A4" s="237" t="s">
        <v>270</v>
      </c>
      <c r="B4" s="238" t="s">
        <v>202</v>
      </c>
      <c r="C4" s="238" t="s">
        <v>203</v>
      </c>
      <c r="D4" s="238" t="s">
        <v>342</v>
      </c>
      <c r="E4" s="238" t="s">
        <v>153</v>
      </c>
      <c r="F4" s="238" t="s">
        <v>167</v>
      </c>
    </row>
    <row r="5" spans="1:6" ht="13.5" customHeight="1">
      <c r="A5" s="239" t="s">
        <v>166</v>
      </c>
      <c r="B5" s="240">
        <f>'1-Ф3'!P22</f>
        <v>1014.063326984127</v>
      </c>
      <c r="C5" s="240"/>
      <c r="D5" s="240"/>
      <c r="E5" s="240">
        <f>'1-Ф3'!B21</f>
        <v>1014.063326984127</v>
      </c>
      <c r="F5" s="245">
        <f>E5/$E$7</f>
        <v>0.26348629361304376</v>
      </c>
    </row>
    <row r="6" spans="1:6" ht="13.5" customHeight="1">
      <c r="A6" s="239" t="s">
        <v>165</v>
      </c>
      <c r="B6" s="240">
        <f>B12-B5</f>
        <v>0</v>
      </c>
      <c r="C6" s="240">
        <f>C12-C5</f>
        <v>1385.726309386309</v>
      </c>
      <c r="D6" s="240">
        <f>D12-D5</f>
        <v>1448.8482304378522</v>
      </c>
      <c r="E6" s="240">
        <f>'1-Ф3'!B27-'1-Ф3'!B21</f>
        <v>2834.574539824161</v>
      </c>
      <c r="F6" s="245">
        <f>E6/$E$7</f>
        <v>0.7365137063869562</v>
      </c>
    </row>
    <row r="7" spans="1:6" ht="13.5" customHeight="1">
      <c r="A7" s="241" t="s">
        <v>86</v>
      </c>
      <c r="B7" s="242">
        <f>SUM(B5:B6)</f>
        <v>1014.063326984127</v>
      </c>
      <c r="C7" s="242">
        <f>SUM(C5:C6)</f>
        <v>1385.726309386309</v>
      </c>
      <c r="D7" s="242">
        <f>SUM(D5:D6)</f>
        <v>1448.8482304378522</v>
      </c>
      <c r="E7" s="242">
        <f>SUM(E5:E6)</f>
        <v>3848.637866808288</v>
      </c>
      <c r="F7" s="246">
        <f>SUM(F5:F6)</f>
        <v>1</v>
      </c>
    </row>
    <row r="8" spans="1:2" ht="13.5" customHeight="1">
      <c r="A8" s="243"/>
      <c r="B8" s="244"/>
    </row>
    <row r="9" spans="1:6" ht="13.5" customHeight="1">
      <c r="A9" s="237" t="s">
        <v>194</v>
      </c>
      <c r="B9" s="238" t="str">
        <f>B4</f>
        <v>2013 год</v>
      </c>
      <c r="C9" s="238" t="str">
        <f>C4</f>
        <v>2014 год</v>
      </c>
      <c r="D9" s="238" t="str">
        <f>D4</f>
        <v>2015 год</v>
      </c>
      <c r="E9" s="238" t="s">
        <v>153</v>
      </c>
      <c r="F9" s="238" t="s">
        <v>167</v>
      </c>
    </row>
    <row r="10" spans="1:6" ht="13.5" customHeight="1">
      <c r="A10" s="239" t="s">
        <v>196</v>
      </c>
      <c r="B10" s="240">
        <f>'1-Ф3'!P28</f>
        <v>0</v>
      </c>
      <c r="C10" s="240">
        <f>'1-Ф3'!AC28</f>
        <v>1385.726309386309</v>
      </c>
      <c r="D10" s="240">
        <f>'1-Ф3'!AD28</f>
        <v>1448.8482304378522</v>
      </c>
      <c r="E10" s="240">
        <f>'1-Ф3'!B28</f>
        <v>2834.574539824161</v>
      </c>
      <c r="F10" s="245">
        <f>E10/$E$12</f>
        <v>0.7365137063869562</v>
      </c>
    </row>
    <row r="11" spans="1:6" ht="12.75">
      <c r="A11" s="239" t="s">
        <v>102</v>
      </c>
      <c r="B11" s="240">
        <f>'1-Ф3'!P29</f>
        <v>1014.063326984127</v>
      </c>
      <c r="C11" s="240"/>
      <c r="D11" s="240"/>
      <c r="E11" s="240">
        <f>'1-Ф3'!B29</f>
        <v>1014.063326984127</v>
      </c>
      <c r="F11" s="245">
        <f>E11/$E$12</f>
        <v>0.26348629361304376</v>
      </c>
    </row>
    <row r="12" spans="1:6" ht="12.75">
      <c r="A12" s="241" t="s">
        <v>86</v>
      </c>
      <c r="B12" s="242">
        <f>SUM(B10:B11)</f>
        <v>1014.063326984127</v>
      </c>
      <c r="C12" s="242">
        <f>SUM(C10:C11)</f>
        <v>1385.726309386309</v>
      </c>
      <c r="D12" s="242">
        <f>SUM(D10:D11)</f>
        <v>1448.8482304378522</v>
      </c>
      <c r="E12" s="242">
        <f>SUM(E10:E11)</f>
        <v>3848.637866808288</v>
      </c>
      <c r="F12" s="246">
        <f>SUM(F10:F11)</f>
        <v>1</v>
      </c>
    </row>
    <row r="13" spans="1:2" ht="12.75">
      <c r="A13" s="247"/>
      <c r="B13" s="248"/>
    </row>
    <row r="14" spans="1:2" ht="12.75">
      <c r="A14" s="237" t="s">
        <v>147</v>
      </c>
      <c r="B14" s="238" t="s">
        <v>7</v>
      </c>
    </row>
    <row r="15" spans="1:2" ht="12.75">
      <c r="A15" s="239" t="s">
        <v>168</v>
      </c>
      <c r="B15" s="240" t="s">
        <v>169</v>
      </c>
    </row>
    <row r="16" spans="1:2" ht="12.75">
      <c r="A16" s="239" t="s">
        <v>170</v>
      </c>
      <c r="B16" s="245">
        <f>Исх!C60</f>
        <v>0.07</v>
      </c>
    </row>
    <row r="17" spans="1:2" ht="12.75">
      <c r="A17" s="239" t="s">
        <v>193</v>
      </c>
      <c r="B17" s="249">
        <f>Исх!C61</f>
        <v>7</v>
      </c>
    </row>
    <row r="18" spans="1:2" ht="12.75">
      <c r="A18" s="239" t="s">
        <v>171</v>
      </c>
      <c r="B18" s="240" t="s">
        <v>172</v>
      </c>
    </row>
    <row r="19" spans="1:2" ht="12.75">
      <c r="A19" s="239" t="s">
        <v>174</v>
      </c>
      <c r="B19" s="240">
        <f>Исх!C62</f>
        <v>36</v>
      </c>
    </row>
    <row r="20" spans="1:2" ht="12.75">
      <c r="A20" s="239" t="s">
        <v>175</v>
      </c>
      <c r="B20" s="240">
        <f>Исх!C63</f>
        <v>12</v>
      </c>
    </row>
    <row r="21" spans="1:2" ht="12.75">
      <c r="A21" s="239" t="s">
        <v>359</v>
      </c>
      <c r="B21" s="240" t="s">
        <v>173</v>
      </c>
    </row>
    <row r="23" spans="1:6" ht="12.75">
      <c r="A23" s="253" t="s">
        <v>197</v>
      </c>
      <c r="B23" s="238">
        <v>2016</v>
      </c>
      <c r="C23" s="238">
        <v>2017</v>
      </c>
      <c r="D23" s="238">
        <v>2018</v>
      </c>
      <c r="E23" s="238">
        <v>2019</v>
      </c>
      <c r="F23" s="238">
        <v>2020</v>
      </c>
    </row>
    <row r="24" spans="1:6" ht="12.75">
      <c r="A24" s="261" t="s">
        <v>212</v>
      </c>
      <c r="B24" s="240">
        <f>'2-ф2'!AE5</f>
        <v>2394.8571428571427</v>
      </c>
      <c r="C24" s="240">
        <f>'2-ф2'!AF5</f>
        <v>2394.8571428571427</v>
      </c>
      <c r="D24" s="240">
        <f>'2-ф2'!AG5</f>
        <v>2394.8571428571427</v>
      </c>
      <c r="E24" s="240">
        <f>'2-ф2'!AH5</f>
        <v>2394.8571428571427</v>
      </c>
      <c r="F24" s="240">
        <f>'2-ф2'!AI5</f>
        <v>2394.8571428571427</v>
      </c>
    </row>
    <row r="25" spans="1:6" ht="12.75">
      <c r="A25" s="261" t="s">
        <v>213</v>
      </c>
      <c r="B25" s="240">
        <f>'2-ф2'!AE10</f>
        <v>2269.903575063143</v>
      </c>
      <c r="C25" s="240">
        <f>'2-ф2'!AF10</f>
        <v>2269.903575063143</v>
      </c>
      <c r="D25" s="240">
        <f>'2-ф2'!AG10</f>
        <v>2269.903575063143</v>
      </c>
      <c r="E25" s="240">
        <f>'2-ф2'!AH10</f>
        <v>2269.903575063143</v>
      </c>
      <c r="F25" s="240">
        <f>'2-ф2'!AI10</f>
        <v>2269.903575063143</v>
      </c>
    </row>
    <row r="26" spans="1:6" ht="12.75">
      <c r="A26" s="261" t="s">
        <v>214</v>
      </c>
      <c r="B26" s="240">
        <f>'2-ф2'!AE16</f>
        <v>978.536550311418</v>
      </c>
      <c r="C26" s="240">
        <f>'2-ф2'!AF16</f>
        <v>990.2404065063917</v>
      </c>
      <c r="D26" s="240">
        <f>'2-ф2'!AG16</f>
        <v>1009.1769828218545</v>
      </c>
      <c r="E26" s="240">
        <f>'2-ф2'!AH16</f>
        <v>1028.1135591373177</v>
      </c>
      <c r="F26" s="240">
        <f>'2-ф2'!AI16</f>
        <v>1046.9186314505896</v>
      </c>
    </row>
    <row r="27" spans="1:6" ht="12.75">
      <c r="A27" s="261" t="s">
        <v>215</v>
      </c>
      <c r="B27" s="245">
        <f>B26/B24</f>
        <v>0.4085991321987548</v>
      </c>
      <c r="C27" s="245">
        <f>C26/C24</f>
        <v>0.41348621125893237</v>
      </c>
      <c r="D27" s="245">
        <f>D26/D24</f>
        <v>0.42139339535629816</v>
      </c>
      <c r="E27" s="245">
        <f>E26/E24</f>
        <v>0.42930057945366407</v>
      </c>
      <c r="F27" s="245">
        <f>F26/F24</f>
        <v>0.4371528525503536</v>
      </c>
    </row>
    <row r="28" spans="1:6" ht="12.75">
      <c r="A28" s="262" t="s">
        <v>216</v>
      </c>
      <c r="B28" s="240">
        <f>'1-Ф3'!AE34</f>
        <v>829.2076156703788</v>
      </c>
      <c r="C28" s="240">
        <f>'1-Ф3'!AF34</f>
        <v>615.4760395384127</v>
      </c>
      <c r="D28" s="240">
        <f>'1-Ф3'!AG34</f>
        <v>634.4126158538755</v>
      </c>
      <c r="E28" s="240">
        <f>'1-Ф3'!AH34</f>
        <v>653.3491921693384</v>
      </c>
      <c r="F28" s="240">
        <f>'1-Ф3'!AI34</f>
        <v>717.2413509479987</v>
      </c>
    </row>
    <row r="30" spans="1:3" ht="12.75">
      <c r="A30" s="253" t="s">
        <v>343</v>
      </c>
      <c r="B30" s="255" t="s">
        <v>344</v>
      </c>
      <c r="C30" s="272"/>
    </row>
    <row r="31" spans="1:3" ht="12.75">
      <c r="A31" s="239" t="s">
        <v>176</v>
      </c>
      <c r="B31" s="245">
        <f>'1-Ф3'!AR48</f>
        <v>0.10169448361116462</v>
      </c>
      <c r="C31" s="272"/>
    </row>
    <row r="32" spans="1:3" ht="12.75">
      <c r="A32" s="239" t="s">
        <v>177</v>
      </c>
      <c r="B32" s="240">
        <f>'1-Ф3'!AR46</f>
        <v>428.1149583669194</v>
      </c>
      <c r="C32" s="272"/>
    </row>
    <row r="33" spans="1:3" ht="12.75">
      <c r="A33" s="239" t="s">
        <v>271</v>
      </c>
      <c r="B33" s="249">
        <f>'1-Ф3'!AR47</f>
        <v>1.1281489142409886</v>
      </c>
      <c r="C33" s="272"/>
    </row>
    <row r="34" spans="1:3" ht="12.75">
      <c r="A34" s="239" t="s">
        <v>178</v>
      </c>
      <c r="B34" s="249">
        <f>'1-Ф3'!B49</f>
        <v>5.958553066260676</v>
      </c>
      <c r="C34" s="272"/>
    </row>
    <row r="35" spans="1:3" ht="12.75">
      <c r="A35" s="239" t="s">
        <v>179</v>
      </c>
      <c r="B35" s="249">
        <f>'1-Ф3'!B50</f>
        <v>7.171424344770563</v>
      </c>
      <c r="C35" s="272"/>
    </row>
    <row r="37" ht="12.75">
      <c r="A37" s="250" t="s">
        <v>272</v>
      </c>
    </row>
    <row r="38" spans="1:9" ht="12.75">
      <c r="A38" s="263" t="s">
        <v>26</v>
      </c>
      <c r="B38" s="264">
        <v>2013</v>
      </c>
      <c r="C38" s="264">
        <f>B38+1</f>
        <v>2014</v>
      </c>
      <c r="D38" s="264">
        <f aca="true" t="shared" si="0" ref="D38:I38">C38+1</f>
        <v>2015</v>
      </c>
      <c r="E38" s="264">
        <f t="shared" si="0"/>
        <v>2016</v>
      </c>
      <c r="F38" s="264">
        <f t="shared" si="0"/>
        <v>2017</v>
      </c>
      <c r="G38" s="264">
        <f t="shared" si="0"/>
        <v>2018</v>
      </c>
      <c r="H38" s="264">
        <f t="shared" si="0"/>
        <v>2019</v>
      </c>
      <c r="I38" s="264">
        <f t="shared" si="0"/>
        <v>2020</v>
      </c>
    </row>
    <row r="39" spans="1:9" ht="12.75">
      <c r="A39" s="267" t="s">
        <v>347</v>
      </c>
      <c r="B39" s="348">
        <f>Исх!D22</f>
        <v>0.6</v>
      </c>
      <c r="C39" s="348"/>
      <c r="D39" s="348"/>
      <c r="E39" s="348"/>
      <c r="F39" s="348"/>
      <c r="G39" s="348"/>
      <c r="H39" s="348"/>
      <c r="I39" s="349"/>
    </row>
    <row r="40" spans="1:9" ht="12.75">
      <c r="A40" s="267" t="s">
        <v>348</v>
      </c>
      <c r="B40" s="350">
        <f>Исх!C25</f>
        <v>857.1428571428571</v>
      </c>
      <c r="C40" s="350"/>
      <c r="D40" s="350"/>
      <c r="E40" s="350"/>
      <c r="F40" s="350"/>
      <c r="G40" s="350"/>
      <c r="H40" s="350"/>
      <c r="I40" s="351"/>
    </row>
    <row r="41" spans="1:9" ht="12.75">
      <c r="A41" s="239" t="str">
        <f>Исх!A26</f>
        <v>в т.ч. столовый виноград</v>
      </c>
      <c r="B41" s="347">
        <f>Исх!C26</f>
        <v>599.9999999999999</v>
      </c>
      <c r="C41" s="347"/>
      <c r="D41" s="347"/>
      <c r="E41" s="347"/>
      <c r="F41" s="347"/>
      <c r="G41" s="347"/>
      <c r="H41" s="347"/>
      <c r="I41" s="347"/>
    </row>
    <row r="42" spans="1:9" ht="12.75">
      <c r="A42" s="239" t="str">
        <f>Исх!A27</f>
        <v>          винный виноград</v>
      </c>
      <c r="B42" s="347">
        <f>Исх!C27</f>
        <v>257.1428571428571</v>
      </c>
      <c r="C42" s="347"/>
      <c r="D42" s="347"/>
      <c r="E42" s="347"/>
      <c r="F42" s="347"/>
      <c r="G42" s="347"/>
      <c r="H42" s="347"/>
      <c r="I42" s="347"/>
    </row>
    <row r="43" spans="1:9" ht="12.75">
      <c r="A43" s="267" t="s">
        <v>346</v>
      </c>
      <c r="B43" s="268"/>
      <c r="C43" s="268"/>
      <c r="D43" s="269"/>
      <c r="E43" s="269"/>
      <c r="F43" s="269"/>
      <c r="G43" s="269"/>
      <c r="H43" s="269"/>
      <c r="I43" s="270"/>
    </row>
    <row r="44" spans="1:9" ht="12.75">
      <c r="A44" s="239" t="str">
        <f>Исх!A29</f>
        <v>Столовый виноград</v>
      </c>
      <c r="B44" s="347">
        <f>Исх!C29</f>
        <v>22</v>
      </c>
      <c r="C44" s="347"/>
      <c r="D44" s="347"/>
      <c r="E44" s="347"/>
      <c r="F44" s="347"/>
      <c r="G44" s="347"/>
      <c r="H44" s="347"/>
      <c r="I44" s="347"/>
    </row>
    <row r="45" spans="1:9" ht="12.75">
      <c r="A45" s="239" t="str">
        <f>Исх!A30</f>
        <v>Винный виноград</v>
      </c>
      <c r="B45" s="347">
        <f>Исх!C30</f>
        <v>22</v>
      </c>
      <c r="C45" s="347"/>
      <c r="D45" s="347"/>
      <c r="E45" s="347"/>
      <c r="F45" s="347"/>
      <c r="G45" s="347"/>
      <c r="H45" s="347"/>
      <c r="I45" s="347"/>
    </row>
    <row r="46" spans="1:9" ht="12.75">
      <c r="A46" s="267" t="s">
        <v>345</v>
      </c>
      <c r="B46" s="268"/>
      <c r="C46" s="268"/>
      <c r="D46" s="269"/>
      <c r="E46" s="269"/>
      <c r="F46" s="269"/>
      <c r="G46" s="269"/>
      <c r="H46" s="269"/>
      <c r="I46" s="270"/>
    </row>
    <row r="47" spans="1:9" ht="12.75">
      <c r="A47" s="265" t="str">
        <f>A44</f>
        <v>Столовый виноград</v>
      </c>
      <c r="B47" s="266">
        <f>Производство!P6</f>
        <v>0</v>
      </c>
      <c r="C47" s="266">
        <f>Производство!AC6</f>
        <v>0</v>
      </c>
      <c r="D47" s="266">
        <f>Производство!AD6</f>
        <v>0</v>
      </c>
      <c r="E47" s="266">
        <f>Производство!AE6</f>
        <v>13199.999999999998</v>
      </c>
      <c r="F47" s="266">
        <f>Производство!AF6</f>
        <v>13199.999999999998</v>
      </c>
      <c r="G47" s="266">
        <f>Производство!AG6</f>
        <v>13199.999999999998</v>
      </c>
      <c r="H47" s="266">
        <f>Производство!AH6</f>
        <v>13199.999999999998</v>
      </c>
      <c r="I47" s="266">
        <f>Производство!AI6</f>
        <v>13199.999999999998</v>
      </c>
    </row>
    <row r="48" spans="1:9" ht="12.75">
      <c r="A48" s="265" t="str">
        <f>A45</f>
        <v>Винный виноград</v>
      </c>
      <c r="B48" s="266">
        <f>Производство!P7</f>
        <v>0</v>
      </c>
      <c r="C48" s="266">
        <f>Производство!AC7</f>
        <v>0</v>
      </c>
      <c r="D48" s="266">
        <f>Производство!AD7</f>
        <v>0</v>
      </c>
      <c r="E48" s="266">
        <f>Производство!AE7</f>
        <v>5657.142857142857</v>
      </c>
      <c r="F48" s="266">
        <f>Производство!AF7</f>
        <v>5657.142857142857</v>
      </c>
      <c r="G48" s="266">
        <f>Производство!AG7</f>
        <v>5657.142857142857</v>
      </c>
      <c r="H48" s="266">
        <f>Производство!AH7</f>
        <v>5657.142857142857</v>
      </c>
      <c r="I48" s="266">
        <f>Производство!AI7</f>
        <v>5657.142857142857</v>
      </c>
    </row>
    <row r="50" ht="12.75">
      <c r="A50" s="250" t="s">
        <v>180</v>
      </c>
    </row>
    <row r="51" spans="1:5" ht="12.75">
      <c r="A51" s="294" t="s">
        <v>219</v>
      </c>
      <c r="B51" s="238" t="s">
        <v>202</v>
      </c>
      <c r="C51" s="238" t="s">
        <v>203</v>
      </c>
      <c r="D51" s="238" t="s">
        <v>342</v>
      </c>
      <c r="E51" s="238" t="s">
        <v>204</v>
      </c>
    </row>
    <row r="52" spans="1:5" ht="12.75">
      <c r="A52" s="251" t="s">
        <v>220</v>
      </c>
      <c r="B52" s="295"/>
      <c r="C52" s="245"/>
      <c r="D52" s="245"/>
      <c r="E52" s="245"/>
    </row>
    <row r="53" spans="1:5" ht="12.75">
      <c r="A53" s="239" t="s">
        <v>181</v>
      </c>
      <c r="B53" s="252"/>
      <c r="C53" s="245"/>
      <c r="D53" s="245"/>
      <c r="E53" s="245"/>
    </row>
    <row r="54" spans="1:5" ht="12.75">
      <c r="A54" s="239" t="s">
        <v>182</v>
      </c>
      <c r="B54" s="252"/>
      <c r="C54" s="245"/>
      <c r="D54" s="245"/>
      <c r="E54" s="245"/>
    </row>
    <row r="55" spans="1:5" ht="12.75">
      <c r="A55" s="239" t="s">
        <v>349</v>
      </c>
      <c r="B55" s="252"/>
      <c r="C55" s="245"/>
      <c r="D55" s="245"/>
      <c r="E55" s="245"/>
    </row>
    <row r="56" spans="1:5" ht="12.75">
      <c r="A56" s="239" t="s">
        <v>350</v>
      </c>
      <c r="B56" s="252"/>
      <c r="C56" s="245"/>
      <c r="D56" s="245"/>
      <c r="E56" s="245"/>
    </row>
    <row r="57" spans="1:5" ht="12.75">
      <c r="A57" s="239" t="s">
        <v>274</v>
      </c>
      <c r="B57" s="252"/>
      <c r="C57" s="245"/>
      <c r="D57" s="245"/>
      <c r="E57" s="245"/>
    </row>
    <row r="58" spans="1:5" ht="12.75">
      <c r="A58" s="239" t="s">
        <v>351</v>
      </c>
      <c r="B58" s="252"/>
      <c r="C58" s="245"/>
      <c r="D58" s="245"/>
      <c r="E58" s="245"/>
    </row>
    <row r="59" spans="1:5" ht="12.75">
      <c r="A59" s="239" t="s">
        <v>353</v>
      </c>
      <c r="B59" s="240"/>
      <c r="C59" s="252"/>
      <c r="D59" s="252"/>
      <c r="E59" s="245"/>
    </row>
    <row r="60" spans="1:5" ht="12.75">
      <c r="A60" s="239" t="s">
        <v>352</v>
      </c>
      <c r="B60" s="240"/>
      <c r="C60" s="240"/>
      <c r="D60" s="240"/>
      <c r="E60" s="252"/>
    </row>
    <row r="62" ht="12.75">
      <c r="A62" s="250" t="s">
        <v>273</v>
      </c>
    </row>
    <row r="64" spans="1:2" ht="12.75">
      <c r="A64" s="253" t="s">
        <v>186</v>
      </c>
      <c r="B64" s="254" t="s">
        <v>187</v>
      </c>
    </row>
    <row r="65" spans="1:2" ht="12.75" hidden="1">
      <c r="A65" s="239" t="s">
        <v>38</v>
      </c>
      <c r="B65" s="240">
        <f>'1-Ф3'!B17</f>
        <v>0</v>
      </c>
    </row>
    <row r="66" spans="1:2" ht="12.75">
      <c r="A66" s="239" t="s">
        <v>255</v>
      </c>
      <c r="B66" s="240">
        <f>'1-Ф3'!B16</f>
        <v>359.2285714285714</v>
      </c>
    </row>
    <row r="67" spans="1:2" ht="12.75">
      <c r="A67" s="239" t="s">
        <v>185</v>
      </c>
      <c r="B67" s="240">
        <f>(ФОТ!F19+ФОТ!G19+ФОТ!H19+ФОТ!I19)*8*7</f>
        <v>1016.456</v>
      </c>
    </row>
    <row r="68" spans="1:2" ht="12.75">
      <c r="A68" s="239" t="s">
        <v>207</v>
      </c>
      <c r="B68" s="240">
        <f>SUM(Пост!C18:I18)*8</f>
        <v>5.6</v>
      </c>
    </row>
    <row r="69" spans="1:2" ht="12.75">
      <c r="A69" s="241" t="s">
        <v>0</v>
      </c>
      <c r="B69" s="242">
        <f>SUM(B65:B68)</f>
        <v>1381.2845714285713</v>
      </c>
    </row>
  </sheetData>
  <sheetProtection/>
  <mergeCells count="6">
    <mergeCell ref="B44:I44"/>
    <mergeCell ref="B45:I45"/>
    <mergeCell ref="B39:I39"/>
    <mergeCell ref="B40:I40"/>
    <mergeCell ref="B41:I41"/>
    <mergeCell ref="B42:I42"/>
  </mergeCells>
  <printOptions/>
  <pageMargins left="0.4724409448818898" right="0.1968503937007874" top="0.5118110236220472" bottom="1.4566929133858268" header="0.3149606299212598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outlinePr summaryBelow="0"/>
  </sheetPr>
  <dimension ref="A1:FV32"/>
  <sheetViews>
    <sheetView showGridLines="0" showZeros="0" zoomScalePageLayoutView="0" workbookViewId="0" topLeftCell="A1">
      <pane xSplit="3" ySplit="4" topLeftCell="S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A9" sqref="A9"/>
    </sheetView>
  </sheetViews>
  <sheetFormatPr defaultColWidth="10.125" defaultRowHeight="12.75" outlineLevelCol="1"/>
  <cols>
    <col min="1" max="1" width="38.125" style="81" customWidth="1"/>
    <col min="2" max="2" width="11.375" style="81" customWidth="1"/>
    <col min="3" max="3" width="3.875" style="81" customWidth="1"/>
    <col min="4" max="4" width="7.125" style="81" hidden="1" customWidth="1" outlineLevel="1"/>
    <col min="5" max="5" width="8.25390625" style="81" hidden="1" customWidth="1" outlineLevel="1"/>
    <col min="6" max="11" width="7.00390625" style="81" hidden="1" customWidth="1" outlineLevel="1"/>
    <col min="12" max="12" width="8.75390625" style="81" hidden="1" customWidth="1" outlineLevel="1"/>
    <col min="13" max="13" width="7.875" style="81" hidden="1" customWidth="1" outlineLevel="1"/>
    <col min="14" max="15" width="8.625" style="81" hidden="1" customWidth="1" outlineLevel="1"/>
    <col min="16" max="16" width="9.125" style="81" customWidth="1" collapsed="1"/>
    <col min="17" max="28" width="8.375" style="81" hidden="1" customWidth="1" outlineLevel="1"/>
    <col min="29" max="29" width="9.125" style="81" customWidth="1" collapsed="1"/>
    <col min="30" max="30" width="9.125" style="81" customWidth="1"/>
    <col min="31" max="35" width="8.875" style="81" customWidth="1"/>
    <col min="36" max="16384" width="10.125" style="81" customWidth="1"/>
  </cols>
  <sheetData>
    <row r="1" spans="1:35" ht="21" customHeight="1">
      <c r="A1" s="61" t="s">
        <v>108</v>
      </c>
      <c r="B1" s="80"/>
      <c r="C1" s="80"/>
      <c r="AI1" s="293"/>
    </row>
    <row r="2" spans="1:3" ht="17.25" customHeight="1">
      <c r="A2" s="61"/>
      <c r="B2" s="12" t="str">
        <f>Исх!$C$9</f>
        <v>тыс.тг.</v>
      </c>
      <c r="C2" s="82"/>
    </row>
    <row r="3" spans="1:35" ht="12.75" customHeight="1">
      <c r="A3" s="314" t="s">
        <v>2</v>
      </c>
      <c r="B3" s="318" t="s">
        <v>86</v>
      </c>
      <c r="C3" s="86"/>
      <c r="D3" s="313">
        <v>2013</v>
      </c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>
        <v>2014</v>
      </c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87">
        <f>Q3+1</f>
        <v>2015</v>
      </c>
      <c r="AE3" s="87">
        <f>AD3+1</f>
        <v>2016</v>
      </c>
      <c r="AF3" s="87">
        <f>AE3+1</f>
        <v>2017</v>
      </c>
      <c r="AG3" s="87">
        <f>AF3+1</f>
        <v>2018</v>
      </c>
      <c r="AH3" s="87">
        <f>AG3+1</f>
        <v>2019</v>
      </c>
      <c r="AI3" s="87">
        <f>AH3+1</f>
        <v>2020</v>
      </c>
    </row>
    <row r="4" spans="1:35" ht="12.75">
      <c r="A4" s="315"/>
      <c r="B4" s="318"/>
      <c r="C4" s="88"/>
      <c r="D4" s="89">
        <v>1</v>
      </c>
      <c r="E4" s="89">
        <f aca="true" t="shared" si="0" ref="E4:O4">D4+1</f>
        <v>2</v>
      </c>
      <c r="F4" s="89">
        <f t="shared" si="0"/>
        <v>3</v>
      </c>
      <c r="G4" s="89">
        <f t="shared" si="0"/>
        <v>4</v>
      </c>
      <c r="H4" s="89">
        <f t="shared" si="0"/>
        <v>5</v>
      </c>
      <c r="I4" s="89">
        <f t="shared" si="0"/>
        <v>6</v>
      </c>
      <c r="J4" s="89">
        <f t="shared" si="0"/>
        <v>7</v>
      </c>
      <c r="K4" s="89">
        <f t="shared" si="0"/>
        <v>8</v>
      </c>
      <c r="L4" s="89">
        <f t="shared" si="0"/>
        <v>9</v>
      </c>
      <c r="M4" s="89">
        <f t="shared" si="0"/>
        <v>10</v>
      </c>
      <c r="N4" s="89">
        <f t="shared" si="0"/>
        <v>11</v>
      </c>
      <c r="O4" s="89">
        <f t="shared" si="0"/>
        <v>12</v>
      </c>
      <c r="P4" s="85" t="s">
        <v>0</v>
      </c>
      <c r="Q4" s="89">
        <v>1</v>
      </c>
      <c r="R4" s="89">
        <f aca="true" t="shared" si="1" ref="R4:AB4">Q4+1</f>
        <v>2</v>
      </c>
      <c r="S4" s="89">
        <f t="shared" si="1"/>
        <v>3</v>
      </c>
      <c r="T4" s="89">
        <f t="shared" si="1"/>
        <v>4</v>
      </c>
      <c r="U4" s="89">
        <f t="shared" si="1"/>
        <v>5</v>
      </c>
      <c r="V4" s="89">
        <f t="shared" si="1"/>
        <v>6</v>
      </c>
      <c r="W4" s="89">
        <f t="shared" si="1"/>
        <v>7</v>
      </c>
      <c r="X4" s="89">
        <f t="shared" si="1"/>
        <v>8</v>
      </c>
      <c r="Y4" s="89">
        <f t="shared" si="1"/>
        <v>9</v>
      </c>
      <c r="Z4" s="89">
        <f t="shared" si="1"/>
        <v>10</v>
      </c>
      <c r="AA4" s="89">
        <f t="shared" si="1"/>
        <v>11</v>
      </c>
      <c r="AB4" s="89">
        <f t="shared" si="1"/>
        <v>12</v>
      </c>
      <c r="AC4" s="85" t="s">
        <v>0</v>
      </c>
      <c r="AD4" s="85" t="s">
        <v>109</v>
      </c>
      <c r="AE4" s="85" t="s">
        <v>109</v>
      </c>
      <c r="AF4" s="85" t="s">
        <v>109</v>
      </c>
      <c r="AG4" s="85" t="s">
        <v>109</v>
      </c>
      <c r="AH4" s="85" t="s">
        <v>109</v>
      </c>
      <c r="AI4" s="85" t="s">
        <v>109</v>
      </c>
    </row>
    <row r="5" spans="1:36" s="82" customFormat="1" ht="15" customHeight="1">
      <c r="A5" s="90" t="s">
        <v>355</v>
      </c>
      <c r="B5" s="91">
        <f>P5+AC5+AD5+AE5+AF5+AG5+AH5+AI5</f>
        <v>11974.285714285714</v>
      </c>
      <c r="C5" s="92"/>
      <c r="D5" s="92">
        <f aca="true" t="shared" si="2" ref="D5:AI5">SUM(D6:D7)</f>
        <v>0</v>
      </c>
      <c r="E5" s="92">
        <f t="shared" si="2"/>
        <v>0</v>
      </c>
      <c r="F5" s="92">
        <f t="shared" si="2"/>
        <v>0</v>
      </c>
      <c r="G5" s="92">
        <f t="shared" si="2"/>
        <v>0</v>
      </c>
      <c r="H5" s="92">
        <f t="shared" si="2"/>
        <v>0</v>
      </c>
      <c r="I5" s="92">
        <f t="shared" si="2"/>
        <v>0</v>
      </c>
      <c r="J5" s="92">
        <f t="shared" si="2"/>
        <v>0</v>
      </c>
      <c r="K5" s="92">
        <f t="shared" si="2"/>
        <v>0</v>
      </c>
      <c r="L5" s="92">
        <f t="shared" si="2"/>
        <v>0</v>
      </c>
      <c r="M5" s="92">
        <f t="shared" si="2"/>
        <v>0</v>
      </c>
      <c r="N5" s="92">
        <f t="shared" si="2"/>
        <v>0</v>
      </c>
      <c r="O5" s="92">
        <f t="shared" si="2"/>
        <v>0</v>
      </c>
      <c r="P5" s="92">
        <f t="shared" si="2"/>
        <v>0</v>
      </c>
      <c r="Q5" s="92">
        <f t="shared" si="2"/>
        <v>0</v>
      </c>
      <c r="R5" s="92">
        <f t="shared" si="2"/>
        <v>0</v>
      </c>
      <c r="S5" s="92">
        <f t="shared" si="2"/>
        <v>0</v>
      </c>
      <c r="T5" s="92">
        <f t="shared" si="2"/>
        <v>0</v>
      </c>
      <c r="U5" s="92">
        <f t="shared" si="2"/>
        <v>0</v>
      </c>
      <c r="V5" s="92">
        <f t="shared" si="2"/>
        <v>0</v>
      </c>
      <c r="W5" s="92">
        <f t="shared" si="2"/>
        <v>0</v>
      </c>
      <c r="X5" s="92">
        <f t="shared" si="2"/>
        <v>0</v>
      </c>
      <c r="Y5" s="92">
        <f t="shared" si="2"/>
        <v>0</v>
      </c>
      <c r="Z5" s="92">
        <f t="shared" si="2"/>
        <v>0</v>
      </c>
      <c r="AA5" s="92">
        <f t="shared" si="2"/>
        <v>0</v>
      </c>
      <c r="AB5" s="92">
        <f t="shared" si="2"/>
        <v>0</v>
      </c>
      <c r="AC5" s="92">
        <f t="shared" si="2"/>
        <v>0</v>
      </c>
      <c r="AD5" s="92">
        <f t="shared" si="2"/>
        <v>0</v>
      </c>
      <c r="AE5" s="92">
        <f t="shared" si="2"/>
        <v>2394.8571428571427</v>
      </c>
      <c r="AF5" s="92">
        <f t="shared" si="2"/>
        <v>2394.8571428571427</v>
      </c>
      <c r="AG5" s="92">
        <f t="shared" si="2"/>
        <v>2394.8571428571427</v>
      </c>
      <c r="AH5" s="92">
        <f t="shared" si="2"/>
        <v>2394.8571428571427</v>
      </c>
      <c r="AI5" s="92">
        <f t="shared" si="2"/>
        <v>2394.8571428571427</v>
      </c>
      <c r="AJ5" s="93"/>
    </row>
    <row r="6" spans="1:36" s="82" customFormat="1" ht="12.75">
      <c r="A6" s="94" t="str">
        <f>Производство!A6</f>
        <v>Столовый виноград</v>
      </c>
      <c r="B6" s="91">
        <f>P6+AC6+AD6+AE6+AF6+AG6+AH6</f>
        <v>6863.999999999999</v>
      </c>
      <c r="C6" s="92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2">
        <f>SUM(D6:O6)</f>
        <v>0</v>
      </c>
      <c r="Q6" s="95">
        <f>Производство!Q6*Исх!$C32/1000</f>
        <v>0</v>
      </c>
      <c r="R6" s="95">
        <f>Производство!R6*Исх!$C32/1000</f>
        <v>0</v>
      </c>
      <c r="S6" s="95">
        <f>Производство!S6*Исх!$C32/1000</f>
        <v>0</v>
      </c>
      <c r="T6" s="95">
        <f>Производство!T6*Исх!$C32/1000</f>
        <v>0</v>
      </c>
      <c r="U6" s="95">
        <f>Производство!U6*Исх!$C32/1000</f>
        <v>0</v>
      </c>
      <c r="V6" s="95">
        <f>Производство!V6*Исх!$C32/1000</f>
        <v>0</v>
      </c>
      <c r="W6" s="95">
        <f>Производство!W6*Исх!$C32/1000</f>
        <v>0</v>
      </c>
      <c r="X6" s="95">
        <f>Производство!X6*Исх!$C32/1000</f>
        <v>0</v>
      </c>
      <c r="Y6" s="95">
        <f>Производство!Y6*Исх!$C32/1000</f>
        <v>0</v>
      </c>
      <c r="Z6" s="95">
        <f>Производство!Z6*Исх!$C32/1000</f>
        <v>0</v>
      </c>
      <c r="AA6" s="95">
        <f>Производство!AA6*Исх!$C32/1000</f>
        <v>0</v>
      </c>
      <c r="AB6" s="95">
        <f>Производство!AB6*Исх!$C32/1000</f>
        <v>0</v>
      </c>
      <c r="AC6" s="92">
        <f>SUM(Q6:AB6)</f>
        <v>0</v>
      </c>
      <c r="AD6" s="95">
        <f>Производство!AD6*Исх!$C32/1000</f>
        <v>0</v>
      </c>
      <c r="AE6" s="95">
        <f>Производство!AE6*Исх!$C32/1000</f>
        <v>1715.9999999999998</v>
      </c>
      <c r="AF6" s="95">
        <f>Производство!AF6*Исх!$C32/1000</f>
        <v>1715.9999999999998</v>
      </c>
      <c r="AG6" s="95">
        <f>Производство!AG6*Исх!$C32/1000</f>
        <v>1715.9999999999998</v>
      </c>
      <c r="AH6" s="95">
        <f>Производство!AH6*Исх!$C32/1000</f>
        <v>1715.9999999999998</v>
      </c>
      <c r="AI6" s="95">
        <f>Производство!AI6*Исх!$C32/1000</f>
        <v>1715.9999999999998</v>
      </c>
      <c r="AJ6" s="93"/>
    </row>
    <row r="7" spans="1:36" s="82" customFormat="1" ht="12.75">
      <c r="A7" s="94" t="str">
        <f>Производство!A7</f>
        <v>Винный виноград</v>
      </c>
      <c r="B7" s="91">
        <f>P7+AC7+AD7+AE7+AF7+AG7+AH7</f>
        <v>2715.4285714285716</v>
      </c>
      <c r="C7" s="92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2">
        <f>SUM(D7:O7)</f>
        <v>0</v>
      </c>
      <c r="Q7" s="95">
        <f>Производство!Q7*Исх!$C33/1000</f>
        <v>0</v>
      </c>
      <c r="R7" s="95">
        <f>Производство!R7*Исх!$C33/1000</f>
        <v>0</v>
      </c>
      <c r="S7" s="95">
        <f>Производство!S7*Исх!$C33/1000</f>
        <v>0</v>
      </c>
      <c r="T7" s="95">
        <f>Производство!T7*Исх!$C33/1000</f>
        <v>0</v>
      </c>
      <c r="U7" s="95">
        <f>Производство!U7*Исх!$C33/1000</f>
        <v>0</v>
      </c>
      <c r="V7" s="95">
        <f>Производство!V7*Исх!$C33/1000</f>
        <v>0</v>
      </c>
      <c r="W7" s="95">
        <f>Производство!W7*Исх!$C33/1000</f>
        <v>0</v>
      </c>
      <c r="X7" s="95">
        <f>Производство!X7*Исх!$C33/1000</f>
        <v>0</v>
      </c>
      <c r="Y7" s="95">
        <f>Производство!Y7*Исх!$C33/1000</f>
        <v>0</v>
      </c>
      <c r="Z7" s="95">
        <f>Производство!Z7*Исх!$C33/1000</f>
        <v>0</v>
      </c>
      <c r="AA7" s="95">
        <f>Производство!AA7*Исх!$C33/1000</f>
        <v>0</v>
      </c>
      <c r="AB7" s="95">
        <f>Производство!AB7*Исх!$C33/1000</f>
        <v>0</v>
      </c>
      <c r="AC7" s="92">
        <f>SUM(Q7:AB7)</f>
        <v>0</v>
      </c>
      <c r="AD7" s="95">
        <f>Производство!AD7*Исх!$C33/1000</f>
        <v>0</v>
      </c>
      <c r="AE7" s="95">
        <f>Производство!AE7*Исх!$C33/1000</f>
        <v>678.8571428571429</v>
      </c>
      <c r="AF7" s="95">
        <f>Производство!AF7*Исх!$C33/1000</f>
        <v>678.8571428571429</v>
      </c>
      <c r="AG7" s="95">
        <f>Производство!AG7*Исх!$C33/1000</f>
        <v>678.8571428571429</v>
      </c>
      <c r="AH7" s="95">
        <f>Производство!AH7*Исх!$C33/1000</f>
        <v>678.8571428571429</v>
      </c>
      <c r="AI7" s="95">
        <f>Производство!AI7*Исх!$C33/1000</f>
        <v>678.8571428571429</v>
      </c>
      <c r="AJ7" s="93"/>
    </row>
    <row r="8" spans="1:35" ht="15" customHeight="1">
      <c r="A8" s="90" t="s">
        <v>356</v>
      </c>
      <c r="B8" s="91">
        <f aca="true" t="shared" si="3" ref="B8:B16">P8+AC8+AD8+AE8+AF8+AG8+AH8</f>
        <v>499.81427117600003</v>
      </c>
      <c r="C8" s="92"/>
      <c r="D8" s="92">
        <f aca="true" t="shared" si="4" ref="D8:AI8">SUM(D9:D9)</f>
        <v>0</v>
      </c>
      <c r="E8" s="92">
        <f t="shared" si="4"/>
        <v>0</v>
      </c>
      <c r="F8" s="92">
        <f t="shared" si="4"/>
        <v>0</v>
      </c>
      <c r="G8" s="92">
        <f t="shared" si="4"/>
        <v>0</v>
      </c>
      <c r="H8" s="92">
        <f t="shared" si="4"/>
        <v>0</v>
      </c>
      <c r="I8" s="92">
        <f t="shared" si="4"/>
        <v>0</v>
      </c>
      <c r="J8" s="92">
        <f t="shared" si="4"/>
        <v>0</v>
      </c>
      <c r="K8" s="92">
        <f t="shared" si="4"/>
        <v>0</v>
      </c>
      <c r="L8" s="92">
        <f t="shared" si="4"/>
        <v>0</v>
      </c>
      <c r="M8" s="92">
        <f t="shared" si="4"/>
        <v>0</v>
      </c>
      <c r="N8" s="92">
        <f t="shared" si="4"/>
        <v>0</v>
      </c>
      <c r="O8" s="92">
        <f t="shared" si="4"/>
        <v>0</v>
      </c>
      <c r="P8" s="92">
        <f t="shared" si="4"/>
        <v>0</v>
      </c>
      <c r="Q8" s="92">
        <f t="shared" si="4"/>
        <v>0</v>
      </c>
      <c r="R8" s="92">
        <f t="shared" si="4"/>
        <v>0</v>
      </c>
      <c r="S8" s="92">
        <f t="shared" si="4"/>
        <v>0</v>
      </c>
      <c r="T8" s="92">
        <f t="shared" si="4"/>
        <v>0</v>
      </c>
      <c r="U8" s="92">
        <f t="shared" si="4"/>
        <v>0</v>
      </c>
      <c r="V8" s="92">
        <f t="shared" si="4"/>
        <v>0</v>
      </c>
      <c r="W8" s="92">
        <f t="shared" si="4"/>
        <v>0</v>
      </c>
      <c r="X8" s="92">
        <f t="shared" si="4"/>
        <v>0</v>
      </c>
      <c r="Y8" s="92">
        <f t="shared" si="4"/>
        <v>0</v>
      </c>
      <c r="Z8" s="92">
        <f t="shared" si="4"/>
        <v>0</v>
      </c>
      <c r="AA8" s="92">
        <f t="shared" si="4"/>
        <v>0</v>
      </c>
      <c r="AB8" s="92">
        <f t="shared" si="4"/>
        <v>0</v>
      </c>
      <c r="AC8" s="92">
        <f t="shared" si="4"/>
        <v>0</v>
      </c>
      <c r="AD8" s="92">
        <f t="shared" si="4"/>
        <v>0</v>
      </c>
      <c r="AE8" s="92">
        <f t="shared" si="4"/>
        <v>124.95356779400001</v>
      </c>
      <c r="AF8" s="92">
        <f t="shared" si="4"/>
        <v>124.95356779400001</v>
      </c>
      <c r="AG8" s="92">
        <f t="shared" si="4"/>
        <v>124.95356779400001</v>
      </c>
      <c r="AH8" s="92">
        <f t="shared" si="4"/>
        <v>124.95356779400001</v>
      </c>
      <c r="AI8" s="92">
        <f t="shared" si="4"/>
        <v>124.95356779400001</v>
      </c>
    </row>
    <row r="9" spans="1:35" ht="12.75">
      <c r="A9" s="94" t="s">
        <v>254</v>
      </c>
      <c r="B9" s="91">
        <f t="shared" si="3"/>
        <v>499.81427117600003</v>
      </c>
      <c r="C9" s="92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2">
        <f>SUM(D9:O9)</f>
        <v>0</v>
      </c>
      <c r="Q9" s="95">
        <f>(Производство!Q6*'Расх перем'!$B$26+Производство!Q7*'Расх перем'!$C$26)/1000</f>
        <v>0</v>
      </c>
      <c r="R9" s="95">
        <f>(Производство!R6*'Расх перем'!$B$26+Производство!R7*'Расх перем'!$C$26)/1000</f>
        <v>0</v>
      </c>
      <c r="S9" s="95">
        <f>(Производство!S6*'Расх перем'!$B$26+Производство!S7*'Расх перем'!$C$26)/1000</f>
        <v>0</v>
      </c>
      <c r="T9" s="95">
        <f>(Производство!T6*'Расх перем'!$B$26+Производство!T7*'Расх перем'!$C$26)/1000</f>
        <v>0</v>
      </c>
      <c r="U9" s="95">
        <f>(Производство!U6*'Расх перем'!$B$26+Производство!U7*'Расх перем'!$C$26)/1000</f>
        <v>0</v>
      </c>
      <c r="V9" s="95">
        <f>(Производство!V6*'Расх перем'!$B$26+Производство!V7*'Расх перем'!$C$26)/1000</f>
        <v>0</v>
      </c>
      <c r="W9" s="95">
        <f>(Производство!W6*'Расх перем'!$B$26+Производство!W7*'Расх перем'!$C$26)/1000</f>
        <v>0</v>
      </c>
      <c r="X9" s="95">
        <f>(Производство!X6*'Расх перем'!$B$26+Производство!X7*'Расх перем'!$C$26)/1000</f>
        <v>0</v>
      </c>
      <c r="Y9" s="95">
        <f>(Производство!Y6*'Расх перем'!$B$26+Производство!Y7*'Расх перем'!$C$26)/1000</f>
        <v>0</v>
      </c>
      <c r="Z9" s="95">
        <f>(Производство!Z6*'Расх перем'!$B$26+Производство!Z7*'Расх перем'!$C$26)/1000</f>
        <v>0</v>
      </c>
      <c r="AA9" s="95">
        <f>(Производство!AA6*'Расх перем'!$B$26+Производство!AA7*'Расх перем'!$C$26)/1000</f>
        <v>0</v>
      </c>
      <c r="AB9" s="95">
        <f>(Производство!AB6*'Расх перем'!$B$26+Производство!AB7*'Расх перем'!$C$26)/1000</f>
        <v>0</v>
      </c>
      <c r="AC9" s="92">
        <f>SUM(Q9:AB9)</f>
        <v>0</v>
      </c>
      <c r="AD9" s="95">
        <f>(Производство!AD6*'Расх перем'!$B$26+Производство!AD7*'Расх перем'!$C$26)/1000</f>
        <v>0</v>
      </c>
      <c r="AE9" s="95">
        <f>(Производство!AE6*'Расх перем'!$B$26+Производство!AE7*'Расх перем'!$C$26)/1000</f>
        <v>124.95356779400001</v>
      </c>
      <c r="AF9" s="95">
        <f>(Производство!AF6*'Расх перем'!$B$26+Производство!AF7*'Расх перем'!$C$26)/1000</f>
        <v>124.95356779400001</v>
      </c>
      <c r="AG9" s="95">
        <f>(Производство!AG6*'Расх перем'!$B$26+Производство!AG7*'Расх перем'!$C$26)/1000</f>
        <v>124.95356779400001</v>
      </c>
      <c r="AH9" s="95">
        <f>(Производство!AH6*'Расх перем'!$B$26+Производство!AH7*'Расх перем'!$C$26)/1000</f>
        <v>124.95356779400001</v>
      </c>
      <c r="AI9" s="95">
        <f>(Производство!AI6*'Расх перем'!$B$26+Производство!AI7*'Расх перем'!$C$26)/1000</f>
        <v>124.95356779400001</v>
      </c>
    </row>
    <row r="10" spans="1:35" s="82" customFormat="1" ht="15" customHeight="1">
      <c r="A10" s="90" t="s">
        <v>15</v>
      </c>
      <c r="B10" s="91">
        <f t="shared" si="3"/>
        <v>9079.614300252571</v>
      </c>
      <c r="C10" s="96"/>
      <c r="D10" s="92">
        <f aca="true" t="shared" si="5" ref="D10:AI10">D5-D8</f>
        <v>0</v>
      </c>
      <c r="E10" s="92">
        <f t="shared" si="5"/>
        <v>0</v>
      </c>
      <c r="F10" s="92">
        <f t="shared" si="5"/>
        <v>0</v>
      </c>
      <c r="G10" s="92">
        <f t="shared" si="5"/>
        <v>0</v>
      </c>
      <c r="H10" s="92">
        <f t="shared" si="5"/>
        <v>0</v>
      </c>
      <c r="I10" s="92">
        <f t="shared" si="5"/>
        <v>0</v>
      </c>
      <c r="J10" s="92">
        <f t="shared" si="5"/>
        <v>0</v>
      </c>
      <c r="K10" s="92">
        <f t="shared" si="5"/>
        <v>0</v>
      </c>
      <c r="L10" s="92">
        <f t="shared" si="5"/>
        <v>0</v>
      </c>
      <c r="M10" s="92">
        <f t="shared" si="5"/>
        <v>0</v>
      </c>
      <c r="N10" s="92">
        <f t="shared" si="5"/>
        <v>0</v>
      </c>
      <c r="O10" s="92">
        <f t="shared" si="5"/>
        <v>0</v>
      </c>
      <c r="P10" s="92">
        <f t="shared" si="5"/>
        <v>0</v>
      </c>
      <c r="Q10" s="92">
        <f t="shared" si="5"/>
        <v>0</v>
      </c>
      <c r="R10" s="92">
        <f t="shared" si="5"/>
        <v>0</v>
      </c>
      <c r="S10" s="92">
        <f t="shared" si="5"/>
        <v>0</v>
      </c>
      <c r="T10" s="92">
        <f t="shared" si="5"/>
        <v>0</v>
      </c>
      <c r="U10" s="92">
        <f t="shared" si="5"/>
        <v>0</v>
      </c>
      <c r="V10" s="92">
        <f t="shared" si="5"/>
        <v>0</v>
      </c>
      <c r="W10" s="92">
        <f t="shared" si="5"/>
        <v>0</v>
      </c>
      <c r="X10" s="92">
        <f t="shared" si="5"/>
        <v>0</v>
      </c>
      <c r="Y10" s="92">
        <f t="shared" si="5"/>
        <v>0</v>
      </c>
      <c r="Z10" s="92">
        <f t="shared" si="5"/>
        <v>0</v>
      </c>
      <c r="AA10" s="92">
        <f t="shared" si="5"/>
        <v>0</v>
      </c>
      <c r="AB10" s="92">
        <f t="shared" si="5"/>
        <v>0</v>
      </c>
      <c r="AC10" s="92">
        <f t="shared" si="5"/>
        <v>0</v>
      </c>
      <c r="AD10" s="92">
        <f t="shared" si="5"/>
        <v>0</v>
      </c>
      <c r="AE10" s="92">
        <f t="shared" si="5"/>
        <v>2269.903575063143</v>
      </c>
      <c r="AF10" s="92">
        <f t="shared" si="5"/>
        <v>2269.903575063143</v>
      </c>
      <c r="AG10" s="92">
        <f t="shared" si="5"/>
        <v>2269.903575063143</v>
      </c>
      <c r="AH10" s="92">
        <f t="shared" si="5"/>
        <v>2269.903575063143</v>
      </c>
      <c r="AI10" s="92">
        <f t="shared" si="5"/>
        <v>2269.903575063143</v>
      </c>
    </row>
    <row r="11" spans="1:35" ht="15" customHeight="1">
      <c r="A11" s="97" t="s">
        <v>142</v>
      </c>
      <c r="B11" s="91">
        <f t="shared" si="3"/>
        <v>6387.577200000001</v>
      </c>
      <c r="C11" s="92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2">
        <f aca="true" t="shared" si="6" ref="P11:P16">SUM(D11:O11)</f>
        <v>0</v>
      </c>
      <c r="Q11" s="95"/>
      <c r="R11" s="95"/>
      <c r="S11" s="95">
        <f>Пост!$D$13+Пост!$D$15+Пост!$D$18</f>
        <v>133.07452500000002</v>
      </c>
      <c r="T11" s="95">
        <f>Пост!$D$13+Пост!$D$15+Пост!$D$18</f>
        <v>133.07452500000002</v>
      </c>
      <c r="U11" s="95">
        <f>Пост!$D$13+Пост!$D$15+Пост!$D$18</f>
        <v>133.07452500000002</v>
      </c>
      <c r="V11" s="95">
        <f>Пост!$D$13+Пост!$D$15+Пост!$D$18</f>
        <v>133.07452500000002</v>
      </c>
      <c r="W11" s="95">
        <f>Пост!$D$13+Пост!$D$15+Пост!$D$18</f>
        <v>133.07452500000002</v>
      </c>
      <c r="X11" s="95">
        <f>Пост!$D$13+Пост!$D$15+Пост!$D$18</f>
        <v>133.07452500000002</v>
      </c>
      <c r="Y11" s="95">
        <f>Пост!$D$13+Пост!$D$15+Пост!$D$18</f>
        <v>133.07452500000002</v>
      </c>
      <c r="Z11" s="95">
        <f>Пост!$D$13+Пост!$D$15+Пост!$D$18</f>
        <v>133.07452500000002</v>
      </c>
      <c r="AA11" s="95"/>
      <c r="AB11" s="95"/>
      <c r="AC11" s="92">
        <f aca="true" t="shared" si="7" ref="AC11:AC16">SUM(Q11:AB11)</f>
        <v>1064.5962000000002</v>
      </c>
      <c r="AD11" s="95">
        <f>(Пост!E13+Пост!E15+Пост!E18)*8</f>
        <v>1064.5962000000002</v>
      </c>
      <c r="AE11" s="95">
        <f>(Пост!F13+Пост!F15+Пост!F18)*8</f>
        <v>1064.5962000000002</v>
      </c>
      <c r="AF11" s="95">
        <f>(Пост!G13+Пост!G15+Пост!G18)*8</f>
        <v>1064.5962000000002</v>
      </c>
      <c r="AG11" s="95">
        <f>(Пост!H13+Пост!H15+Пост!H18)*8</f>
        <v>1064.5962000000002</v>
      </c>
      <c r="AH11" s="95">
        <f>(Пост!I13+Пост!I15+Пост!I18)*8</f>
        <v>1064.5962000000002</v>
      </c>
      <c r="AI11" s="95">
        <f>(Пост!J13+Пост!J15+Пост!J18)*8</f>
        <v>1064.5962000000002</v>
      </c>
    </row>
    <row r="12" spans="1:35" ht="15" customHeight="1">
      <c r="A12" s="97" t="s">
        <v>75</v>
      </c>
      <c r="B12" s="91">
        <f t="shared" si="3"/>
        <v>317.24123682539687</v>
      </c>
      <c r="C12" s="92"/>
      <c r="D12" s="95"/>
      <c r="E12" s="95"/>
      <c r="F12" s="95"/>
      <c r="G12" s="95"/>
      <c r="H12" s="95"/>
      <c r="I12" s="95"/>
      <c r="J12" s="95"/>
      <c r="K12" s="95">
        <f>Пост!$C$28/5</f>
        <v>0</v>
      </c>
      <c r="L12" s="95">
        <f>Пост!$C$28/5</f>
        <v>0</v>
      </c>
      <c r="M12" s="95">
        <f>Пост!$C$28/5</f>
        <v>0</v>
      </c>
      <c r="N12" s="95">
        <f>Пост!$C$28/5</f>
        <v>0</v>
      </c>
      <c r="O12" s="95">
        <f>Пост!$C$28/5</f>
        <v>0</v>
      </c>
      <c r="P12" s="92">
        <f t="shared" si="6"/>
        <v>0</v>
      </c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2">
        <f t="shared" si="7"/>
        <v>0</v>
      </c>
      <c r="AD12" s="95"/>
      <c r="AE12" s="95">
        <f>Пост!F28</f>
        <v>79.31030920634922</v>
      </c>
      <c r="AF12" s="95">
        <f>Пост!G28</f>
        <v>79.31030920634922</v>
      </c>
      <c r="AG12" s="95">
        <f>Пост!H28</f>
        <v>79.31030920634922</v>
      </c>
      <c r="AH12" s="95">
        <f>Пост!I28</f>
        <v>79.31030920634922</v>
      </c>
      <c r="AI12" s="95">
        <f>Пост!J28</f>
        <v>79.31030920634922</v>
      </c>
    </row>
    <row r="13" spans="1:35" ht="15" customHeight="1">
      <c r="A13" s="97" t="s">
        <v>25</v>
      </c>
      <c r="B13" s="91">
        <f t="shared" si="3"/>
        <v>366.9353451646806</v>
      </c>
      <c r="C13" s="92"/>
      <c r="D13" s="95">
        <f>кр!C9</f>
        <v>0</v>
      </c>
      <c r="E13" s="95">
        <f>кр!D9</f>
        <v>0</v>
      </c>
      <c r="F13" s="95">
        <f>кр!E9</f>
        <v>0</v>
      </c>
      <c r="G13" s="95">
        <f>кр!F9</f>
        <v>0</v>
      </c>
      <c r="H13" s="95">
        <f>кр!G9</f>
        <v>0</v>
      </c>
      <c r="I13" s="95">
        <f>кр!H9</f>
        <v>0</v>
      </c>
      <c r="J13" s="95">
        <f>кр!I9</f>
        <v>0</v>
      </c>
      <c r="K13" s="95">
        <f>кр!J9</f>
        <v>0</v>
      </c>
      <c r="L13" s="95">
        <f>кр!K9</f>
        <v>0</v>
      </c>
      <c r="M13" s="95">
        <f>кр!L9</f>
        <v>0</v>
      </c>
      <c r="N13" s="95">
        <f>кр!M9</f>
        <v>2.957684703703704</v>
      </c>
      <c r="O13" s="95">
        <f>кр!N9</f>
        <v>5.915369407407408</v>
      </c>
      <c r="P13" s="92">
        <f t="shared" si="6"/>
        <v>8.873054111111113</v>
      </c>
      <c r="Q13" s="95">
        <f>кр!P9</f>
        <v>5.915369407407408</v>
      </c>
      <c r="R13" s="95">
        <f>кр!Q9</f>
        <v>5.915369407407408</v>
      </c>
      <c r="S13" s="95">
        <f>кр!R9</f>
        <v>5.915369407407408</v>
      </c>
      <c r="T13" s="95">
        <f>кр!S9</f>
        <v>5.915369407407408</v>
      </c>
      <c r="U13" s="95">
        <f>кр!T9</f>
        <v>5.915369407407408</v>
      </c>
      <c r="V13" s="95">
        <f>кр!U9</f>
        <v>5.915369407407408</v>
      </c>
      <c r="W13" s="95">
        <f>кр!V9</f>
        <v>5.915369407407408</v>
      </c>
      <c r="X13" s="95">
        <f>кр!W9</f>
        <v>5.915369407407408</v>
      </c>
      <c r="Y13" s="95">
        <f>кр!X9</f>
        <v>5.915369407407408</v>
      </c>
      <c r="Z13" s="95">
        <f>кр!Y9</f>
        <v>5.915369407407408</v>
      </c>
      <c r="AA13" s="95">
        <f>кр!Z9</f>
        <v>6.312192105154323</v>
      </c>
      <c r="AB13" s="95">
        <f>кр!AA9</f>
        <v>6.312192105154323</v>
      </c>
      <c r="AC13" s="92">
        <f t="shared" si="7"/>
        <v>71.77807828438274</v>
      </c>
      <c r="AD13" s="95">
        <f>кр!AO9</f>
        <v>75.74630526185187</v>
      </c>
      <c r="AE13" s="95">
        <f>кр!BB9</f>
        <v>75.61480125966116</v>
      </c>
      <c r="AF13" s="95">
        <f>кр!BO9</f>
        <v>63.910945064687525</v>
      </c>
      <c r="AG13" s="95">
        <f>кр!CB9</f>
        <v>44.97436874922457</v>
      </c>
      <c r="AH13" s="95">
        <f>кр!CO9</f>
        <v>26.03779243376161</v>
      </c>
      <c r="AI13" s="95">
        <f>кр!DB9</f>
        <v>7.232720120489368</v>
      </c>
    </row>
    <row r="14" spans="1:35" ht="15" customHeight="1">
      <c r="A14" s="97" t="s">
        <v>209</v>
      </c>
      <c r="B14" s="91">
        <f t="shared" si="3"/>
        <v>2007.8605182624929</v>
      </c>
      <c r="C14" s="96"/>
      <c r="D14" s="95">
        <f>D10-D11-D13-D12</f>
        <v>0</v>
      </c>
      <c r="E14" s="95">
        <f aca="true" t="shared" si="8" ref="E14:O14">E10-E11-E13-E12</f>
        <v>0</v>
      </c>
      <c r="F14" s="95">
        <f t="shared" si="8"/>
        <v>0</v>
      </c>
      <c r="G14" s="95">
        <f t="shared" si="8"/>
        <v>0</v>
      </c>
      <c r="H14" s="95">
        <f t="shared" si="8"/>
        <v>0</v>
      </c>
      <c r="I14" s="95">
        <f t="shared" si="8"/>
        <v>0</v>
      </c>
      <c r="J14" s="95">
        <f t="shared" si="8"/>
        <v>0</v>
      </c>
      <c r="K14" s="95">
        <f t="shared" si="8"/>
        <v>0</v>
      </c>
      <c r="L14" s="95">
        <f t="shared" si="8"/>
        <v>0</v>
      </c>
      <c r="M14" s="95">
        <f t="shared" si="8"/>
        <v>0</v>
      </c>
      <c r="N14" s="95">
        <f t="shared" si="8"/>
        <v>-2.957684703703704</v>
      </c>
      <c r="O14" s="95">
        <f t="shared" si="8"/>
        <v>-5.915369407407408</v>
      </c>
      <c r="P14" s="92">
        <f t="shared" si="6"/>
        <v>-8.873054111111113</v>
      </c>
      <c r="Q14" s="95">
        <f aca="true" t="shared" si="9" ref="Q14:AB14">Q10-Q11-Q13-Q12</f>
        <v>-5.915369407407408</v>
      </c>
      <c r="R14" s="95">
        <f t="shared" si="9"/>
        <v>-5.915369407407408</v>
      </c>
      <c r="S14" s="95">
        <f t="shared" si="9"/>
        <v>-138.98989440740743</v>
      </c>
      <c r="T14" s="95">
        <f t="shared" si="9"/>
        <v>-138.98989440740743</v>
      </c>
      <c r="U14" s="95">
        <f t="shared" si="9"/>
        <v>-138.98989440740743</v>
      </c>
      <c r="V14" s="95">
        <f t="shared" si="9"/>
        <v>-138.98989440740743</v>
      </c>
      <c r="W14" s="95">
        <f t="shared" si="9"/>
        <v>-138.98989440740743</v>
      </c>
      <c r="X14" s="95">
        <f t="shared" si="9"/>
        <v>-138.98989440740743</v>
      </c>
      <c r="Y14" s="95">
        <f t="shared" si="9"/>
        <v>-138.98989440740743</v>
      </c>
      <c r="Z14" s="95">
        <f t="shared" si="9"/>
        <v>-138.98989440740743</v>
      </c>
      <c r="AA14" s="95">
        <f t="shared" si="9"/>
        <v>-6.312192105154323</v>
      </c>
      <c r="AB14" s="95">
        <f t="shared" si="9"/>
        <v>-6.312192105154323</v>
      </c>
      <c r="AC14" s="92">
        <f t="shared" si="7"/>
        <v>-1136.3742782843829</v>
      </c>
      <c r="AD14" s="95">
        <f aca="true" t="shared" si="10" ref="AD14:AI14">AD10-AD11-AD13-AD12</f>
        <v>-1140.342505261852</v>
      </c>
      <c r="AE14" s="95">
        <f t="shared" si="10"/>
        <v>1050.3822645971322</v>
      </c>
      <c r="AF14" s="95">
        <f t="shared" si="10"/>
        <v>1062.086120792106</v>
      </c>
      <c r="AG14" s="95">
        <f t="shared" si="10"/>
        <v>1081.0226971075688</v>
      </c>
      <c r="AH14" s="95">
        <f t="shared" si="10"/>
        <v>1099.9592734230318</v>
      </c>
      <c r="AI14" s="95">
        <f t="shared" si="10"/>
        <v>1118.764345736304</v>
      </c>
    </row>
    <row r="15" spans="1:35" ht="15" customHeight="1">
      <c r="A15" s="97" t="s">
        <v>255</v>
      </c>
      <c r="B15" s="91">
        <f t="shared" si="3"/>
        <v>287.3828571428571</v>
      </c>
      <c r="C15" s="92"/>
      <c r="D15" s="95">
        <f>IF(D14+C17&lt;0,0,IF(C17&lt;0,(C17+D14)*Исх!$C$19,D14*Исх!$C$19))</f>
        <v>0</v>
      </c>
      <c r="E15" s="95">
        <f>IF(E14+D17&lt;0,0,IF(D17&lt;0,(D17+E14)*Исх!$C$19,E14*Исх!$C$19))</f>
        <v>0</v>
      </c>
      <c r="F15" s="95">
        <f>F5*Исх!$C$19</f>
        <v>0</v>
      </c>
      <c r="G15" s="95">
        <f>G5*Исх!$C$19</f>
        <v>0</v>
      </c>
      <c r="H15" s="95">
        <f>H5*Исх!$C$19</f>
        <v>0</v>
      </c>
      <c r="I15" s="95">
        <f>I5*Исх!$C$19</f>
        <v>0</v>
      </c>
      <c r="J15" s="95">
        <f>J5*Исх!$C$19</f>
        <v>0</v>
      </c>
      <c r="K15" s="95">
        <f>K5*Исх!$C$19</f>
        <v>0</v>
      </c>
      <c r="L15" s="95">
        <f>L5*Исх!$C$19</f>
        <v>0</v>
      </c>
      <c r="M15" s="95">
        <f>M5*Исх!$C$19</f>
        <v>0</v>
      </c>
      <c r="N15" s="95">
        <f>N5*Исх!$C$19</f>
        <v>0</v>
      </c>
      <c r="O15" s="95">
        <f>O5*Исх!$C$19</f>
        <v>0</v>
      </c>
      <c r="P15" s="92">
        <f t="shared" si="6"/>
        <v>0</v>
      </c>
      <c r="Q15" s="95">
        <f>Q5*Исх!$C$19</f>
        <v>0</v>
      </c>
      <c r="R15" s="95">
        <f>R5*Исх!$C$19</f>
        <v>0</v>
      </c>
      <c r="S15" s="95">
        <f>S5*Исх!$C$19</f>
        <v>0</v>
      </c>
      <c r="T15" s="95">
        <f>T5*Исх!$C$19</f>
        <v>0</v>
      </c>
      <c r="U15" s="95">
        <f>U5*Исх!$C$19</f>
        <v>0</v>
      </c>
      <c r="V15" s="95">
        <f>V5*Исх!$C$19</f>
        <v>0</v>
      </c>
      <c r="W15" s="95">
        <f>W5*Исх!$C$19</f>
        <v>0</v>
      </c>
      <c r="X15" s="95">
        <f>X5*Исх!$C$19</f>
        <v>0</v>
      </c>
      <c r="Y15" s="95">
        <f>Y5*Исх!$C$19</f>
        <v>0</v>
      </c>
      <c r="Z15" s="95">
        <f>Z5*Исх!$C$19</f>
        <v>0</v>
      </c>
      <c r="AA15" s="95">
        <f>AA5*Исх!$C$19</f>
        <v>0</v>
      </c>
      <c r="AB15" s="95">
        <f>AB5*Исх!$C$19</f>
        <v>0</v>
      </c>
      <c r="AC15" s="92">
        <f t="shared" si="7"/>
        <v>0</v>
      </c>
      <c r="AD15" s="95">
        <f>AD5*Исх!$C$19</f>
        <v>0</v>
      </c>
      <c r="AE15" s="95">
        <f>AE5*Исх!$C$19</f>
        <v>71.84571428571428</v>
      </c>
      <c r="AF15" s="95">
        <f>AF5*Исх!$C$19</f>
        <v>71.84571428571428</v>
      </c>
      <c r="AG15" s="95">
        <f>AG5*Исх!$C$19</f>
        <v>71.84571428571428</v>
      </c>
      <c r="AH15" s="95">
        <f>AH5*Исх!$C$19</f>
        <v>71.84571428571428</v>
      </c>
      <c r="AI15" s="95">
        <f>AI5*Исх!$C$19</f>
        <v>71.84571428571428</v>
      </c>
    </row>
    <row r="16" spans="1:35" s="82" customFormat="1" ht="15" customHeight="1">
      <c r="A16" s="90" t="s">
        <v>217</v>
      </c>
      <c r="B16" s="91">
        <f t="shared" si="3"/>
        <v>1720.477661119636</v>
      </c>
      <c r="C16" s="96"/>
      <c r="D16" s="92">
        <f aca="true" t="shared" si="11" ref="D16:Q16">D14-D15</f>
        <v>0</v>
      </c>
      <c r="E16" s="92">
        <f>E14-E15</f>
        <v>0</v>
      </c>
      <c r="F16" s="92">
        <f t="shared" si="11"/>
        <v>0</v>
      </c>
      <c r="G16" s="92">
        <f t="shared" si="11"/>
        <v>0</v>
      </c>
      <c r="H16" s="92">
        <f t="shared" si="11"/>
        <v>0</v>
      </c>
      <c r="I16" s="92">
        <f t="shared" si="11"/>
        <v>0</v>
      </c>
      <c r="J16" s="92">
        <f t="shared" si="11"/>
        <v>0</v>
      </c>
      <c r="K16" s="92">
        <f t="shared" si="11"/>
        <v>0</v>
      </c>
      <c r="L16" s="92">
        <f t="shared" si="11"/>
        <v>0</v>
      </c>
      <c r="M16" s="92">
        <f t="shared" si="11"/>
        <v>0</v>
      </c>
      <c r="N16" s="92">
        <f t="shared" si="11"/>
        <v>-2.957684703703704</v>
      </c>
      <c r="O16" s="92">
        <f t="shared" si="11"/>
        <v>-5.915369407407408</v>
      </c>
      <c r="P16" s="92">
        <f t="shared" si="6"/>
        <v>-8.873054111111113</v>
      </c>
      <c r="Q16" s="92">
        <f t="shared" si="11"/>
        <v>-5.915369407407408</v>
      </c>
      <c r="R16" s="92">
        <f aca="true" t="shared" si="12" ref="R16:AF16">R14-R15</f>
        <v>-5.915369407407408</v>
      </c>
      <c r="S16" s="92">
        <f t="shared" si="12"/>
        <v>-138.98989440740743</v>
      </c>
      <c r="T16" s="92">
        <f t="shared" si="12"/>
        <v>-138.98989440740743</v>
      </c>
      <c r="U16" s="92">
        <f t="shared" si="12"/>
        <v>-138.98989440740743</v>
      </c>
      <c r="V16" s="92">
        <f t="shared" si="12"/>
        <v>-138.98989440740743</v>
      </c>
      <c r="W16" s="92">
        <f t="shared" si="12"/>
        <v>-138.98989440740743</v>
      </c>
      <c r="X16" s="92">
        <f t="shared" si="12"/>
        <v>-138.98989440740743</v>
      </c>
      <c r="Y16" s="92">
        <f t="shared" si="12"/>
        <v>-138.98989440740743</v>
      </c>
      <c r="Z16" s="92">
        <f t="shared" si="12"/>
        <v>-138.98989440740743</v>
      </c>
      <c r="AA16" s="92">
        <f t="shared" si="12"/>
        <v>-6.312192105154323</v>
      </c>
      <c r="AB16" s="92">
        <f t="shared" si="12"/>
        <v>-6.312192105154323</v>
      </c>
      <c r="AC16" s="92">
        <f t="shared" si="7"/>
        <v>-1136.3742782843829</v>
      </c>
      <c r="AD16" s="92">
        <f t="shared" si="12"/>
        <v>-1140.342505261852</v>
      </c>
      <c r="AE16" s="92">
        <f t="shared" si="12"/>
        <v>978.536550311418</v>
      </c>
      <c r="AF16" s="92">
        <f t="shared" si="12"/>
        <v>990.2404065063917</v>
      </c>
      <c r="AG16" s="92">
        <f>AG14-AG15</f>
        <v>1009.1769828218545</v>
      </c>
      <c r="AH16" s="92">
        <f>AH14-AH15</f>
        <v>1028.1135591373177</v>
      </c>
      <c r="AI16" s="92">
        <f>AI14-AI15</f>
        <v>1046.9186314505896</v>
      </c>
    </row>
    <row r="17" spans="1:35" ht="15" customHeight="1">
      <c r="A17" s="97" t="s">
        <v>218</v>
      </c>
      <c r="B17" s="98">
        <f>AH17</f>
        <v>1720.477661119636</v>
      </c>
      <c r="C17" s="99"/>
      <c r="D17" s="95">
        <f>C17+D16</f>
        <v>0</v>
      </c>
      <c r="E17" s="95">
        <f>D17+E16</f>
        <v>0</v>
      </c>
      <c r="F17" s="95">
        <f aca="true" t="shared" si="13" ref="F17:O17">E17+F16</f>
        <v>0</v>
      </c>
      <c r="G17" s="95">
        <f t="shared" si="13"/>
        <v>0</v>
      </c>
      <c r="H17" s="95">
        <f t="shared" si="13"/>
        <v>0</v>
      </c>
      <c r="I17" s="95">
        <f t="shared" si="13"/>
        <v>0</v>
      </c>
      <c r="J17" s="95">
        <f t="shared" si="13"/>
        <v>0</v>
      </c>
      <c r="K17" s="95">
        <f t="shared" si="13"/>
        <v>0</v>
      </c>
      <c r="L17" s="95">
        <f t="shared" si="13"/>
        <v>0</v>
      </c>
      <c r="M17" s="95">
        <f t="shared" si="13"/>
        <v>0</v>
      </c>
      <c r="N17" s="95">
        <f t="shared" si="13"/>
        <v>-2.957684703703704</v>
      </c>
      <c r="O17" s="95">
        <f t="shared" si="13"/>
        <v>-8.873054111111113</v>
      </c>
      <c r="P17" s="92">
        <f>O17</f>
        <v>-8.873054111111113</v>
      </c>
      <c r="Q17" s="95">
        <f>P17+Q16</f>
        <v>-14.78842351851852</v>
      </c>
      <c r="R17" s="95">
        <f aca="true" t="shared" si="14" ref="R17:AA17">Q17+R16</f>
        <v>-20.703792925925928</v>
      </c>
      <c r="S17" s="95">
        <f t="shared" si="14"/>
        <v>-159.69368733333337</v>
      </c>
      <c r="T17" s="95">
        <f t="shared" si="14"/>
        <v>-298.6835817407408</v>
      </c>
      <c r="U17" s="95">
        <f t="shared" si="14"/>
        <v>-437.6734761481482</v>
      </c>
      <c r="V17" s="95">
        <f t="shared" si="14"/>
        <v>-576.6633705555556</v>
      </c>
      <c r="W17" s="95">
        <f t="shared" si="14"/>
        <v>-715.653264962963</v>
      </c>
      <c r="X17" s="95">
        <f t="shared" si="14"/>
        <v>-854.6431593703704</v>
      </c>
      <c r="Y17" s="95">
        <f t="shared" si="14"/>
        <v>-993.6330537777778</v>
      </c>
      <c r="Z17" s="95">
        <f t="shared" si="14"/>
        <v>-1132.6229481851854</v>
      </c>
      <c r="AA17" s="95">
        <f t="shared" si="14"/>
        <v>-1138.9351402903396</v>
      </c>
      <c r="AB17" s="95">
        <f>AA17+AB16</f>
        <v>-1145.247332395494</v>
      </c>
      <c r="AC17" s="92">
        <f>AB17</f>
        <v>-1145.247332395494</v>
      </c>
      <c r="AD17" s="95">
        <f aca="true" t="shared" si="15" ref="AD17:AI17">AC17+AD16</f>
        <v>-2285.589837657346</v>
      </c>
      <c r="AE17" s="95">
        <f t="shared" si="15"/>
        <v>-1307.0532873459279</v>
      </c>
      <c r="AF17" s="95">
        <f t="shared" si="15"/>
        <v>-316.8128808395362</v>
      </c>
      <c r="AG17" s="95">
        <f t="shared" si="15"/>
        <v>692.3641019823183</v>
      </c>
      <c r="AH17" s="95">
        <f t="shared" si="15"/>
        <v>1720.477661119636</v>
      </c>
      <c r="AI17" s="95">
        <f t="shared" si="15"/>
        <v>2767.3962925702253</v>
      </c>
    </row>
    <row r="18" spans="1:178" ht="15" customHeight="1">
      <c r="A18" s="100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</row>
    <row r="19" spans="1:178" ht="15" customHeight="1">
      <c r="A19" s="83"/>
      <c r="B19" s="101"/>
      <c r="C19" s="101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00"/>
      <c r="FE19" s="100"/>
      <c r="FF19" s="100"/>
      <c r="FG19" s="100"/>
      <c r="FH19" s="100"/>
      <c r="FI19" s="100"/>
      <c r="FJ19" s="100"/>
      <c r="FK19" s="100"/>
      <c r="FL19" s="100"/>
      <c r="FM19" s="100"/>
      <c r="FN19" s="100"/>
      <c r="FO19" s="100"/>
      <c r="FP19" s="100"/>
      <c r="FQ19" s="100"/>
      <c r="FR19" s="100"/>
      <c r="FS19" s="100"/>
      <c r="FT19" s="100"/>
      <c r="FU19" s="100"/>
      <c r="FV19" s="100"/>
    </row>
    <row r="20" spans="1:178" ht="15" customHeight="1" hidden="1">
      <c r="A20" s="100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0"/>
      <c r="EZ20" s="100"/>
      <c r="FA20" s="100"/>
      <c r="FB20" s="100"/>
      <c r="FC20" s="100"/>
      <c r="FD20" s="100"/>
      <c r="FE20" s="100"/>
      <c r="FF20" s="100"/>
      <c r="FG20" s="100"/>
      <c r="FH20" s="100"/>
      <c r="FI20" s="100"/>
      <c r="FJ20" s="100"/>
      <c r="FK20" s="100"/>
      <c r="FL20" s="100"/>
      <c r="FM20" s="100"/>
      <c r="FN20" s="100"/>
      <c r="FO20" s="100"/>
      <c r="FP20" s="100"/>
      <c r="FQ20" s="100"/>
      <c r="FR20" s="100"/>
      <c r="FS20" s="100"/>
      <c r="FT20" s="100"/>
      <c r="FU20" s="100"/>
      <c r="FV20" s="100"/>
    </row>
    <row r="21" spans="1:35" ht="12.75" hidden="1">
      <c r="A21" s="102" t="s">
        <v>51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</row>
    <row r="22" spans="1:48" s="106" customFormat="1" ht="12.75" hidden="1">
      <c r="A22" s="316" t="s">
        <v>2</v>
      </c>
      <c r="B22" s="319" t="s">
        <v>0</v>
      </c>
      <c r="C22" s="103"/>
      <c r="D22" s="310">
        <f>D3</f>
        <v>2013</v>
      </c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312"/>
      <c r="Q22" s="310">
        <f>Q3</f>
        <v>2014</v>
      </c>
      <c r="R22" s="311"/>
      <c r="S22" s="311"/>
      <c r="T22" s="311"/>
      <c r="U22" s="311"/>
      <c r="V22" s="311"/>
      <c r="W22" s="311"/>
      <c r="X22" s="311"/>
      <c r="Y22" s="311"/>
      <c r="Z22" s="311"/>
      <c r="AA22" s="311"/>
      <c r="AB22" s="311"/>
      <c r="AC22" s="312"/>
      <c r="AD22" s="104">
        <f aca="true" t="shared" si="16" ref="AD22:AI22">AD3</f>
        <v>2015</v>
      </c>
      <c r="AE22" s="104">
        <f t="shared" si="16"/>
        <v>2016</v>
      </c>
      <c r="AF22" s="104">
        <f t="shared" si="16"/>
        <v>2017</v>
      </c>
      <c r="AG22" s="104">
        <f t="shared" si="16"/>
        <v>2018</v>
      </c>
      <c r="AH22" s="104">
        <f t="shared" si="16"/>
        <v>2019</v>
      </c>
      <c r="AI22" s="104">
        <f t="shared" si="16"/>
        <v>2020</v>
      </c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</row>
    <row r="23" spans="1:48" s="106" customFormat="1" ht="19.5" customHeight="1" hidden="1">
      <c r="A23" s="317"/>
      <c r="B23" s="320"/>
      <c r="C23" s="107"/>
      <c r="D23" s="108">
        <f>D4</f>
        <v>1</v>
      </c>
      <c r="E23" s="108">
        <f aca="true" t="shared" si="17" ref="E23:O23">E4</f>
        <v>2</v>
      </c>
      <c r="F23" s="108">
        <f t="shared" si="17"/>
        <v>3</v>
      </c>
      <c r="G23" s="108">
        <f t="shared" si="17"/>
        <v>4</v>
      </c>
      <c r="H23" s="108">
        <f t="shared" si="17"/>
        <v>5</v>
      </c>
      <c r="I23" s="108">
        <f t="shared" si="17"/>
        <v>6</v>
      </c>
      <c r="J23" s="108">
        <f t="shared" si="17"/>
        <v>7</v>
      </c>
      <c r="K23" s="108">
        <f t="shared" si="17"/>
        <v>8</v>
      </c>
      <c r="L23" s="108">
        <f t="shared" si="17"/>
        <v>9</v>
      </c>
      <c r="M23" s="108">
        <f t="shared" si="17"/>
        <v>10</v>
      </c>
      <c r="N23" s="108">
        <f t="shared" si="17"/>
        <v>11</v>
      </c>
      <c r="O23" s="108">
        <f t="shared" si="17"/>
        <v>12</v>
      </c>
      <c r="P23" s="109" t="s">
        <v>0</v>
      </c>
      <c r="Q23" s="108">
        <f>Q4</f>
        <v>1</v>
      </c>
      <c r="R23" s="108">
        <f aca="true" t="shared" si="18" ref="R23:AB23">R4</f>
        <v>2</v>
      </c>
      <c r="S23" s="108">
        <f t="shared" si="18"/>
        <v>3</v>
      </c>
      <c r="T23" s="108">
        <f t="shared" si="18"/>
        <v>4</v>
      </c>
      <c r="U23" s="108">
        <f t="shared" si="18"/>
        <v>5</v>
      </c>
      <c r="V23" s="108">
        <f t="shared" si="18"/>
        <v>6</v>
      </c>
      <c r="W23" s="108">
        <f t="shared" si="18"/>
        <v>7</v>
      </c>
      <c r="X23" s="108">
        <f t="shared" si="18"/>
        <v>8</v>
      </c>
      <c r="Y23" s="108">
        <f t="shared" si="18"/>
        <v>9</v>
      </c>
      <c r="Z23" s="108">
        <f t="shared" si="18"/>
        <v>10</v>
      </c>
      <c r="AA23" s="108">
        <f t="shared" si="18"/>
        <v>11</v>
      </c>
      <c r="AB23" s="108">
        <f t="shared" si="18"/>
        <v>12</v>
      </c>
      <c r="AC23" s="109" t="s">
        <v>0</v>
      </c>
      <c r="AD23" s="109"/>
      <c r="AE23" s="109"/>
      <c r="AF23" s="109"/>
      <c r="AG23" s="109"/>
      <c r="AH23" s="109"/>
      <c r="AI23" s="109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</row>
    <row r="24" spans="1:48" s="106" customFormat="1" ht="12.75" hidden="1">
      <c r="A24" s="110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</row>
    <row r="25" spans="1:48" s="106" customFormat="1" ht="12.75" hidden="1">
      <c r="A25" s="110" t="s">
        <v>160</v>
      </c>
      <c r="B25" s="98">
        <f>P25+AC25+AD25+AE25+AF25+AG25+AH25</f>
        <v>0</v>
      </c>
      <c r="C25" s="112"/>
      <c r="D25" s="112">
        <f aca="true" t="shared" si="19" ref="D25:O25">D5*ндс</f>
        <v>0</v>
      </c>
      <c r="E25" s="112">
        <f t="shared" si="19"/>
        <v>0</v>
      </c>
      <c r="F25" s="112">
        <f t="shared" si="19"/>
        <v>0</v>
      </c>
      <c r="G25" s="112">
        <f t="shared" si="19"/>
        <v>0</v>
      </c>
      <c r="H25" s="112">
        <f t="shared" si="19"/>
        <v>0</v>
      </c>
      <c r="I25" s="112">
        <f t="shared" si="19"/>
        <v>0</v>
      </c>
      <c r="J25" s="112">
        <f t="shared" si="19"/>
        <v>0</v>
      </c>
      <c r="K25" s="112">
        <f t="shared" si="19"/>
        <v>0</v>
      </c>
      <c r="L25" s="112">
        <f t="shared" si="19"/>
        <v>0</v>
      </c>
      <c r="M25" s="112">
        <f t="shared" si="19"/>
        <v>0</v>
      </c>
      <c r="N25" s="112">
        <f t="shared" si="19"/>
        <v>0</v>
      </c>
      <c r="O25" s="112">
        <f t="shared" si="19"/>
        <v>0</v>
      </c>
      <c r="P25" s="113">
        <f>SUM(D25:O25)</f>
        <v>0</v>
      </c>
      <c r="Q25" s="112">
        <f aca="true" t="shared" si="20" ref="Q25:AB25">Q5*ндс</f>
        <v>0</v>
      </c>
      <c r="R25" s="112">
        <f t="shared" si="20"/>
        <v>0</v>
      </c>
      <c r="S25" s="112">
        <f t="shared" si="20"/>
        <v>0</v>
      </c>
      <c r="T25" s="112">
        <f t="shared" si="20"/>
        <v>0</v>
      </c>
      <c r="U25" s="112">
        <f t="shared" si="20"/>
        <v>0</v>
      </c>
      <c r="V25" s="112">
        <f t="shared" si="20"/>
        <v>0</v>
      </c>
      <c r="W25" s="112">
        <f t="shared" si="20"/>
        <v>0</v>
      </c>
      <c r="X25" s="112">
        <f t="shared" si="20"/>
        <v>0</v>
      </c>
      <c r="Y25" s="112">
        <f t="shared" si="20"/>
        <v>0</v>
      </c>
      <c r="Z25" s="112">
        <f t="shared" si="20"/>
        <v>0</v>
      </c>
      <c r="AA25" s="112">
        <f t="shared" si="20"/>
        <v>0</v>
      </c>
      <c r="AB25" s="112">
        <f t="shared" si="20"/>
        <v>0</v>
      </c>
      <c r="AC25" s="113">
        <f>SUM(Q25:AB25)</f>
        <v>0</v>
      </c>
      <c r="AD25" s="112">
        <f aca="true" t="shared" si="21" ref="AD25:AI25">AD5*ндс</f>
        <v>0</v>
      </c>
      <c r="AE25" s="112">
        <f t="shared" si="21"/>
        <v>0</v>
      </c>
      <c r="AF25" s="112">
        <f t="shared" si="21"/>
        <v>0</v>
      </c>
      <c r="AG25" s="112">
        <f t="shared" si="21"/>
        <v>0</v>
      </c>
      <c r="AH25" s="112">
        <f t="shared" si="21"/>
        <v>0</v>
      </c>
      <c r="AI25" s="112">
        <f t="shared" si="21"/>
        <v>0</v>
      </c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</row>
    <row r="26" spans="1:48" s="106" customFormat="1" ht="12.75" hidden="1">
      <c r="A26" s="110" t="s">
        <v>161</v>
      </c>
      <c r="B26" s="98">
        <f>P26+AC26+AD26+AE26+AF26+AG26+AH26</f>
        <v>0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>
        <f>(N8+N11-Пост!$C$6-Пост!$C$15-Пост!$C$18)*ндс</f>
        <v>0</v>
      </c>
      <c r="O26" s="112"/>
      <c r="P26" s="113">
        <f>SUM(D26:O26)</f>
        <v>0</v>
      </c>
      <c r="Q26" s="112">
        <f>(Q8+Q11-Пост!$D$6-Пост!$D$15-Пост!$D$18)*ндс</f>
        <v>0</v>
      </c>
      <c r="R26" s="112">
        <f>(R8+R11-Пост!$D$6-Пост!$D$15-Пост!$D$18)*ндс</f>
        <v>0</v>
      </c>
      <c r="S26" s="112">
        <f>(S8+S11-Пост!$D$6-Пост!$D$15-Пост!$D$18)*ндс</f>
        <v>0</v>
      </c>
      <c r="T26" s="112">
        <f>(T8+T11-Пост!$D$6-Пост!$D$15-Пост!$D$18)*ндс</f>
        <v>0</v>
      </c>
      <c r="U26" s="112">
        <f>(U8+U11-Пост!$D$6-Пост!$D$15-Пост!$D$18)*ндс</f>
        <v>0</v>
      </c>
      <c r="V26" s="112">
        <f>(V8+V11-Пост!$D$6-Пост!$D$15-Пост!$D$18)*ндс</f>
        <v>0</v>
      </c>
      <c r="W26" s="112">
        <f>(W8+W11-Пост!$D$6-Пост!$D$15-Пост!$D$18)*ндс</f>
        <v>0</v>
      </c>
      <c r="X26" s="112">
        <f>(X8+X11-Пост!$D$6-Пост!$D$15-Пост!$D$18)*ндс</f>
        <v>0</v>
      </c>
      <c r="Y26" s="112">
        <f>(Y8+Y11-Пост!$D$6-Пост!$D$15-Пост!$D$18)*ндс</f>
        <v>0</v>
      </c>
      <c r="Z26" s="112">
        <f>(Z8+Z11-Пост!$D$6-Пост!$D$15-Пост!$D$18)*ндс</f>
        <v>0</v>
      </c>
      <c r="AA26" s="112">
        <f>(AA8+AA11-Пост!$D$6-Пост!$D$15-Пост!$D$18)*ндс</f>
        <v>0</v>
      </c>
      <c r="AB26" s="112">
        <f>(AB8+AB11-Пост!$D$6-Пост!$D$15-Пост!$D$18)*ндс</f>
        <v>0</v>
      </c>
      <c r="AC26" s="113">
        <f>SUM(Q26:AB26)</f>
        <v>0</v>
      </c>
      <c r="AD26" s="112">
        <f>(AD8+AD11-(Пост!E6+Пост!E15+Пост!E18)*12)*ндс</f>
        <v>0</v>
      </c>
      <c r="AE26" s="112">
        <f>(AE8+AE11-(Пост!F6+Пост!F15+Пост!F18)*12)*ндс</f>
        <v>0</v>
      </c>
      <c r="AF26" s="112">
        <f>(AF8+AF11-(Пост!G6+Пост!G15+Пост!G18)*12)*ндс</f>
        <v>0</v>
      </c>
      <c r="AG26" s="112">
        <f>(AG8+AG11-(Пост!H6+Пост!H15+Пост!H18)*12)*ндс</f>
        <v>0</v>
      </c>
      <c r="AH26" s="112">
        <f>(AH8+AH11-(Пост!I6+Пост!I15+Пост!I18)*12)*ндс</f>
        <v>0</v>
      </c>
      <c r="AI26" s="112">
        <f>(AI8+AI11-(Пост!J6+Пост!J15+Пост!J18)*12)*ндс</f>
        <v>0</v>
      </c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</row>
    <row r="27" spans="1:48" s="106" customFormat="1" ht="12.75" hidden="1">
      <c r="A27" s="110" t="s">
        <v>162</v>
      </c>
      <c r="B27" s="98">
        <f>P27+AC27+AD27+AE27+AF27+AG27+AH27</f>
        <v>0</v>
      </c>
      <c r="C27" s="112"/>
      <c r="D27" s="112">
        <f>Инв!E16/Исх!$C$18*ндс</f>
        <v>0</v>
      </c>
      <c r="E27" s="112">
        <f>Инв!F16/Исх!$C$18*ндс</f>
        <v>0</v>
      </c>
      <c r="F27" s="112">
        <f>Инв!G16/Исх!$C$18*ндс</f>
        <v>0</v>
      </c>
      <c r="G27" s="112">
        <f>Инв!H16/Исх!$C$18*ндс</f>
        <v>0</v>
      </c>
      <c r="H27" s="112">
        <f>Инв!I16/Исх!$C$18*ндс</f>
        <v>0</v>
      </c>
      <c r="I27" s="112">
        <f>Инв!J16/Исх!$C$18*ндс</f>
        <v>0</v>
      </c>
      <c r="J27" s="112">
        <f>Инв!K16/Исх!$C$18*ндс</f>
        <v>0</v>
      </c>
      <c r="K27" s="112">
        <f>Инв!L16/Исх!$C$18*ндс</f>
        <v>0</v>
      </c>
      <c r="L27" s="112">
        <f>Инв!M16/Исх!$C$18*ндс</f>
        <v>0</v>
      </c>
      <c r="M27" s="112">
        <f>Инв!N16/Исх!$C$18*ндс</f>
        <v>0</v>
      </c>
      <c r="N27" s="112">
        <f>Инв!O16/Исх!$C$18*ндс</f>
        <v>0</v>
      </c>
      <c r="O27" s="112">
        <f>Инв!P16/Исх!$C$18*ндс</f>
        <v>0</v>
      </c>
      <c r="P27" s="113">
        <f>SUM(D27:O27)</f>
        <v>0</v>
      </c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3"/>
      <c r="AD27" s="113"/>
      <c r="AE27" s="113"/>
      <c r="AF27" s="113"/>
      <c r="AG27" s="113"/>
      <c r="AH27" s="113"/>
      <c r="AI27" s="113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</row>
    <row r="28" spans="1:48" s="106" customFormat="1" ht="12.75" hidden="1">
      <c r="A28" s="110" t="s">
        <v>28</v>
      </c>
      <c r="B28" s="98">
        <f>P28+AC28+AD28+AE28+AF28+AG28+AH28</f>
        <v>0</v>
      </c>
      <c r="C28" s="112"/>
      <c r="D28" s="112">
        <f>D25-D26-D27</f>
        <v>0</v>
      </c>
      <c r="E28" s="112">
        <f aca="true" t="shared" si="22" ref="E28:O28">E25-E26-E27</f>
        <v>0</v>
      </c>
      <c r="F28" s="112">
        <f t="shared" si="22"/>
        <v>0</v>
      </c>
      <c r="G28" s="112">
        <f t="shared" si="22"/>
        <v>0</v>
      </c>
      <c r="H28" s="112">
        <f t="shared" si="22"/>
        <v>0</v>
      </c>
      <c r="I28" s="112">
        <f t="shared" si="22"/>
        <v>0</v>
      </c>
      <c r="J28" s="112">
        <f t="shared" si="22"/>
        <v>0</v>
      </c>
      <c r="K28" s="112">
        <f t="shared" si="22"/>
        <v>0</v>
      </c>
      <c r="L28" s="112">
        <f t="shared" si="22"/>
        <v>0</v>
      </c>
      <c r="M28" s="112">
        <f t="shared" si="22"/>
        <v>0</v>
      </c>
      <c r="N28" s="112">
        <f t="shared" si="22"/>
        <v>0</v>
      </c>
      <c r="O28" s="112">
        <f t="shared" si="22"/>
        <v>0</v>
      </c>
      <c r="P28" s="113">
        <f>SUM(D28:O28)</f>
        <v>0</v>
      </c>
      <c r="Q28" s="112">
        <f aca="true" t="shared" si="23" ref="Q28:AB28">Q25-Q26-Q27</f>
        <v>0</v>
      </c>
      <c r="R28" s="112">
        <f t="shared" si="23"/>
        <v>0</v>
      </c>
      <c r="S28" s="112">
        <f t="shared" si="23"/>
        <v>0</v>
      </c>
      <c r="T28" s="112">
        <f t="shared" si="23"/>
        <v>0</v>
      </c>
      <c r="U28" s="112">
        <f t="shared" si="23"/>
        <v>0</v>
      </c>
      <c r="V28" s="112">
        <f t="shared" si="23"/>
        <v>0</v>
      </c>
      <c r="W28" s="112">
        <f t="shared" si="23"/>
        <v>0</v>
      </c>
      <c r="X28" s="112">
        <f t="shared" si="23"/>
        <v>0</v>
      </c>
      <c r="Y28" s="112">
        <f t="shared" si="23"/>
        <v>0</v>
      </c>
      <c r="Z28" s="112">
        <f t="shared" si="23"/>
        <v>0</v>
      </c>
      <c r="AA28" s="112">
        <f t="shared" si="23"/>
        <v>0</v>
      </c>
      <c r="AB28" s="112">
        <f t="shared" si="23"/>
        <v>0</v>
      </c>
      <c r="AC28" s="113">
        <f>SUM(Q28:AB28)</f>
        <v>0</v>
      </c>
      <c r="AD28" s="112">
        <f aca="true" t="shared" si="24" ref="AD28:AI28">AD25-AD26-AD27</f>
        <v>0</v>
      </c>
      <c r="AE28" s="112">
        <f t="shared" si="24"/>
        <v>0</v>
      </c>
      <c r="AF28" s="112">
        <f t="shared" si="24"/>
        <v>0</v>
      </c>
      <c r="AG28" s="112">
        <f t="shared" si="24"/>
        <v>0</v>
      </c>
      <c r="AH28" s="112">
        <f t="shared" si="24"/>
        <v>0</v>
      </c>
      <c r="AI28" s="112">
        <f t="shared" si="24"/>
        <v>0</v>
      </c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</row>
    <row r="29" spans="1:48" s="106" customFormat="1" ht="12.75" hidden="1">
      <c r="A29" s="110" t="s">
        <v>163</v>
      </c>
      <c r="B29" s="98">
        <f>AH29</f>
        <v>0</v>
      </c>
      <c r="C29" s="112"/>
      <c r="D29" s="112">
        <f>D28</f>
        <v>0</v>
      </c>
      <c r="E29" s="112">
        <f>D29+E28</f>
        <v>0</v>
      </c>
      <c r="F29" s="112">
        <f aca="true" t="shared" si="25" ref="F29:O29">E29+F28</f>
        <v>0</v>
      </c>
      <c r="G29" s="112">
        <f t="shared" si="25"/>
        <v>0</v>
      </c>
      <c r="H29" s="112">
        <f t="shared" si="25"/>
        <v>0</v>
      </c>
      <c r="I29" s="112">
        <f t="shared" si="25"/>
        <v>0</v>
      </c>
      <c r="J29" s="112">
        <f t="shared" si="25"/>
        <v>0</v>
      </c>
      <c r="K29" s="112">
        <f t="shared" si="25"/>
        <v>0</v>
      </c>
      <c r="L29" s="112">
        <f t="shared" si="25"/>
        <v>0</v>
      </c>
      <c r="M29" s="112">
        <f t="shared" si="25"/>
        <v>0</v>
      </c>
      <c r="N29" s="112">
        <f t="shared" si="25"/>
        <v>0</v>
      </c>
      <c r="O29" s="112">
        <f t="shared" si="25"/>
        <v>0</v>
      </c>
      <c r="P29" s="113">
        <f>O29</f>
        <v>0</v>
      </c>
      <c r="Q29" s="112">
        <f aca="true" t="shared" si="26" ref="Q29:AB29">P29+Q28</f>
        <v>0</v>
      </c>
      <c r="R29" s="112">
        <f t="shared" si="26"/>
        <v>0</v>
      </c>
      <c r="S29" s="112">
        <f t="shared" si="26"/>
        <v>0</v>
      </c>
      <c r="T29" s="112">
        <f t="shared" si="26"/>
        <v>0</v>
      </c>
      <c r="U29" s="112">
        <f t="shared" si="26"/>
        <v>0</v>
      </c>
      <c r="V29" s="112">
        <f t="shared" si="26"/>
        <v>0</v>
      </c>
      <c r="W29" s="112">
        <f t="shared" si="26"/>
        <v>0</v>
      </c>
      <c r="X29" s="112">
        <f t="shared" si="26"/>
        <v>0</v>
      </c>
      <c r="Y29" s="112">
        <f t="shared" si="26"/>
        <v>0</v>
      </c>
      <c r="Z29" s="112">
        <f t="shared" si="26"/>
        <v>0</v>
      </c>
      <c r="AA29" s="112">
        <f t="shared" si="26"/>
        <v>0</v>
      </c>
      <c r="AB29" s="112">
        <f t="shared" si="26"/>
        <v>0</v>
      </c>
      <c r="AC29" s="113">
        <f>AB29</f>
        <v>0</v>
      </c>
      <c r="AD29" s="112">
        <f aca="true" t="shared" si="27" ref="AD29:AI29">AC29+AD28</f>
        <v>0</v>
      </c>
      <c r="AE29" s="112">
        <f t="shared" si="27"/>
        <v>0</v>
      </c>
      <c r="AF29" s="112">
        <f t="shared" si="27"/>
        <v>0</v>
      </c>
      <c r="AG29" s="112">
        <f t="shared" si="27"/>
        <v>0</v>
      </c>
      <c r="AH29" s="112">
        <f t="shared" si="27"/>
        <v>0</v>
      </c>
      <c r="AI29" s="112">
        <f t="shared" si="27"/>
        <v>0</v>
      </c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</row>
    <row r="30" spans="1:48" s="106" customFormat="1" ht="12.75" hidden="1">
      <c r="A30" s="110" t="s">
        <v>164</v>
      </c>
      <c r="B30" s="98">
        <f>P30+AC30+AD30+AE30+AF30+AG30+AH30</f>
        <v>0</v>
      </c>
      <c r="C30" s="112"/>
      <c r="D30" s="112">
        <f>IF(C29+D28&gt;=0,IF(C29&lt;0,C29+D28,D28),0)</f>
        <v>0</v>
      </c>
      <c r="E30" s="112">
        <f aca="true" t="shared" si="28" ref="E30:AI30">IF(D29+E28&gt;=0,IF(D29&lt;0,D29+E28,E28),0)</f>
        <v>0</v>
      </c>
      <c r="F30" s="112">
        <f t="shared" si="28"/>
        <v>0</v>
      </c>
      <c r="G30" s="112">
        <f t="shared" si="28"/>
        <v>0</v>
      </c>
      <c r="H30" s="112">
        <f t="shared" si="28"/>
        <v>0</v>
      </c>
      <c r="I30" s="112">
        <f t="shared" si="28"/>
        <v>0</v>
      </c>
      <c r="J30" s="112">
        <f t="shared" si="28"/>
        <v>0</v>
      </c>
      <c r="K30" s="112">
        <f t="shared" si="28"/>
        <v>0</v>
      </c>
      <c r="L30" s="112">
        <f t="shared" si="28"/>
        <v>0</v>
      </c>
      <c r="M30" s="112">
        <f t="shared" si="28"/>
        <v>0</v>
      </c>
      <c r="N30" s="112">
        <f t="shared" si="28"/>
        <v>0</v>
      </c>
      <c r="O30" s="112">
        <f t="shared" si="28"/>
        <v>0</v>
      </c>
      <c r="P30" s="113">
        <f>SUM(D30:O30)</f>
        <v>0</v>
      </c>
      <c r="Q30" s="112">
        <f t="shared" si="28"/>
        <v>0</v>
      </c>
      <c r="R30" s="112">
        <f t="shared" si="28"/>
        <v>0</v>
      </c>
      <c r="S30" s="112">
        <f t="shared" si="28"/>
        <v>0</v>
      </c>
      <c r="T30" s="112">
        <f t="shared" si="28"/>
        <v>0</v>
      </c>
      <c r="U30" s="112">
        <f t="shared" si="28"/>
        <v>0</v>
      </c>
      <c r="V30" s="112">
        <f t="shared" si="28"/>
        <v>0</v>
      </c>
      <c r="W30" s="112">
        <f t="shared" si="28"/>
        <v>0</v>
      </c>
      <c r="X30" s="112">
        <f t="shared" si="28"/>
        <v>0</v>
      </c>
      <c r="Y30" s="112">
        <f t="shared" si="28"/>
        <v>0</v>
      </c>
      <c r="Z30" s="112">
        <f t="shared" si="28"/>
        <v>0</v>
      </c>
      <c r="AA30" s="112">
        <f t="shared" si="28"/>
        <v>0</v>
      </c>
      <c r="AB30" s="112">
        <f t="shared" si="28"/>
        <v>0</v>
      </c>
      <c r="AC30" s="113">
        <f>SUM(Q30:AB30)</f>
        <v>0</v>
      </c>
      <c r="AD30" s="112">
        <f t="shared" si="28"/>
        <v>0</v>
      </c>
      <c r="AE30" s="112">
        <f t="shared" si="28"/>
        <v>0</v>
      </c>
      <c r="AF30" s="112">
        <f t="shared" si="28"/>
        <v>0</v>
      </c>
      <c r="AG30" s="112">
        <f t="shared" si="28"/>
        <v>0</v>
      </c>
      <c r="AH30" s="112">
        <f t="shared" si="28"/>
        <v>0</v>
      </c>
      <c r="AI30" s="112">
        <f t="shared" si="28"/>
        <v>0</v>
      </c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</row>
    <row r="32" ht="12.75">
      <c r="B32" s="114"/>
    </row>
  </sheetData>
  <sheetProtection/>
  <mergeCells count="8">
    <mergeCell ref="Q22:AC22"/>
    <mergeCell ref="Q3:AC3"/>
    <mergeCell ref="A3:A4"/>
    <mergeCell ref="A22:A23"/>
    <mergeCell ref="B3:B4"/>
    <mergeCell ref="D22:P22"/>
    <mergeCell ref="B22:B23"/>
    <mergeCell ref="D3:P3"/>
  </mergeCells>
  <printOptions/>
  <pageMargins left="0.35433070866141736" right="0.2362204724409449" top="0.7480314960629921" bottom="0.2362204724409449" header="0.4724409448818898" footer="0.15748031496062992"/>
  <pageSetup horizontalDpi="600" verticalDpi="600" orientation="landscape" paperSize="9" r:id="rId1"/>
  <headerFooter alignWithMargins="0">
    <oddHeader>&amp;RПриложение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outlinePr summaryBelow="0"/>
  </sheetPr>
  <dimension ref="A1:GB41"/>
  <sheetViews>
    <sheetView showGridLines="0" showZeros="0" zoomScalePageLayoutView="0" workbookViewId="0" topLeftCell="A1">
      <pane xSplit="3" ySplit="4" topLeftCell="R11" activePane="bottomRight" state="frozen"/>
      <selection pane="topLeft" activeCell="G35" sqref="G35"/>
      <selection pane="topRight" activeCell="G35" sqref="G35"/>
      <selection pane="bottomLeft" activeCell="G35" sqref="G35"/>
      <selection pane="bottomRight" activeCell="AB7" sqref="AB7"/>
    </sheetView>
  </sheetViews>
  <sheetFormatPr defaultColWidth="10.125" defaultRowHeight="12.75" outlineLevelCol="1"/>
  <cols>
    <col min="1" max="1" width="38.125" style="116" customWidth="1"/>
    <col min="2" max="2" width="2.375" style="116" customWidth="1"/>
    <col min="3" max="3" width="7.125" style="116" customWidth="1"/>
    <col min="4" max="4" width="11.375" style="116" hidden="1" customWidth="1" outlineLevel="1"/>
    <col min="5" max="11" width="7.375" style="116" hidden="1" customWidth="1" outlineLevel="1"/>
    <col min="12" max="12" width="8.00390625" style="116" hidden="1" customWidth="1" outlineLevel="1"/>
    <col min="13" max="13" width="7.875" style="116" hidden="1" customWidth="1" outlineLevel="1"/>
    <col min="14" max="15" width="8.125" style="116" hidden="1" customWidth="1" outlineLevel="1"/>
    <col min="16" max="16" width="9.875" style="116" customWidth="1" collapsed="1"/>
    <col min="17" max="23" width="8.375" style="116" hidden="1" customWidth="1" outlineLevel="1"/>
    <col min="24" max="25" width="8.75390625" style="116" hidden="1" customWidth="1" outlineLevel="1"/>
    <col min="26" max="26" width="8.625" style="116" hidden="1" customWidth="1" outlineLevel="1"/>
    <col min="27" max="27" width="9.00390625" style="116" hidden="1" customWidth="1" outlineLevel="1"/>
    <col min="28" max="28" width="9.125" style="116" hidden="1" customWidth="1" outlineLevel="1"/>
    <col min="29" max="29" width="10.125" style="116" customWidth="1" collapsed="1"/>
    <col min="30" max="30" width="9.875" style="116" customWidth="1"/>
    <col min="31" max="31" width="9.75390625" style="116" customWidth="1"/>
    <col min="32" max="32" width="9.625" style="116" customWidth="1"/>
    <col min="33" max="35" width="9.75390625" style="116" customWidth="1"/>
    <col min="36" max="16384" width="10.125" style="116" customWidth="1"/>
  </cols>
  <sheetData>
    <row r="1" spans="1:3" ht="12.75">
      <c r="A1" s="61" t="s">
        <v>111</v>
      </c>
      <c r="B1" s="115"/>
      <c r="C1" s="115"/>
    </row>
    <row r="2" spans="1:35" ht="17.25" customHeight="1">
      <c r="A2" s="61"/>
      <c r="C2" s="12" t="str">
        <f>Исх!$C$9</f>
        <v>тыс.тг.</v>
      </c>
      <c r="P2" s="117"/>
      <c r="AC2" s="117"/>
      <c r="AD2" s="117"/>
      <c r="AE2" s="117"/>
      <c r="AF2" s="117"/>
      <c r="AG2" s="117"/>
      <c r="AH2" s="117"/>
      <c r="AI2" s="117"/>
    </row>
    <row r="3" spans="1:35" ht="12.75" customHeight="1">
      <c r="A3" s="321" t="s">
        <v>2</v>
      </c>
      <c r="B3" s="323"/>
      <c r="C3" s="119"/>
      <c r="D3" s="324">
        <v>2013</v>
      </c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>
        <v>2014</v>
      </c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120">
        <f>Q3+1</f>
        <v>2015</v>
      </c>
      <c r="AE3" s="120">
        <f>AD3+1</f>
        <v>2016</v>
      </c>
      <c r="AF3" s="120">
        <f>AE3+1</f>
        <v>2017</v>
      </c>
      <c r="AG3" s="120">
        <f>AF3+1</f>
        <v>2018</v>
      </c>
      <c r="AH3" s="120">
        <f>AG3+1</f>
        <v>2019</v>
      </c>
      <c r="AI3" s="120">
        <f>AH3+1</f>
        <v>2020</v>
      </c>
    </row>
    <row r="4" spans="1:35" ht="12.75">
      <c r="A4" s="322"/>
      <c r="B4" s="323"/>
      <c r="C4" s="121"/>
      <c r="D4" s="122">
        <v>1</v>
      </c>
      <c r="E4" s="122">
        <f>D4+1</f>
        <v>2</v>
      </c>
      <c r="F4" s="122">
        <f aca="true" t="shared" si="0" ref="F4:O4">E4+1</f>
        <v>3</v>
      </c>
      <c r="G4" s="122">
        <f t="shared" si="0"/>
        <v>4</v>
      </c>
      <c r="H4" s="122">
        <f t="shared" si="0"/>
        <v>5</v>
      </c>
      <c r="I4" s="122">
        <f t="shared" si="0"/>
        <v>6</v>
      </c>
      <c r="J4" s="122">
        <f t="shared" si="0"/>
        <v>7</v>
      </c>
      <c r="K4" s="122">
        <f t="shared" si="0"/>
        <v>8</v>
      </c>
      <c r="L4" s="122">
        <f t="shared" si="0"/>
        <v>9</v>
      </c>
      <c r="M4" s="122">
        <f t="shared" si="0"/>
        <v>10</v>
      </c>
      <c r="N4" s="122">
        <f t="shared" si="0"/>
        <v>11</v>
      </c>
      <c r="O4" s="122">
        <f t="shared" si="0"/>
        <v>12</v>
      </c>
      <c r="P4" s="118" t="s">
        <v>0</v>
      </c>
      <c r="Q4" s="122">
        <v>1</v>
      </c>
      <c r="R4" s="122">
        <f aca="true" t="shared" si="1" ref="R4:AB4">Q4+1</f>
        <v>2</v>
      </c>
      <c r="S4" s="122">
        <f t="shared" si="1"/>
        <v>3</v>
      </c>
      <c r="T4" s="122">
        <f t="shared" si="1"/>
        <v>4</v>
      </c>
      <c r="U4" s="122">
        <f t="shared" si="1"/>
        <v>5</v>
      </c>
      <c r="V4" s="122">
        <f t="shared" si="1"/>
        <v>6</v>
      </c>
      <c r="W4" s="122">
        <f t="shared" si="1"/>
        <v>7</v>
      </c>
      <c r="X4" s="122">
        <f t="shared" si="1"/>
        <v>8</v>
      </c>
      <c r="Y4" s="122">
        <f t="shared" si="1"/>
        <v>9</v>
      </c>
      <c r="Z4" s="122">
        <f t="shared" si="1"/>
        <v>10</v>
      </c>
      <c r="AA4" s="122">
        <f t="shared" si="1"/>
        <v>11</v>
      </c>
      <c r="AB4" s="122">
        <f t="shared" si="1"/>
        <v>12</v>
      </c>
      <c r="AC4" s="118" t="s">
        <v>0</v>
      </c>
      <c r="AD4" s="118" t="s">
        <v>109</v>
      </c>
      <c r="AE4" s="118" t="s">
        <v>109</v>
      </c>
      <c r="AF4" s="118" t="s">
        <v>109</v>
      </c>
      <c r="AG4" s="118" t="s">
        <v>109</v>
      </c>
      <c r="AH4" s="118" t="s">
        <v>109</v>
      </c>
      <c r="AI4" s="118" t="s">
        <v>109</v>
      </c>
    </row>
    <row r="5" spans="1:42" s="127" customFormat="1" ht="15" customHeight="1">
      <c r="A5" s="123" t="s">
        <v>112</v>
      </c>
      <c r="B5" s="124"/>
      <c r="C5" s="125">
        <f>C11+C6</f>
        <v>0</v>
      </c>
      <c r="D5" s="125">
        <f>D11+D6</f>
        <v>0</v>
      </c>
      <c r="E5" s="125">
        <f aca="true" t="shared" si="2" ref="E5:AH5">E11+E6</f>
        <v>0</v>
      </c>
      <c r="F5" s="125">
        <f t="shared" si="2"/>
        <v>0</v>
      </c>
      <c r="G5" s="125">
        <f t="shared" si="2"/>
        <v>0</v>
      </c>
      <c r="H5" s="125">
        <f t="shared" si="2"/>
        <v>0</v>
      </c>
      <c r="I5" s="125">
        <f t="shared" si="2"/>
        <v>0</v>
      </c>
      <c r="J5" s="125">
        <f t="shared" si="2"/>
        <v>0</v>
      </c>
      <c r="K5" s="125">
        <f t="shared" si="2"/>
        <v>0</v>
      </c>
      <c r="L5" s="125">
        <f t="shared" si="2"/>
        <v>0</v>
      </c>
      <c r="M5" s="125">
        <f t="shared" si="2"/>
        <v>507.0316634920635</v>
      </c>
      <c r="N5" s="125">
        <f t="shared" si="2"/>
        <v>1014.063326984127</v>
      </c>
      <c r="O5" s="125">
        <f t="shared" si="2"/>
        <v>1014.063326984127</v>
      </c>
      <c r="P5" s="125">
        <f t="shared" si="2"/>
        <v>1014.063326984127</v>
      </c>
      <c r="Q5" s="125">
        <f t="shared" si="2"/>
        <v>1014.063326984127</v>
      </c>
      <c r="R5" s="125">
        <f t="shared" si="2"/>
        <v>1014.063326984127</v>
      </c>
      <c r="S5" s="125">
        <f t="shared" si="2"/>
        <v>1109.717599984127</v>
      </c>
      <c r="T5" s="125">
        <f t="shared" si="2"/>
        <v>1109.717599984127</v>
      </c>
      <c r="U5" s="125">
        <f t="shared" si="2"/>
        <v>1139.016894778127</v>
      </c>
      <c r="V5" s="125">
        <f t="shared" si="2"/>
        <v>1168.316189572127</v>
      </c>
      <c r="W5" s="125">
        <f t="shared" si="2"/>
        <v>1197.615484366127</v>
      </c>
      <c r="X5" s="125">
        <f t="shared" si="2"/>
        <v>1197.615484366127</v>
      </c>
      <c r="Y5" s="125">
        <f t="shared" si="2"/>
        <v>1197.615484366127</v>
      </c>
      <c r="Z5" s="125">
        <f t="shared" si="2"/>
        <v>1322.569052160127</v>
      </c>
      <c r="AA5" s="125">
        <f t="shared" si="2"/>
        <v>1322.569052160127</v>
      </c>
      <c r="AB5" s="125">
        <f t="shared" si="2"/>
        <v>1322.569052160127</v>
      </c>
      <c r="AC5" s="125">
        <f t="shared" si="2"/>
        <v>1322.569052160127</v>
      </c>
      <c r="AD5" s="125">
        <f t="shared" si="2"/>
        <v>1631.0747773361272</v>
      </c>
      <c r="AE5" s="125">
        <f t="shared" si="2"/>
        <v>2564.5242411821564</v>
      </c>
      <c r="AF5" s="125">
        <f t="shared" si="2"/>
        <v>3284.2421288962205</v>
      </c>
      <c r="AG5" s="125">
        <f t="shared" si="2"/>
        <v>4022.8965929257465</v>
      </c>
      <c r="AH5" s="125">
        <f t="shared" si="2"/>
        <v>4780.487633270736</v>
      </c>
      <c r="AI5" s="125">
        <f>AI11+AI6</f>
        <v>5601.970832394386</v>
      </c>
      <c r="AJ5" s="126"/>
      <c r="AK5" s="126"/>
      <c r="AL5" s="126"/>
      <c r="AM5" s="126"/>
      <c r="AN5" s="126"/>
      <c r="AO5" s="126"/>
      <c r="AP5" s="126"/>
    </row>
    <row r="6" spans="1:35" s="127" customFormat="1" ht="15" customHeight="1">
      <c r="A6" s="123" t="s">
        <v>113</v>
      </c>
      <c r="B6" s="124"/>
      <c r="C6" s="125">
        <f>SUM(C7:C10)</f>
        <v>0</v>
      </c>
      <c r="D6" s="125">
        <f>SUM(D7:D10)</f>
        <v>0</v>
      </c>
      <c r="E6" s="125">
        <f aca="true" t="shared" si="3" ref="E6:AH6">SUM(E7:E10)</f>
        <v>0</v>
      </c>
      <c r="F6" s="125">
        <f t="shared" si="3"/>
        <v>0</v>
      </c>
      <c r="G6" s="125">
        <f t="shared" si="3"/>
        <v>0</v>
      </c>
      <c r="H6" s="125">
        <f t="shared" si="3"/>
        <v>0</v>
      </c>
      <c r="I6" s="125">
        <f t="shared" si="3"/>
        <v>0</v>
      </c>
      <c r="J6" s="125">
        <f t="shared" si="3"/>
        <v>0</v>
      </c>
      <c r="K6" s="125">
        <f t="shared" si="3"/>
        <v>0</v>
      </c>
      <c r="L6" s="125">
        <f t="shared" si="3"/>
        <v>0</v>
      </c>
      <c r="M6" s="125">
        <f t="shared" si="3"/>
        <v>0</v>
      </c>
      <c r="N6" s="125">
        <f t="shared" si="3"/>
        <v>0</v>
      </c>
      <c r="O6" s="125">
        <f t="shared" si="3"/>
        <v>0</v>
      </c>
      <c r="P6" s="125">
        <f t="shared" si="3"/>
        <v>0</v>
      </c>
      <c r="Q6" s="125">
        <f t="shared" si="3"/>
        <v>0</v>
      </c>
      <c r="R6" s="125">
        <f t="shared" si="3"/>
        <v>0</v>
      </c>
      <c r="S6" s="125">
        <f t="shared" si="3"/>
        <v>95.65427300000002</v>
      </c>
      <c r="T6" s="125">
        <f t="shared" si="3"/>
        <v>95.65427300000002</v>
      </c>
      <c r="U6" s="125">
        <f t="shared" si="3"/>
        <v>124.95356779400002</v>
      </c>
      <c r="V6" s="125">
        <f t="shared" si="3"/>
        <v>154.25286258800003</v>
      </c>
      <c r="W6" s="125">
        <f t="shared" si="3"/>
        <v>183.55215738200002</v>
      </c>
      <c r="X6" s="125">
        <f t="shared" si="3"/>
        <v>183.55215738200002</v>
      </c>
      <c r="Y6" s="125">
        <f t="shared" si="3"/>
        <v>183.55215738200002</v>
      </c>
      <c r="Z6" s="125">
        <f t="shared" si="3"/>
        <v>308.50572517600006</v>
      </c>
      <c r="AA6" s="125">
        <f t="shared" si="3"/>
        <v>308.50572517600006</v>
      </c>
      <c r="AB6" s="125">
        <f t="shared" si="3"/>
        <v>308.50572517600006</v>
      </c>
      <c r="AC6" s="125">
        <f t="shared" si="3"/>
        <v>308.50572517600006</v>
      </c>
      <c r="AD6" s="125">
        <f t="shared" si="3"/>
        <v>617.0114503520001</v>
      </c>
      <c r="AE6" s="125">
        <f t="shared" si="3"/>
        <v>1629.7712234043788</v>
      </c>
      <c r="AF6" s="125">
        <f t="shared" si="3"/>
        <v>2428.7994203247918</v>
      </c>
      <c r="AG6" s="125">
        <f t="shared" si="3"/>
        <v>3246.764193560667</v>
      </c>
      <c r="AH6" s="125">
        <f t="shared" si="3"/>
        <v>4083.665543112006</v>
      </c>
      <c r="AI6" s="125">
        <f>SUM(AI7:AI10)</f>
        <v>4984.459051442005</v>
      </c>
    </row>
    <row r="7" spans="1:35" ht="15" customHeight="1">
      <c r="A7" s="128" t="s">
        <v>114</v>
      </c>
      <c r="B7" s="124"/>
      <c r="C7" s="129"/>
      <c r="D7" s="129">
        <f>'1-Ф3'!D35</f>
        <v>0</v>
      </c>
      <c r="E7" s="129">
        <f>'1-Ф3'!E35</f>
        <v>0</v>
      </c>
      <c r="F7" s="129">
        <f>'1-Ф3'!F35</f>
        <v>0</v>
      </c>
      <c r="G7" s="129">
        <f>'1-Ф3'!G35</f>
        <v>0</v>
      </c>
      <c r="H7" s="129">
        <f>'1-Ф3'!H35</f>
        <v>0</v>
      </c>
      <c r="I7" s="129">
        <f>'1-Ф3'!I35</f>
        <v>0</v>
      </c>
      <c r="J7" s="129">
        <f>'1-Ф3'!J35</f>
        <v>0</v>
      </c>
      <c r="K7" s="129">
        <f>'1-Ф3'!K35</f>
        <v>0</v>
      </c>
      <c r="L7" s="129">
        <f>'1-Ф3'!L35</f>
        <v>0</v>
      </c>
      <c r="M7" s="129">
        <f>'1-Ф3'!M35</f>
        <v>0</v>
      </c>
      <c r="N7" s="129">
        <f>'1-Ф3'!N35</f>
        <v>0</v>
      </c>
      <c r="O7" s="129">
        <f>'1-Ф3'!O35</f>
        <v>0</v>
      </c>
      <c r="P7" s="129">
        <f>'1-Ф3'!P35</f>
        <v>0</v>
      </c>
      <c r="Q7" s="129">
        <f>'1-Ф3'!Q35</f>
        <v>0</v>
      </c>
      <c r="R7" s="129">
        <f>'1-Ф3'!R35</f>
        <v>0</v>
      </c>
      <c r="S7" s="129">
        <f>'1-Ф3'!S35</f>
        <v>0</v>
      </c>
      <c r="T7" s="129">
        <f>'1-Ф3'!T35</f>
        <v>0</v>
      </c>
      <c r="U7" s="129">
        <f>'1-Ф3'!U35</f>
        <v>0</v>
      </c>
      <c r="V7" s="129">
        <f>'1-Ф3'!V35</f>
        <v>0</v>
      </c>
      <c r="W7" s="129">
        <f>'1-Ф3'!W35</f>
        <v>0</v>
      </c>
      <c r="X7" s="129">
        <f>'1-Ф3'!X35</f>
        <v>0</v>
      </c>
      <c r="Y7" s="129">
        <f>'1-Ф3'!Y35</f>
        <v>0</v>
      </c>
      <c r="Z7" s="129">
        <f>'1-Ф3'!Z35</f>
        <v>0</v>
      </c>
      <c r="AA7" s="129">
        <f>'1-Ф3'!AA35</f>
        <v>0</v>
      </c>
      <c r="AB7" s="129">
        <f>'1-Ф3'!AB35</f>
        <v>0</v>
      </c>
      <c r="AC7" s="129">
        <f>'1-Ф3'!AC35</f>
        <v>0</v>
      </c>
      <c r="AD7" s="129">
        <f>'1-Ф3'!AD35</f>
        <v>0</v>
      </c>
      <c r="AE7" s="129">
        <f>'1-Ф3'!AE35</f>
        <v>829.2076156703788</v>
      </c>
      <c r="AF7" s="129">
        <f>'1-Ф3'!AF35</f>
        <v>1444.6836552087916</v>
      </c>
      <c r="AG7" s="129">
        <f>'1-Ф3'!AG35</f>
        <v>2079.0962710626673</v>
      </c>
      <c r="AH7" s="129">
        <f>'1-Ф3'!AH35</f>
        <v>2732.4454632320057</v>
      </c>
      <c r="AI7" s="129">
        <f>'1-Ф3'!AI35</f>
        <v>3449.6868141800046</v>
      </c>
    </row>
    <row r="8" spans="1:35" ht="15" customHeight="1">
      <c r="A8" s="128" t="s">
        <v>115</v>
      </c>
      <c r="B8" s="124"/>
      <c r="C8" s="129"/>
      <c r="D8" s="129">
        <f>C8+'2-ф2'!D5-'1-Ф3'!D9/Исх!$C$18</f>
        <v>0</v>
      </c>
      <c r="E8" s="129">
        <f>D8+'2-ф2'!E5-'1-Ф3'!E9/Исх!$C$18</f>
        <v>0</v>
      </c>
      <c r="F8" s="129">
        <f>E8+'2-ф2'!F5-'1-Ф3'!F9/Исх!$C$18</f>
        <v>0</v>
      </c>
      <c r="G8" s="129">
        <f>F8+'2-ф2'!G5-'1-Ф3'!G9/Исх!$C$18</f>
        <v>0</v>
      </c>
      <c r="H8" s="129">
        <f>G8+'2-ф2'!H5-'1-Ф3'!H9/Исх!$C$18</f>
        <v>0</v>
      </c>
      <c r="I8" s="129">
        <f>H8+'2-ф2'!I5-'1-Ф3'!I9/Исх!$C$18</f>
        <v>0</v>
      </c>
      <c r="J8" s="129">
        <f>I8+'2-ф2'!J5-'1-Ф3'!J9/Исх!$C$18</f>
        <v>0</v>
      </c>
      <c r="K8" s="129">
        <f>J8+'2-ф2'!K5-'1-Ф3'!K9/Исх!$C$18</f>
        <v>0</v>
      </c>
      <c r="L8" s="129">
        <f>K8+'2-ф2'!L5-'1-Ф3'!L9/Исх!$C$18</f>
        <v>0</v>
      </c>
      <c r="M8" s="129">
        <f>L8+'2-ф2'!M5-'1-Ф3'!M9/Исх!$C$18</f>
        <v>0</v>
      </c>
      <c r="N8" s="129">
        <f>M8+'2-ф2'!N5-'1-Ф3'!N9/Исх!$C$18</f>
        <v>0</v>
      </c>
      <c r="O8" s="129">
        <f>N8+'2-ф2'!O5-'1-Ф3'!O9/Исх!$C$18</f>
        <v>0</v>
      </c>
      <c r="P8" s="129">
        <f>O8</f>
        <v>0</v>
      </c>
      <c r="Q8" s="129">
        <f>P8+'2-ф2'!Q5-'1-Ф3'!Q9/Исх!$C$18</f>
        <v>0</v>
      </c>
      <c r="R8" s="129">
        <f>Q8+'2-ф2'!R5-'1-Ф3'!R9/Исх!$C$18</f>
        <v>0</v>
      </c>
      <c r="S8" s="129">
        <f>R8+'2-ф2'!S5-'1-Ф3'!S9/Исх!$C$18</f>
        <v>0</v>
      </c>
      <c r="T8" s="129">
        <f>S8+'2-ф2'!T5-'1-Ф3'!T9/Исх!$C$18</f>
        <v>0</v>
      </c>
      <c r="U8" s="129">
        <f>T8+'2-ф2'!U5-'1-Ф3'!U9/Исх!$C$18</f>
        <v>0</v>
      </c>
      <c r="V8" s="129">
        <f>U8+'2-ф2'!V5-'1-Ф3'!V9/Исх!$C$18</f>
        <v>0</v>
      </c>
      <c r="W8" s="129">
        <f>V8+'2-ф2'!W5-'1-Ф3'!W9/Исх!$C$18</f>
        <v>0</v>
      </c>
      <c r="X8" s="129">
        <f>W8+'2-ф2'!X5-'1-Ф3'!X9/Исх!$C$18</f>
        <v>0</v>
      </c>
      <c r="Y8" s="129">
        <f>X8+'2-ф2'!Y5-'1-Ф3'!Y9/Исх!$C$18</f>
        <v>0</v>
      </c>
      <c r="Z8" s="129">
        <f>Y8+'2-ф2'!Z5-'1-Ф3'!Z9/Исх!$C$18</f>
        <v>0</v>
      </c>
      <c r="AA8" s="129">
        <f>Z8+'2-ф2'!AA5-'1-Ф3'!AA9/Исх!$C$18</f>
        <v>0</v>
      </c>
      <c r="AB8" s="129">
        <f>AA8+'2-ф2'!AB5-'1-Ф3'!AB9/Исх!$C$18</f>
        <v>0</v>
      </c>
      <c r="AC8" s="129">
        <f>AB8</f>
        <v>0</v>
      </c>
      <c r="AD8" s="129">
        <f>AC8+'2-ф2'!AD5-'1-Ф3'!AD9/Исх!$C$18</f>
        <v>0</v>
      </c>
      <c r="AE8" s="129">
        <f>AD8+'2-ф2'!AE5-'1-Ф3'!AE9/Исх!$C$18</f>
        <v>0</v>
      </c>
      <c r="AF8" s="129">
        <f>AE8+'2-ф2'!AF5-'1-Ф3'!AF9/Исх!$C$18</f>
        <v>0</v>
      </c>
      <c r="AG8" s="129">
        <f>AF8+'2-ф2'!AG5-'1-Ф3'!AG9/Исх!$C$18</f>
        <v>0</v>
      </c>
      <c r="AH8" s="129">
        <f>AG8+'2-ф2'!AH5-'1-Ф3'!AH9/Исх!$C$18</f>
        <v>0</v>
      </c>
      <c r="AI8" s="129">
        <f>AH8+'2-ф2'!AI5-'1-Ф3'!AI9/Исх!$C$18</f>
        <v>0</v>
      </c>
    </row>
    <row r="9" spans="1:35" ht="15" customHeight="1">
      <c r="A9" s="128" t="s">
        <v>116</v>
      </c>
      <c r="B9" s="124"/>
      <c r="C9" s="129"/>
      <c r="D9" s="129"/>
      <c r="E9" s="129"/>
      <c r="F9" s="129"/>
      <c r="G9" s="129"/>
      <c r="H9" s="129"/>
      <c r="I9" s="129"/>
      <c r="J9" s="129"/>
      <c r="K9" s="129"/>
      <c r="L9" s="129">
        <f>K9</f>
        <v>0</v>
      </c>
      <c r="M9" s="129">
        <f>L9</f>
        <v>0</v>
      </c>
      <c r="N9" s="129">
        <f>M9</f>
        <v>0</v>
      </c>
      <c r="O9" s="129">
        <f>N9</f>
        <v>0</v>
      </c>
      <c r="P9" s="129">
        <f>O9</f>
        <v>0</v>
      </c>
      <c r="Q9" s="129">
        <f>O9</f>
        <v>0</v>
      </c>
      <c r="R9" s="129">
        <f aca="true" t="shared" si="4" ref="R9:AB9">P9</f>
        <v>0</v>
      </c>
      <c r="S9" s="129">
        <f t="shared" si="4"/>
        <v>0</v>
      </c>
      <c r="T9" s="129">
        <f t="shared" si="4"/>
        <v>0</v>
      </c>
      <c r="U9" s="129">
        <f t="shared" si="4"/>
        <v>0</v>
      </c>
      <c r="V9" s="129">
        <f t="shared" si="4"/>
        <v>0</v>
      </c>
      <c r="W9" s="129">
        <f t="shared" si="4"/>
        <v>0</v>
      </c>
      <c r="X9" s="129">
        <f t="shared" si="4"/>
        <v>0</v>
      </c>
      <c r="Y9" s="129">
        <f t="shared" si="4"/>
        <v>0</v>
      </c>
      <c r="Z9" s="129">
        <f t="shared" si="4"/>
        <v>0</v>
      </c>
      <c r="AA9" s="129">
        <f t="shared" si="4"/>
        <v>0</v>
      </c>
      <c r="AB9" s="129">
        <f t="shared" si="4"/>
        <v>0</v>
      </c>
      <c r="AC9" s="129">
        <f>AB9</f>
        <v>0</v>
      </c>
      <c r="AD9" s="129">
        <f aca="true" t="shared" si="5" ref="AD9:AI9">AB9</f>
        <v>0</v>
      </c>
      <c r="AE9" s="129">
        <f t="shared" si="5"/>
        <v>0</v>
      </c>
      <c r="AF9" s="129">
        <f t="shared" si="5"/>
        <v>0</v>
      </c>
      <c r="AG9" s="129">
        <f t="shared" si="5"/>
        <v>0</v>
      </c>
      <c r="AH9" s="129">
        <f t="shared" si="5"/>
        <v>0</v>
      </c>
      <c r="AI9" s="129">
        <f t="shared" si="5"/>
        <v>0</v>
      </c>
    </row>
    <row r="10" spans="1:35" ht="25.5">
      <c r="A10" s="128" t="s">
        <v>210</v>
      </c>
      <c r="B10" s="124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>
        <f>O10</f>
        <v>0</v>
      </c>
      <c r="Q10" s="129">
        <f>P10+'1-Ф3'!Q13-'2-ф2'!Q8</f>
        <v>0</v>
      </c>
      <c r="R10" s="129">
        <f>Q10+'1-Ф3'!R13-'2-ф2'!R8</f>
        <v>0</v>
      </c>
      <c r="S10" s="129">
        <f>R10+'1-Ф3'!S13-'2-ф2'!S8</f>
        <v>95.65427300000002</v>
      </c>
      <c r="T10" s="129">
        <f>S10+'1-Ф3'!T13-'2-ф2'!T8</f>
        <v>95.65427300000002</v>
      </c>
      <c r="U10" s="129">
        <f>T10+'1-Ф3'!U13-'2-ф2'!U8</f>
        <v>124.95356779400002</v>
      </c>
      <c r="V10" s="129">
        <f>U10+'1-Ф3'!V13-'2-ф2'!V8</f>
        <v>154.25286258800003</v>
      </c>
      <c r="W10" s="129">
        <f>V10+'1-Ф3'!W13-'2-ф2'!W8</f>
        <v>183.55215738200002</v>
      </c>
      <c r="X10" s="129">
        <f>W10+'1-Ф3'!X13-'2-ф2'!X8</f>
        <v>183.55215738200002</v>
      </c>
      <c r="Y10" s="129">
        <f>X10+'1-Ф3'!Y13-'2-ф2'!Y8</f>
        <v>183.55215738200002</v>
      </c>
      <c r="Z10" s="129">
        <f>Y10+'1-Ф3'!Z13-'2-ф2'!Z8</f>
        <v>308.50572517600006</v>
      </c>
      <c r="AA10" s="129">
        <f>Z10+'1-Ф3'!AA13-'2-ф2'!AA8</f>
        <v>308.50572517600006</v>
      </c>
      <c r="AB10" s="129">
        <f>AA10+'1-Ф3'!AB13-'2-ф2'!AB8</f>
        <v>308.50572517600006</v>
      </c>
      <c r="AC10" s="129">
        <f>AB10</f>
        <v>308.50572517600006</v>
      </c>
      <c r="AD10" s="129">
        <f>AC10+'1-Ф3'!AD13-'2-ф2'!AD8</f>
        <v>617.0114503520001</v>
      </c>
      <c r="AE10" s="129">
        <f>AD10+'1-Ф3'!AE13-'2-ф2'!AE8</f>
        <v>800.5636077340001</v>
      </c>
      <c r="AF10" s="129">
        <f>AE10+'1-Ф3'!AF13-'2-ф2'!AF8</f>
        <v>984.1157651160001</v>
      </c>
      <c r="AG10" s="129">
        <f>AF10+'1-Ф3'!AG13-'2-ф2'!AG8</f>
        <v>1167.667922498</v>
      </c>
      <c r="AH10" s="129">
        <f>AG10+'1-Ф3'!AH13-'2-ф2'!AH8</f>
        <v>1351.2200798800002</v>
      </c>
      <c r="AI10" s="129">
        <f>AH10+'1-Ф3'!AI13-'2-ф2'!AI8</f>
        <v>1534.7722372620003</v>
      </c>
    </row>
    <row r="11" spans="1:35" ht="15" customHeight="1">
      <c r="A11" s="123" t="s">
        <v>117</v>
      </c>
      <c r="B11" s="124"/>
      <c r="C11" s="125">
        <f aca="true" t="shared" si="6" ref="C11:AH11">SUM(C12:C14)</f>
        <v>0</v>
      </c>
      <c r="D11" s="125">
        <f t="shared" si="6"/>
        <v>0</v>
      </c>
      <c r="E11" s="125">
        <f t="shared" si="6"/>
        <v>0</v>
      </c>
      <c r="F11" s="125">
        <f t="shared" si="6"/>
        <v>0</v>
      </c>
      <c r="G11" s="125">
        <f t="shared" si="6"/>
        <v>0</v>
      </c>
      <c r="H11" s="125">
        <f t="shared" si="6"/>
        <v>0</v>
      </c>
      <c r="I11" s="125">
        <f t="shared" si="6"/>
        <v>0</v>
      </c>
      <c r="J11" s="125">
        <f t="shared" si="6"/>
        <v>0</v>
      </c>
      <c r="K11" s="125">
        <f t="shared" si="6"/>
        <v>0</v>
      </c>
      <c r="L11" s="125">
        <f t="shared" si="6"/>
        <v>0</v>
      </c>
      <c r="M11" s="125">
        <f t="shared" si="6"/>
        <v>507.0316634920635</v>
      </c>
      <c r="N11" s="125">
        <f t="shared" si="6"/>
        <v>1014.063326984127</v>
      </c>
      <c r="O11" s="125">
        <f t="shared" si="6"/>
        <v>1014.063326984127</v>
      </c>
      <c r="P11" s="125">
        <f t="shared" si="6"/>
        <v>1014.063326984127</v>
      </c>
      <c r="Q11" s="125">
        <f t="shared" si="6"/>
        <v>1014.063326984127</v>
      </c>
      <c r="R11" s="125">
        <f t="shared" si="6"/>
        <v>1014.063326984127</v>
      </c>
      <c r="S11" s="125">
        <f t="shared" si="6"/>
        <v>1014.063326984127</v>
      </c>
      <c r="T11" s="125">
        <f t="shared" si="6"/>
        <v>1014.063326984127</v>
      </c>
      <c r="U11" s="125">
        <f t="shared" si="6"/>
        <v>1014.063326984127</v>
      </c>
      <c r="V11" s="125">
        <f t="shared" si="6"/>
        <v>1014.063326984127</v>
      </c>
      <c r="W11" s="125">
        <f t="shared" si="6"/>
        <v>1014.063326984127</v>
      </c>
      <c r="X11" s="125">
        <f t="shared" si="6"/>
        <v>1014.063326984127</v>
      </c>
      <c r="Y11" s="125">
        <f t="shared" si="6"/>
        <v>1014.063326984127</v>
      </c>
      <c r="Z11" s="125">
        <f t="shared" si="6"/>
        <v>1014.063326984127</v>
      </c>
      <c r="AA11" s="125">
        <f t="shared" si="6"/>
        <v>1014.063326984127</v>
      </c>
      <c r="AB11" s="125">
        <f t="shared" si="6"/>
        <v>1014.063326984127</v>
      </c>
      <c r="AC11" s="125">
        <f t="shared" si="6"/>
        <v>1014.063326984127</v>
      </c>
      <c r="AD11" s="125">
        <f t="shared" si="6"/>
        <v>1014.063326984127</v>
      </c>
      <c r="AE11" s="125">
        <f t="shared" si="6"/>
        <v>934.7530177777778</v>
      </c>
      <c r="AF11" s="125">
        <f t="shared" si="6"/>
        <v>855.4427085714286</v>
      </c>
      <c r="AG11" s="125">
        <f t="shared" si="6"/>
        <v>776.1323993650794</v>
      </c>
      <c r="AH11" s="125">
        <f t="shared" si="6"/>
        <v>696.8220901587302</v>
      </c>
      <c r="AI11" s="125">
        <f>SUM(AI12:AI14)</f>
        <v>617.5117809523811</v>
      </c>
    </row>
    <row r="12" spans="1:35" ht="12.75">
      <c r="A12" s="128" t="s">
        <v>118</v>
      </c>
      <c r="B12" s="130"/>
      <c r="C12" s="129"/>
      <c r="D12" s="129">
        <f>C12+'1-Ф3'!D21/Исх!$C$18-'2-ф2'!D12</f>
        <v>0</v>
      </c>
      <c r="E12" s="129">
        <f>D12+'1-Ф3'!E21/Исх!$C$18-'2-ф2'!E12</f>
        <v>0</v>
      </c>
      <c r="F12" s="129">
        <f>E12+'1-Ф3'!F21/Исх!$C$18-'2-ф2'!F12</f>
        <v>0</v>
      </c>
      <c r="G12" s="129">
        <f>F12+'1-Ф3'!G21/Исх!$C$18-'2-ф2'!G12</f>
        <v>0</v>
      </c>
      <c r="H12" s="129">
        <f>G12+'1-Ф3'!H21/Исх!$C$18-'2-ф2'!H12</f>
        <v>0</v>
      </c>
      <c r="I12" s="129">
        <f>H12+'1-Ф3'!I21/Исх!$C$18-'2-ф2'!I12</f>
        <v>0</v>
      </c>
      <c r="J12" s="129">
        <f>I12+'1-Ф3'!J21/Исх!$C$18-'2-ф2'!J12</f>
        <v>0</v>
      </c>
      <c r="K12" s="129">
        <f>J12+'1-Ф3'!K21/Исх!$C$18-'2-ф2'!K12</f>
        <v>0</v>
      </c>
      <c r="L12" s="129">
        <f>K12+'1-Ф3'!L21/Исх!$C$18-'2-ф2'!L12</f>
        <v>0</v>
      </c>
      <c r="M12" s="129">
        <f>L12+'1-Ф3'!M21/Исх!$C$18-'2-ф2'!M12</f>
        <v>507.0316634920635</v>
      </c>
      <c r="N12" s="129">
        <f>M12+'1-Ф3'!N21/Исх!$C$18-'2-ф2'!N12</f>
        <v>1014.063326984127</v>
      </c>
      <c r="O12" s="129">
        <f>N12+'1-Ф3'!O21/Исх!$C$18-'2-ф2'!O12</f>
        <v>1014.063326984127</v>
      </c>
      <c r="P12" s="129">
        <f>O12</f>
        <v>1014.063326984127</v>
      </c>
      <c r="Q12" s="129">
        <f>P12+'1-Ф3'!Q21/Исх!$C$18-'2-ф2'!Q12</f>
        <v>1014.063326984127</v>
      </c>
      <c r="R12" s="129">
        <f>Q12+'1-Ф3'!R21/Исх!$C$18-'2-ф2'!R12</f>
        <v>1014.063326984127</v>
      </c>
      <c r="S12" s="129">
        <f>R12+'1-Ф3'!S21/Исх!$C$18-'2-ф2'!S12</f>
        <v>1014.063326984127</v>
      </c>
      <c r="T12" s="129">
        <f>S12+'1-Ф3'!T21/Исх!$C$18-'2-ф2'!T12</f>
        <v>1014.063326984127</v>
      </c>
      <c r="U12" s="129">
        <f>T12+'1-Ф3'!U21/Исх!$C$18-'2-ф2'!U12</f>
        <v>1014.063326984127</v>
      </c>
      <c r="V12" s="129">
        <f>U12+'1-Ф3'!V21/Исх!$C$18-'2-ф2'!V12</f>
        <v>1014.063326984127</v>
      </c>
      <c r="W12" s="129">
        <f>V12+'1-Ф3'!W21/Исх!$C$18-'2-ф2'!W12</f>
        <v>1014.063326984127</v>
      </c>
      <c r="X12" s="129">
        <f>W12+'1-Ф3'!X21/Исх!$C$18-'2-ф2'!X12</f>
        <v>1014.063326984127</v>
      </c>
      <c r="Y12" s="129">
        <f>X12+'1-Ф3'!Y21/Исх!$C$18-'2-ф2'!Y12</f>
        <v>1014.063326984127</v>
      </c>
      <c r="Z12" s="129">
        <f>Y12+'1-Ф3'!Z21/Исх!$C$18-'2-ф2'!Z12</f>
        <v>1014.063326984127</v>
      </c>
      <c r="AA12" s="129">
        <f>Z12+'1-Ф3'!AA21/Исх!$C$18-'2-ф2'!AA12</f>
        <v>1014.063326984127</v>
      </c>
      <c r="AB12" s="129">
        <f>AA12+'1-Ф3'!AB21/Исх!$C$18-'2-ф2'!AB12</f>
        <v>1014.063326984127</v>
      </c>
      <c r="AC12" s="129">
        <f>AB12</f>
        <v>1014.063326984127</v>
      </c>
      <c r="AD12" s="129">
        <f>AC12+'1-Ф3'!AD21/Исх!$C$18-'2-ф2'!AD12</f>
        <v>1014.063326984127</v>
      </c>
      <c r="AE12" s="129">
        <f>AD12+'1-Ф3'!AE21/Исх!$C$18-'2-ф2'!AE12</f>
        <v>934.7530177777778</v>
      </c>
      <c r="AF12" s="129">
        <f>AE12+'1-Ф3'!AF21/Исх!$C$18-'2-ф2'!AF12</f>
        <v>855.4427085714286</v>
      </c>
      <c r="AG12" s="129">
        <f>AF12+'1-Ф3'!AG21/Исх!$C$18-'2-ф2'!AG12</f>
        <v>776.1323993650794</v>
      </c>
      <c r="AH12" s="129">
        <f>AG12+'1-Ф3'!AH21/Исх!$C$18-'2-ф2'!AH12</f>
        <v>696.8220901587302</v>
      </c>
      <c r="AI12" s="129">
        <f>AH12+'1-Ф3'!AI21/Исх!$C$18-'2-ф2'!AI12</f>
        <v>617.5117809523811</v>
      </c>
    </row>
    <row r="13" spans="1:35" ht="15" customHeight="1" hidden="1">
      <c r="A13" s="128" t="s">
        <v>119</v>
      </c>
      <c r="B13" s="130"/>
      <c r="C13" s="129"/>
      <c r="D13" s="129">
        <f>C13</f>
        <v>0</v>
      </c>
      <c r="E13" s="129">
        <f>D13</f>
        <v>0</v>
      </c>
      <c r="F13" s="129">
        <f aca="true" t="shared" si="7" ref="F13:AI14">E13</f>
        <v>0</v>
      </c>
      <c r="G13" s="129">
        <f t="shared" si="7"/>
        <v>0</v>
      </c>
      <c r="H13" s="129">
        <f t="shared" si="7"/>
        <v>0</v>
      </c>
      <c r="I13" s="129">
        <f t="shared" si="7"/>
        <v>0</v>
      </c>
      <c r="J13" s="129">
        <f t="shared" si="7"/>
        <v>0</v>
      </c>
      <c r="K13" s="129">
        <f t="shared" si="7"/>
        <v>0</v>
      </c>
      <c r="L13" s="129">
        <f t="shared" si="7"/>
        <v>0</v>
      </c>
      <c r="M13" s="129">
        <f t="shared" si="7"/>
        <v>0</v>
      </c>
      <c r="N13" s="129">
        <f t="shared" si="7"/>
        <v>0</v>
      </c>
      <c r="O13" s="129">
        <f t="shared" si="7"/>
        <v>0</v>
      </c>
      <c r="P13" s="129">
        <f t="shared" si="7"/>
        <v>0</v>
      </c>
      <c r="Q13" s="129">
        <f t="shared" si="7"/>
        <v>0</v>
      </c>
      <c r="R13" s="129">
        <f t="shared" si="7"/>
        <v>0</v>
      </c>
      <c r="S13" s="129">
        <f t="shared" si="7"/>
        <v>0</v>
      </c>
      <c r="T13" s="129">
        <f t="shared" si="7"/>
        <v>0</v>
      </c>
      <c r="U13" s="129">
        <f t="shared" si="7"/>
        <v>0</v>
      </c>
      <c r="V13" s="129">
        <f t="shared" si="7"/>
        <v>0</v>
      </c>
      <c r="W13" s="129">
        <f t="shared" si="7"/>
        <v>0</v>
      </c>
      <c r="X13" s="129">
        <f t="shared" si="7"/>
        <v>0</v>
      </c>
      <c r="Y13" s="129">
        <f t="shared" si="7"/>
        <v>0</v>
      </c>
      <c r="Z13" s="129">
        <f t="shared" si="7"/>
        <v>0</v>
      </c>
      <c r="AA13" s="129">
        <f t="shared" si="7"/>
        <v>0</v>
      </c>
      <c r="AB13" s="129">
        <f t="shared" si="7"/>
        <v>0</v>
      </c>
      <c r="AC13" s="129">
        <f t="shared" si="7"/>
        <v>0</v>
      </c>
      <c r="AD13" s="129">
        <f t="shared" si="7"/>
        <v>0</v>
      </c>
      <c r="AE13" s="129">
        <f t="shared" si="7"/>
        <v>0</v>
      </c>
      <c r="AF13" s="129">
        <f t="shared" si="7"/>
        <v>0</v>
      </c>
      <c r="AG13" s="129">
        <f t="shared" si="7"/>
        <v>0</v>
      </c>
      <c r="AH13" s="129">
        <f t="shared" si="7"/>
        <v>0</v>
      </c>
      <c r="AI13" s="129">
        <f t="shared" si="7"/>
        <v>0</v>
      </c>
    </row>
    <row r="14" spans="1:35" ht="12.75">
      <c r="A14" s="128" t="s">
        <v>120</v>
      </c>
      <c r="B14" s="130"/>
      <c r="C14" s="129"/>
      <c r="D14" s="129">
        <f>IF('2-ф2'!D29&lt;0,-'2-ф2'!D29,0)</f>
        <v>0</v>
      </c>
      <c r="E14" s="129">
        <f>IF('2-ф2'!E29&lt;0,-'2-ф2'!E29,0)</f>
        <v>0</v>
      </c>
      <c r="F14" s="129">
        <f>IF('2-ф2'!F29&lt;0,-'2-ф2'!F29,0)</f>
        <v>0</v>
      </c>
      <c r="G14" s="129">
        <f>IF('2-ф2'!G29&lt;0,-'2-ф2'!G29,0)</f>
        <v>0</v>
      </c>
      <c r="H14" s="129">
        <f>IF('2-ф2'!H29&lt;0,-'2-ф2'!H29,0)</f>
        <v>0</v>
      </c>
      <c r="I14" s="129">
        <f>IF('2-ф2'!I29&lt;0,-'2-ф2'!I29,0)</f>
        <v>0</v>
      </c>
      <c r="J14" s="129">
        <f>IF('2-ф2'!J29&lt;0,-'2-ф2'!J29,0)</f>
        <v>0</v>
      </c>
      <c r="K14" s="129">
        <f>IF('2-ф2'!K29&lt;0,-'2-ф2'!K29,0)</f>
        <v>0</v>
      </c>
      <c r="L14" s="129">
        <f>IF('2-ф2'!L29&lt;0,-'2-ф2'!L29,0)</f>
        <v>0</v>
      </c>
      <c r="M14" s="129">
        <f>IF('2-ф2'!M29&lt;0,-'2-ф2'!M29,0)</f>
        <v>0</v>
      </c>
      <c r="N14" s="129">
        <f>IF('2-ф2'!N29&lt;0,-'2-ф2'!N29,0)</f>
        <v>0</v>
      </c>
      <c r="O14" s="129">
        <f>IF('2-ф2'!O29&lt;0,-'2-ф2'!O29,0)</f>
        <v>0</v>
      </c>
      <c r="P14" s="129">
        <f t="shared" si="7"/>
        <v>0</v>
      </c>
      <c r="Q14" s="129">
        <f>IF('2-ф2'!Q29&lt;0,-'2-ф2'!Q29,0)</f>
        <v>0</v>
      </c>
      <c r="R14" s="129">
        <f>IF('2-ф2'!R29&lt;0,-'2-ф2'!R29,0)</f>
        <v>0</v>
      </c>
      <c r="S14" s="129">
        <f>IF('2-ф2'!S29&lt;0,-'2-ф2'!S29,0)</f>
        <v>0</v>
      </c>
      <c r="T14" s="129">
        <f>IF('2-ф2'!T29&lt;0,-'2-ф2'!T29,0)</f>
        <v>0</v>
      </c>
      <c r="U14" s="129">
        <f>IF('2-ф2'!U29&lt;0,-'2-ф2'!U29,0)</f>
        <v>0</v>
      </c>
      <c r="V14" s="129">
        <f>IF('2-ф2'!V29&lt;0,-'2-ф2'!V29,0)</f>
        <v>0</v>
      </c>
      <c r="W14" s="129">
        <f>IF('2-ф2'!W29&lt;0,-'2-ф2'!W29,0)</f>
        <v>0</v>
      </c>
      <c r="X14" s="129">
        <f>IF('2-ф2'!X29&lt;0,-'2-ф2'!X29,0)</f>
        <v>0</v>
      </c>
      <c r="Y14" s="129">
        <f>IF('2-ф2'!Y29&lt;0,-'2-ф2'!Y29,0)</f>
        <v>0</v>
      </c>
      <c r="Z14" s="129">
        <f>IF('2-ф2'!Z29&lt;0,-'2-ф2'!Z29,0)</f>
        <v>0</v>
      </c>
      <c r="AA14" s="129">
        <f>IF('2-ф2'!AA29&lt;0,-'2-ф2'!AA29,0)</f>
        <v>0</v>
      </c>
      <c r="AB14" s="129">
        <f>IF('2-ф2'!AB29&lt;0,-'2-ф2'!AB29,0)</f>
        <v>0</v>
      </c>
      <c r="AC14" s="129">
        <f t="shared" si="7"/>
        <v>0</v>
      </c>
      <c r="AD14" s="129">
        <f>IF('2-ф2'!AD29&lt;0,-'2-ф2'!AD29,0)</f>
        <v>0</v>
      </c>
      <c r="AE14" s="129">
        <f>IF('2-ф2'!AE29&lt;0,-'2-ф2'!AE29,0)</f>
        <v>0</v>
      </c>
      <c r="AF14" s="129">
        <f>IF('2-ф2'!AF29&lt;0,-'2-ф2'!AF29,0)</f>
        <v>0</v>
      </c>
      <c r="AG14" s="129">
        <f>IF('2-ф2'!AG29&lt;0,-'2-ф2'!AG29,0)</f>
        <v>0</v>
      </c>
      <c r="AH14" s="129">
        <f>IF('2-ф2'!AH29&lt;0,-'2-ф2'!AH29,0)</f>
        <v>0</v>
      </c>
      <c r="AI14" s="129">
        <f>IF('2-ф2'!AI29&lt;0,-'2-ф2'!AI29,0)</f>
        <v>0</v>
      </c>
    </row>
    <row r="15" spans="1:184" ht="12.75">
      <c r="A15" s="131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</row>
    <row r="16" spans="1:42" s="127" customFormat="1" ht="15" customHeight="1">
      <c r="A16" s="123" t="s">
        <v>121</v>
      </c>
      <c r="B16" s="124"/>
      <c r="C16" s="124">
        <f aca="true" t="shared" si="8" ref="C16:AH16">C21+C24+C17</f>
        <v>0</v>
      </c>
      <c r="D16" s="124">
        <f t="shared" si="8"/>
        <v>0</v>
      </c>
      <c r="E16" s="124">
        <f t="shared" si="8"/>
        <v>0</v>
      </c>
      <c r="F16" s="124">
        <f t="shared" si="8"/>
        <v>0</v>
      </c>
      <c r="G16" s="124">
        <f t="shared" si="8"/>
        <v>0</v>
      </c>
      <c r="H16" s="124">
        <f t="shared" si="8"/>
        <v>0</v>
      </c>
      <c r="I16" s="124">
        <f t="shared" si="8"/>
        <v>0</v>
      </c>
      <c r="J16" s="124">
        <f t="shared" si="8"/>
        <v>0</v>
      </c>
      <c r="K16" s="124">
        <f t="shared" si="8"/>
        <v>0</v>
      </c>
      <c r="L16" s="124">
        <f t="shared" si="8"/>
        <v>0</v>
      </c>
      <c r="M16" s="124">
        <f t="shared" si="8"/>
        <v>507.0316634920635</v>
      </c>
      <c r="N16" s="124">
        <f t="shared" si="8"/>
        <v>1014.063326984127</v>
      </c>
      <c r="O16" s="124">
        <f t="shared" si="8"/>
        <v>1014.063326984127</v>
      </c>
      <c r="P16" s="124">
        <f t="shared" si="8"/>
        <v>1014.063326984127</v>
      </c>
      <c r="Q16" s="124">
        <f t="shared" si="8"/>
        <v>1014.063326984127</v>
      </c>
      <c r="R16" s="124">
        <f t="shared" si="8"/>
        <v>1014.063326984127</v>
      </c>
      <c r="S16" s="124">
        <f t="shared" si="8"/>
        <v>1109.717599984127</v>
      </c>
      <c r="T16" s="124">
        <f t="shared" si="8"/>
        <v>1109.717599984127</v>
      </c>
      <c r="U16" s="124">
        <f t="shared" si="8"/>
        <v>1139.0168947781272</v>
      </c>
      <c r="V16" s="124">
        <f t="shared" si="8"/>
        <v>1168.316189572127</v>
      </c>
      <c r="W16" s="124">
        <f t="shared" si="8"/>
        <v>1197.6154843661272</v>
      </c>
      <c r="X16" s="124">
        <f t="shared" si="8"/>
        <v>1197.6154843661272</v>
      </c>
      <c r="Y16" s="124">
        <f t="shared" si="8"/>
        <v>1197.6154843661272</v>
      </c>
      <c r="Z16" s="124">
        <f t="shared" si="8"/>
        <v>1322.5690521601273</v>
      </c>
      <c r="AA16" s="124">
        <f t="shared" si="8"/>
        <v>1322.5690521601273</v>
      </c>
      <c r="AB16" s="124">
        <f t="shared" si="8"/>
        <v>1322.5690521601273</v>
      </c>
      <c r="AC16" s="124">
        <f t="shared" si="8"/>
        <v>1322.5690521601273</v>
      </c>
      <c r="AD16" s="124">
        <f t="shared" si="8"/>
        <v>1631.0747773361275</v>
      </c>
      <c r="AE16" s="124">
        <f t="shared" si="8"/>
        <v>2564.5242411821573</v>
      </c>
      <c r="AF16" s="124">
        <f t="shared" si="8"/>
        <v>3284.2421288962214</v>
      </c>
      <c r="AG16" s="124">
        <f t="shared" si="8"/>
        <v>4022.8965929257483</v>
      </c>
      <c r="AH16" s="124">
        <f t="shared" si="8"/>
        <v>4780.487633270738</v>
      </c>
      <c r="AI16" s="124">
        <f>AI21+AI24+AI17</f>
        <v>5601.970832394388</v>
      </c>
      <c r="AJ16" s="126"/>
      <c r="AK16" s="126"/>
      <c r="AL16" s="126"/>
      <c r="AM16" s="126"/>
      <c r="AN16" s="126"/>
      <c r="AO16" s="126"/>
      <c r="AP16" s="126"/>
    </row>
    <row r="17" spans="1:35" ht="15" customHeight="1">
      <c r="A17" s="123" t="s">
        <v>122</v>
      </c>
      <c r="B17" s="124"/>
      <c r="C17" s="124">
        <f aca="true" t="shared" si="9" ref="C17:AH17">SUM(C18:C20)</f>
        <v>0</v>
      </c>
      <c r="D17" s="124">
        <f t="shared" si="9"/>
        <v>0</v>
      </c>
      <c r="E17" s="124">
        <f t="shared" si="9"/>
        <v>0</v>
      </c>
      <c r="F17" s="124">
        <f t="shared" si="9"/>
        <v>0</v>
      </c>
      <c r="G17" s="124">
        <f t="shared" si="9"/>
        <v>0</v>
      </c>
      <c r="H17" s="124">
        <f t="shared" si="9"/>
        <v>0</v>
      </c>
      <c r="I17" s="124">
        <f t="shared" si="9"/>
        <v>0</v>
      </c>
      <c r="J17" s="124">
        <f t="shared" si="9"/>
        <v>0</v>
      </c>
      <c r="K17" s="124">
        <f t="shared" si="9"/>
        <v>0</v>
      </c>
      <c r="L17" s="124">
        <f t="shared" si="9"/>
        <v>0</v>
      </c>
      <c r="M17" s="124">
        <f t="shared" si="9"/>
        <v>0</v>
      </c>
      <c r="N17" s="124">
        <f t="shared" si="9"/>
        <v>2.957684703703704</v>
      </c>
      <c r="O17" s="124">
        <f t="shared" si="9"/>
        <v>8.873054111111113</v>
      </c>
      <c r="P17" s="124">
        <f t="shared" si="9"/>
        <v>8.873054111111113</v>
      </c>
      <c r="Q17" s="124">
        <f t="shared" si="9"/>
        <v>14.78842351851852</v>
      </c>
      <c r="R17" s="124">
        <f t="shared" si="9"/>
        <v>20.703792925925928</v>
      </c>
      <c r="S17" s="124">
        <f t="shared" si="9"/>
        <v>26.619162333333335</v>
      </c>
      <c r="T17" s="124">
        <f t="shared" si="9"/>
        <v>32.534531740740746</v>
      </c>
      <c r="U17" s="124">
        <f t="shared" si="9"/>
        <v>38.44990114814816</v>
      </c>
      <c r="V17" s="124">
        <f t="shared" si="9"/>
        <v>44.36527055555557</v>
      </c>
      <c r="W17" s="124">
        <f t="shared" si="9"/>
        <v>50.28063996296298</v>
      </c>
      <c r="X17" s="124">
        <f t="shared" si="9"/>
        <v>56.19600937037039</v>
      </c>
      <c r="Y17" s="124">
        <f t="shared" si="9"/>
        <v>62.1113787777778</v>
      </c>
      <c r="Z17" s="124">
        <f t="shared" si="9"/>
        <v>0</v>
      </c>
      <c r="AA17" s="124">
        <f t="shared" si="9"/>
        <v>0</v>
      </c>
      <c r="AB17" s="124">
        <f t="shared" si="9"/>
        <v>0</v>
      </c>
      <c r="AC17" s="124">
        <f t="shared" si="9"/>
        <v>0</v>
      </c>
      <c r="AD17" s="124">
        <f t="shared" si="9"/>
        <v>0</v>
      </c>
      <c r="AE17" s="124">
        <f t="shared" si="9"/>
        <v>0</v>
      </c>
      <c r="AF17" s="124">
        <f t="shared" si="9"/>
        <v>0</v>
      </c>
      <c r="AG17" s="124">
        <f t="shared" si="9"/>
        <v>0</v>
      </c>
      <c r="AH17" s="124">
        <f t="shared" si="9"/>
        <v>0</v>
      </c>
      <c r="AI17" s="124">
        <f>SUM(AI18:AI20)</f>
        <v>0</v>
      </c>
    </row>
    <row r="18" spans="1:35" ht="12.75" hidden="1">
      <c r="A18" s="128" t="s">
        <v>123</v>
      </c>
      <c r="B18" s="130"/>
      <c r="C18" s="130"/>
      <c r="D18" s="130">
        <f>C18</f>
        <v>0</v>
      </c>
      <c r="E18" s="130">
        <f>D18</f>
        <v>0</v>
      </c>
      <c r="F18" s="130">
        <f aca="true" t="shared" si="10" ref="F18:O18">E18</f>
        <v>0</v>
      </c>
      <c r="G18" s="130">
        <f t="shared" si="10"/>
        <v>0</v>
      </c>
      <c r="H18" s="130">
        <f t="shared" si="10"/>
        <v>0</v>
      </c>
      <c r="I18" s="130">
        <f t="shared" si="10"/>
        <v>0</v>
      </c>
      <c r="J18" s="130">
        <f t="shared" si="10"/>
        <v>0</v>
      </c>
      <c r="K18" s="130">
        <f t="shared" si="10"/>
        <v>0</v>
      </c>
      <c r="L18" s="130">
        <f t="shared" si="10"/>
        <v>0</v>
      </c>
      <c r="M18" s="130">
        <f t="shared" si="10"/>
        <v>0</v>
      </c>
      <c r="N18" s="130">
        <f t="shared" si="10"/>
        <v>0</v>
      </c>
      <c r="O18" s="130">
        <f t="shared" si="10"/>
        <v>0</v>
      </c>
      <c r="P18" s="130">
        <f>O18</f>
        <v>0</v>
      </c>
      <c r="Q18" s="130">
        <f>P18</f>
        <v>0</v>
      </c>
      <c r="R18" s="130">
        <f>Q18</f>
        <v>0</v>
      </c>
      <c r="S18" s="130">
        <f>R18</f>
        <v>0</v>
      </c>
      <c r="T18" s="130">
        <f>S18</f>
        <v>0</v>
      </c>
      <c r="U18" s="130">
        <f aca="true" t="shared" si="11" ref="U18:AF18">T18</f>
        <v>0</v>
      </c>
      <c r="V18" s="130">
        <f t="shared" si="11"/>
        <v>0</v>
      </c>
      <c r="W18" s="130">
        <f t="shared" si="11"/>
        <v>0</v>
      </c>
      <c r="X18" s="130">
        <f t="shared" si="11"/>
        <v>0</v>
      </c>
      <c r="Y18" s="130">
        <f t="shared" si="11"/>
        <v>0</v>
      </c>
      <c r="Z18" s="130">
        <f t="shared" si="11"/>
        <v>0</v>
      </c>
      <c r="AA18" s="130">
        <f t="shared" si="11"/>
        <v>0</v>
      </c>
      <c r="AB18" s="130">
        <f t="shared" si="11"/>
        <v>0</v>
      </c>
      <c r="AC18" s="130">
        <f t="shared" si="11"/>
        <v>0</v>
      </c>
      <c r="AD18" s="130">
        <f t="shared" si="11"/>
        <v>0</v>
      </c>
      <c r="AE18" s="130">
        <f t="shared" si="11"/>
        <v>0</v>
      </c>
      <c r="AF18" s="130">
        <f t="shared" si="11"/>
        <v>0</v>
      </c>
      <c r="AG18" s="130">
        <f>AF18</f>
        <v>0</v>
      </c>
      <c r="AH18" s="130">
        <f>AG18</f>
        <v>0</v>
      </c>
      <c r="AI18" s="130">
        <f>AH18</f>
        <v>0</v>
      </c>
    </row>
    <row r="19" spans="1:36" ht="25.5">
      <c r="A19" s="128" t="s">
        <v>124</v>
      </c>
      <c r="B19" s="130"/>
      <c r="C19" s="130"/>
      <c r="D19" s="130">
        <f>C19+'2-ф2'!D13-'1-Ф3'!D15-кр!C8</f>
        <v>0</v>
      </c>
      <c r="E19" s="130">
        <f>D19+'2-ф2'!E13-'1-Ф3'!E15-кр!D8</f>
        <v>0</v>
      </c>
      <c r="F19" s="130">
        <f>E19+'2-ф2'!F13-'1-Ф3'!F15-кр!E8</f>
        <v>0</v>
      </c>
      <c r="G19" s="130">
        <f>F19+'2-ф2'!G13-'1-Ф3'!G15-кр!F8</f>
        <v>0</v>
      </c>
      <c r="H19" s="130">
        <f>G19+'2-ф2'!H13-'1-Ф3'!H15-кр!G8</f>
        <v>0</v>
      </c>
      <c r="I19" s="130">
        <f>H19+'2-ф2'!I13-'1-Ф3'!I15-кр!H8</f>
        <v>0</v>
      </c>
      <c r="J19" s="130">
        <f>I19+'2-ф2'!J13-'1-Ф3'!J15-кр!I8</f>
        <v>0</v>
      </c>
      <c r="K19" s="130">
        <f>J19+'2-ф2'!K13-'1-Ф3'!K15-кр!J8</f>
        <v>0</v>
      </c>
      <c r="L19" s="130">
        <f>K19+'2-ф2'!L13-'1-Ф3'!L15-кр!K8</f>
        <v>0</v>
      </c>
      <c r="M19" s="130">
        <f>L19+'2-ф2'!M13-'1-Ф3'!M15-кр!L8</f>
        <v>0</v>
      </c>
      <c r="N19" s="130">
        <f>M19+'2-ф2'!N13-'1-Ф3'!N15-кр!M8</f>
        <v>2.957684703703704</v>
      </c>
      <c r="O19" s="130">
        <f>N19+'2-ф2'!O13-'1-Ф3'!O15-кр!N8</f>
        <v>8.873054111111113</v>
      </c>
      <c r="P19" s="130">
        <f>O19</f>
        <v>8.873054111111113</v>
      </c>
      <c r="Q19" s="130">
        <f>P19+'2-ф2'!Q13-'1-Ф3'!Q15-кр!P8</f>
        <v>14.78842351851852</v>
      </c>
      <c r="R19" s="130">
        <f>Q19+'2-ф2'!R13-'1-Ф3'!R15-кр!Q8</f>
        <v>20.703792925925928</v>
      </c>
      <c r="S19" s="130">
        <f>R19+'2-ф2'!S13-'1-Ф3'!S15-кр!R8</f>
        <v>26.619162333333335</v>
      </c>
      <c r="T19" s="130">
        <f>S19+'2-ф2'!T13-'1-Ф3'!T15-кр!S8</f>
        <v>32.534531740740746</v>
      </c>
      <c r="U19" s="130">
        <f>T19+'2-ф2'!U13-'1-Ф3'!U15-кр!T8</f>
        <v>38.44990114814816</v>
      </c>
      <c r="V19" s="130">
        <f>U19+'2-ф2'!V13-'1-Ф3'!V15-кр!U8</f>
        <v>44.36527055555557</v>
      </c>
      <c r="W19" s="130">
        <f>V19+'2-ф2'!W13-'1-Ф3'!W15-кр!V8</f>
        <v>50.28063996296298</v>
      </c>
      <c r="X19" s="130">
        <f>W19+'2-ф2'!X13-'1-Ф3'!X15-кр!W8</f>
        <v>56.19600937037039</v>
      </c>
      <c r="Y19" s="130">
        <f>X19+'2-ф2'!Y13-'1-Ф3'!Y15-кр!X8</f>
        <v>62.1113787777778</v>
      </c>
      <c r="Z19" s="130">
        <f>Y19+'2-ф2'!Z13-'1-Ф3'!Z15-кр!Y8</f>
        <v>0</v>
      </c>
      <c r="AA19" s="130">
        <f>Z19+'2-ф2'!AA13-'1-Ф3'!AA15-кр!Z8</f>
        <v>0</v>
      </c>
      <c r="AB19" s="130">
        <f>AA19+'2-ф2'!AB13-'1-Ф3'!AB15-кр!AA8</f>
        <v>0</v>
      </c>
      <c r="AC19" s="130">
        <f>AB19</f>
        <v>0</v>
      </c>
      <c r="AD19" s="130">
        <f>AC19+'2-ф2'!AD13-'1-Ф3'!AD15</f>
        <v>0</v>
      </c>
      <c r="AE19" s="130">
        <f>AD19+'2-ф2'!AE13-'1-Ф3'!AE15</f>
        <v>0</v>
      </c>
      <c r="AF19" s="130">
        <f>AE19+'2-ф2'!AF13-'1-Ф3'!AF15</f>
        <v>0</v>
      </c>
      <c r="AG19" s="130">
        <f>AF19+'2-ф2'!AG13-'1-Ф3'!AG15</f>
        <v>0</v>
      </c>
      <c r="AH19" s="130">
        <f>AG19+'2-ф2'!AH13-'1-Ф3'!AH15</f>
        <v>0</v>
      </c>
      <c r="AI19" s="130">
        <f>AH19+'2-ф2'!AI13-'1-Ф3'!AI15</f>
        <v>0</v>
      </c>
      <c r="AJ19" s="117"/>
    </row>
    <row r="20" spans="1:35" ht="12.75">
      <c r="A20" s="128" t="s">
        <v>126</v>
      </c>
      <c r="B20" s="130"/>
      <c r="C20" s="130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30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30">
        <f>AB20</f>
        <v>0</v>
      </c>
      <c r="AD20" s="130"/>
      <c r="AE20" s="130"/>
      <c r="AF20" s="130"/>
      <c r="AG20" s="130"/>
      <c r="AH20" s="130"/>
      <c r="AI20" s="130"/>
    </row>
    <row r="21" spans="1:35" ht="15" customHeight="1">
      <c r="A21" s="123" t="s">
        <v>127</v>
      </c>
      <c r="B21" s="124"/>
      <c r="C21" s="124">
        <f aca="true" t="shared" si="12" ref="C21:AH21">SUM(C22:C23)</f>
        <v>0</v>
      </c>
      <c r="D21" s="124">
        <f t="shared" si="12"/>
        <v>0</v>
      </c>
      <c r="E21" s="124">
        <f t="shared" si="12"/>
        <v>0</v>
      </c>
      <c r="F21" s="124">
        <f t="shared" si="12"/>
        <v>0</v>
      </c>
      <c r="G21" s="124">
        <f t="shared" si="12"/>
        <v>0</v>
      </c>
      <c r="H21" s="124">
        <f t="shared" si="12"/>
        <v>0</v>
      </c>
      <c r="I21" s="124">
        <f t="shared" si="12"/>
        <v>0</v>
      </c>
      <c r="J21" s="124">
        <f t="shared" si="12"/>
        <v>0</v>
      </c>
      <c r="K21" s="124">
        <f t="shared" si="12"/>
        <v>0</v>
      </c>
      <c r="L21" s="124">
        <f t="shared" si="12"/>
        <v>0</v>
      </c>
      <c r="M21" s="124">
        <f t="shared" si="12"/>
        <v>507.0316634920635</v>
      </c>
      <c r="N21" s="124">
        <f t="shared" si="12"/>
        <v>1014.063326984127</v>
      </c>
      <c r="O21" s="124">
        <f t="shared" si="12"/>
        <v>1014.063326984127</v>
      </c>
      <c r="P21" s="124">
        <f t="shared" si="12"/>
        <v>1014.063326984127</v>
      </c>
      <c r="Q21" s="124">
        <f t="shared" si="12"/>
        <v>1014.063326984127</v>
      </c>
      <c r="R21" s="124">
        <f t="shared" si="12"/>
        <v>1014.063326984127</v>
      </c>
      <c r="S21" s="124">
        <f t="shared" si="12"/>
        <v>1014.063326984127</v>
      </c>
      <c r="T21" s="124">
        <f t="shared" si="12"/>
        <v>1014.063326984127</v>
      </c>
      <c r="U21" s="124">
        <f t="shared" si="12"/>
        <v>1014.063326984127</v>
      </c>
      <c r="V21" s="124">
        <f t="shared" si="12"/>
        <v>1014.063326984127</v>
      </c>
      <c r="W21" s="124">
        <f t="shared" si="12"/>
        <v>1014.063326984127</v>
      </c>
      <c r="X21" s="124">
        <f t="shared" si="12"/>
        <v>1014.063326984127</v>
      </c>
      <c r="Y21" s="124">
        <f t="shared" si="12"/>
        <v>1014.063326984127</v>
      </c>
      <c r="Z21" s="124">
        <f t="shared" si="12"/>
        <v>1082.0900751693123</v>
      </c>
      <c r="AA21" s="124">
        <f t="shared" si="12"/>
        <v>1082.0900751693123</v>
      </c>
      <c r="AB21" s="124">
        <f t="shared" si="12"/>
        <v>1082.0900751693123</v>
      </c>
      <c r="AC21" s="124">
        <f t="shared" si="12"/>
        <v>1082.0900751693123</v>
      </c>
      <c r="AD21" s="124">
        <f t="shared" si="12"/>
        <v>1082.0900751693123</v>
      </c>
      <c r="AE21" s="124">
        <f t="shared" si="12"/>
        <v>1037.0029887039243</v>
      </c>
      <c r="AF21" s="124">
        <f t="shared" si="12"/>
        <v>766.4804699115964</v>
      </c>
      <c r="AG21" s="124">
        <f t="shared" si="12"/>
        <v>495.9579511192685</v>
      </c>
      <c r="AH21" s="124">
        <f t="shared" si="12"/>
        <v>225.4354323269406</v>
      </c>
      <c r="AI21" s="124">
        <f>SUM(AI22:AI23)</f>
        <v>5.968558980384842E-13</v>
      </c>
    </row>
    <row r="22" spans="1:35" ht="12.75">
      <c r="A22" s="128" t="s">
        <v>125</v>
      </c>
      <c r="B22" s="130"/>
      <c r="C22" s="124"/>
      <c r="D22" s="130">
        <f>кр!C12</f>
        <v>0</v>
      </c>
      <c r="E22" s="130">
        <f>кр!D12</f>
        <v>0</v>
      </c>
      <c r="F22" s="130">
        <f>кр!E12</f>
        <v>0</v>
      </c>
      <c r="G22" s="130">
        <f>кр!F12</f>
        <v>0</v>
      </c>
      <c r="H22" s="130">
        <f>кр!G12</f>
        <v>0</v>
      </c>
      <c r="I22" s="130">
        <f>кр!H12</f>
        <v>0</v>
      </c>
      <c r="J22" s="130">
        <f>кр!I12</f>
        <v>0</v>
      </c>
      <c r="K22" s="130">
        <f>кр!J12</f>
        <v>0</v>
      </c>
      <c r="L22" s="130">
        <f>кр!K12</f>
        <v>0</v>
      </c>
      <c r="M22" s="130">
        <f>кр!L12</f>
        <v>507.0316634920635</v>
      </c>
      <c r="N22" s="130">
        <f>кр!M12</f>
        <v>1014.063326984127</v>
      </c>
      <c r="O22" s="130">
        <f>кр!N12</f>
        <v>1014.063326984127</v>
      </c>
      <c r="P22" s="130">
        <f>кр!O12</f>
        <v>1014.063326984127</v>
      </c>
      <c r="Q22" s="130">
        <f>кр!P12</f>
        <v>1014.063326984127</v>
      </c>
      <c r="R22" s="130">
        <f>кр!Q12</f>
        <v>1014.063326984127</v>
      </c>
      <c r="S22" s="130">
        <f>кр!R12</f>
        <v>1014.063326984127</v>
      </c>
      <c r="T22" s="130">
        <f>кр!S12</f>
        <v>1014.063326984127</v>
      </c>
      <c r="U22" s="130">
        <f>кр!T12</f>
        <v>1014.063326984127</v>
      </c>
      <c r="V22" s="130">
        <f>кр!U12</f>
        <v>1014.063326984127</v>
      </c>
      <c r="W22" s="130">
        <f>кр!V12</f>
        <v>1014.063326984127</v>
      </c>
      <c r="X22" s="130">
        <f>кр!W12</f>
        <v>1014.063326984127</v>
      </c>
      <c r="Y22" s="130">
        <f>кр!X12</f>
        <v>1014.063326984127</v>
      </c>
      <c r="Z22" s="130">
        <f>кр!Y12</f>
        <v>1082.0900751693123</v>
      </c>
      <c r="AA22" s="130">
        <f>кр!Z12</f>
        <v>1082.0900751693123</v>
      </c>
      <c r="AB22" s="130">
        <f>кр!AA12</f>
        <v>1082.0900751693123</v>
      </c>
      <c r="AC22" s="130">
        <f>кр!AB12</f>
        <v>1082.0900751693123</v>
      </c>
      <c r="AD22" s="130">
        <f>кр!AO12</f>
        <v>1082.0900751693123</v>
      </c>
      <c r="AE22" s="130">
        <f>кр!BB12</f>
        <v>1037.0029887039243</v>
      </c>
      <c r="AF22" s="130">
        <f>кр!BO12</f>
        <v>766.4804699115964</v>
      </c>
      <c r="AG22" s="130">
        <f>кр!CB12</f>
        <v>495.9579511192685</v>
      </c>
      <c r="AH22" s="130">
        <f>кр!CO12</f>
        <v>225.4354323269406</v>
      </c>
      <c r="AI22" s="130">
        <f>кр!DB12</f>
        <v>5.968558980384842E-13</v>
      </c>
    </row>
    <row r="23" spans="1:35" ht="15" customHeight="1" hidden="1">
      <c r="A23" s="128" t="s">
        <v>128</v>
      </c>
      <c r="B23" s="130"/>
      <c r="C23" s="130"/>
      <c r="D23" s="130">
        <f>C23</f>
        <v>0</v>
      </c>
      <c r="E23" s="130">
        <f>D23</f>
        <v>0</v>
      </c>
      <c r="F23" s="130">
        <f aca="true" t="shared" si="13" ref="F23:AI23">E23</f>
        <v>0</v>
      </c>
      <c r="G23" s="130">
        <f t="shared" si="13"/>
        <v>0</v>
      </c>
      <c r="H23" s="130">
        <f t="shared" si="13"/>
        <v>0</v>
      </c>
      <c r="I23" s="130">
        <f t="shared" si="13"/>
        <v>0</v>
      </c>
      <c r="J23" s="130">
        <f t="shared" si="13"/>
        <v>0</v>
      </c>
      <c r="K23" s="130">
        <f t="shared" si="13"/>
        <v>0</v>
      </c>
      <c r="L23" s="130">
        <f t="shared" si="13"/>
        <v>0</v>
      </c>
      <c r="M23" s="130">
        <f t="shared" si="13"/>
        <v>0</v>
      </c>
      <c r="N23" s="130">
        <f t="shared" si="13"/>
        <v>0</v>
      </c>
      <c r="O23" s="130">
        <f t="shared" si="13"/>
        <v>0</v>
      </c>
      <c r="P23" s="130">
        <f t="shared" si="13"/>
        <v>0</v>
      </c>
      <c r="Q23" s="130">
        <f t="shared" si="13"/>
        <v>0</v>
      </c>
      <c r="R23" s="130">
        <f t="shared" si="13"/>
        <v>0</v>
      </c>
      <c r="S23" s="130">
        <f t="shared" si="13"/>
        <v>0</v>
      </c>
      <c r="T23" s="130">
        <f t="shared" si="13"/>
        <v>0</v>
      </c>
      <c r="U23" s="130">
        <f t="shared" si="13"/>
        <v>0</v>
      </c>
      <c r="V23" s="130">
        <f t="shared" si="13"/>
        <v>0</v>
      </c>
      <c r="W23" s="130">
        <f t="shared" si="13"/>
        <v>0</v>
      </c>
      <c r="X23" s="130">
        <f t="shared" si="13"/>
        <v>0</v>
      </c>
      <c r="Y23" s="130">
        <f t="shared" si="13"/>
        <v>0</v>
      </c>
      <c r="Z23" s="130">
        <f t="shared" si="13"/>
        <v>0</v>
      </c>
      <c r="AA23" s="130">
        <f t="shared" si="13"/>
        <v>0</v>
      </c>
      <c r="AB23" s="130">
        <f t="shared" si="13"/>
        <v>0</v>
      </c>
      <c r="AC23" s="124">
        <f>AB23</f>
        <v>0</v>
      </c>
      <c r="AD23" s="130">
        <f t="shared" si="13"/>
        <v>0</v>
      </c>
      <c r="AE23" s="130">
        <f t="shared" si="13"/>
        <v>0</v>
      </c>
      <c r="AF23" s="130">
        <f t="shared" si="13"/>
        <v>0</v>
      </c>
      <c r="AG23" s="130">
        <f t="shared" si="13"/>
        <v>0</v>
      </c>
      <c r="AH23" s="130">
        <f t="shared" si="13"/>
        <v>0</v>
      </c>
      <c r="AI23" s="130">
        <f t="shared" si="13"/>
        <v>0</v>
      </c>
    </row>
    <row r="24" spans="1:35" s="127" customFormat="1" ht="15" customHeight="1">
      <c r="A24" s="123" t="s">
        <v>129</v>
      </c>
      <c r="B24" s="124"/>
      <c r="C24" s="124">
        <f aca="true" t="shared" si="14" ref="C24:AH24">SUM(C25:C26)</f>
        <v>0</v>
      </c>
      <c r="D24" s="124">
        <f t="shared" si="14"/>
        <v>0</v>
      </c>
      <c r="E24" s="124">
        <f t="shared" si="14"/>
        <v>0</v>
      </c>
      <c r="F24" s="124">
        <f t="shared" si="14"/>
        <v>0</v>
      </c>
      <c r="G24" s="124">
        <f t="shared" si="14"/>
        <v>0</v>
      </c>
      <c r="H24" s="124">
        <f t="shared" si="14"/>
        <v>0</v>
      </c>
      <c r="I24" s="124">
        <f t="shared" si="14"/>
        <v>0</v>
      </c>
      <c r="J24" s="124">
        <f t="shared" si="14"/>
        <v>0</v>
      </c>
      <c r="K24" s="124">
        <f t="shared" si="14"/>
        <v>0</v>
      </c>
      <c r="L24" s="124">
        <f t="shared" si="14"/>
        <v>0</v>
      </c>
      <c r="M24" s="124">
        <f t="shared" si="14"/>
        <v>0</v>
      </c>
      <c r="N24" s="124">
        <f t="shared" si="14"/>
        <v>-2.957684703703704</v>
      </c>
      <c r="O24" s="124">
        <f t="shared" si="14"/>
        <v>-8.873054111111113</v>
      </c>
      <c r="P24" s="124">
        <f t="shared" si="14"/>
        <v>-8.873054111111113</v>
      </c>
      <c r="Q24" s="124">
        <f t="shared" si="14"/>
        <v>-14.78842351851852</v>
      </c>
      <c r="R24" s="124">
        <f t="shared" si="14"/>
        <v>-20.703792925925928</v>
      </c>
      <c r="S24" s="124">
        <f t="shared" si="14"/>
        <v>69.03511066666667</v>
      </c>
      <c r="T24" s="124">
        <f t="shared" si="14"/>
        <v>63.119741259259285</v>
      </c>
      <c r="U24" s="124">
        <f t="shared" si="14"/>
        <v>86.50366664585192</v>
      </c>
      <c r="V24" s="124">
        <f t="shared" si="14"/>
        <v>109.88759203244456</v>
      </c>
      <c r="W24" s="124">
        <f t="shared" si="14"/>
        <v>133.2715174190372</v>
      </c>
      <c r="X24" s="124">
        <f t="shared" si="14"/>
        <v>127.35614801162978</v>
      </c>
      <c r="Y24" s="124">
        <f t="shared" si="14"/>
        <v>121.44077860422249</v>
      </c>
      <c r="Z24" s="124">
        <f t="shared" si="14"/>
        <v>240.478976990815</v>
      </c>
      <c r="AA24" s="124">
        <f t="shared" si="14"/>
        <v>240.478976990815</v>
      </c>
      <c r="AB24" s="124">
        <f t="shared" si="14"/>
        <v>240.478976990815</v>
      </c>
      <c r="AC24" s="124">
        <f t="shared" si="14"/>
        <v>240.478976990815</v>
      </c>
      <c r="AD24" s="124">
        <f t="shared" si="14"/>
        <v>548.9847021668152</v>
      </c>
      <c r="AE24" s="124">
        <f t="shared" si="14"/>
        <v>1527.5212524782332</v>
      </c>
      <c r="AF24" s="124">
        <f t="shared" si="14"/>
        <v>2517.761658984625</v>
      </c>
      <c r="AG24" s="124">
        <f t="shared" si="14"/>
        <v>3526.9386418064796</v>
      </c>
      <c r="AH24" s="124">
        <f t="shared" si="14"/>
        <v>4555.052200943797</v>
      </c>
      <c r="AI24" s="124">
        <f>SUM(AI25:AI26)</f>
        <v>5601.970832394387</v>
      </c>
    </row>
    <row r="25" spans="1:35" ht="15" customHeight="1">
      <c r="A25" s="128" t="s">
        <v>130</v>
      </c>
      <c r="B25" s="124"/>
      <c r="C25" s="130"/>
      <c r="D25" s="130">
        <f>C25+'1-Ф3'!D28</f>
        <v>0</v>
      </c>
      <c r="E25" s="130">
        <f>D25+'1-Ф3'!E28</f>
        <v>0</v>
      </c>
      <c r="F25" s="130">
        <f>E25+'1-Ф3'!F28</f>
        <v>0</v>
      </c>
      <c r="G25" s="130">
        <f>F25+'1-Ф3'!G28</f>
        <v>0</v>
      </c>
      <c r="H25" s="130">
        <f>G25+'1-Ф3'!H28</f>
        <v>0</v>
      </c>
      <c r="I25" s="130">
        <f>H25+'1-Ф3'!I28</f>
        <v>0</v>
      </c>
      <c r="J25" s="130">
        <f>I25+'1-Ф3'!J28</f>
        <v>0</v>
      </c>
      <c r="K25" s="130">
        <f>J25+'1-Ф3'!K28</f>
        <v>0</v>
      </c>
      <c r="L25" s="130">
        <f>K25+'1-Ф3'!L28</f>
        <v>0</v>
      </c>
      <c r="M25" s="130">
        <f>L25+'1-Ф3'!M28</f>
        <v>0</v>
      </c>
      <c r="N25" s="130">
        <f>M25+'1-Ф3'!N28</f>
        <v>0</v>
      </c>
      <c r="O25" s="130">
        <f>N25+'1-Ф3'!O28</f>
        <v>0</v>
      </c>
      <c r="P25" s="130">
        <f>O25</f>
        <v>0</v>
      </c>
      <c r="Q25" s="130">
        <f>P25+'1-Ф3'!Q28</f>
        <v>0</v>
      </c>
      <c r="R25" s="130">
        <f>Q25+'1-Ф3'!R28</f>
        <v>0</v>
      </c>
      <c r="S25" s="130">
        <f>R25+'1-Ф3'!S28</f>
        <v>228.72879800000004</v>
      </c>
      <c r="T25" s="130">
        <f>S25+'1-Ф3'!T28</f>
        <v>361.8033230000001</v>
      </c>
      <c r="U25" s="130">
        <f>T25+'1-Ф3'!U28</f>
        <v>524.1771427940001</v>
      </c>
      <c r="V25" s="130">
        <f>U25+'1-Ф3'!V28</f>
        <v>686.5509625880002</v>
      </c>
      <c r="W25" s="130">
        <f>V25+'1-Ф3'!W28</f>
        <v>848.9247823820002</v>
      </c>
      <c r="X25" s="130">
        <f>W25+'1-Ф3'!X28</f>
        <v>981.9993073820002</v>
      </c>
      <c r="Y25" s="130">
        <f>X25+'1-Ф3'!Y28</f>
        <v>1115.0738323820003</v>
      </c>
      <c r="Z25" s="130">
        <f>Y25+'1-Ф3'!Z28</f>
        <v>1373.1019251760003</v>
      </c>
      <c r="AA25" s="130">
        <f>Z25+'1-Ф3'!AA28</f>
        <v>1379.4141172811546</v>
      </c>
      <c r="AB25" s="130">
        <f>AA25+'1-Ф3'!AB28</f>
        <v>1385.726309386309</v>
      </c>
      <c r="AC25" s="130">
        <f>AB25</f>
        <v>1385.726309386309</v>
      </c>
      <c r="AD25" s="130">
        <f>AC25+'1-Ф3'!AD28</f>
        <v>2834.574539824161</v>
      </c>
      <c r="AE25" s="130">
        <f>AD25+'1-Ф3'!AE28</f>
        <v>2834.574539824161</v>
      </c>
      <c r="AF25" s="130">
        <f>AE25+'1-Ф3'!AF28</f>
        <v>2834.574539824161</v>
      </c>
      <c r="AG25" s="130">
        <f>AF25+'1-Ф3'!AG28</f>
        <v>2834.574539824161</v>
      </c>
      <c r="AH25" s="130">
        <f>AG25+'1-Ф3'!AH28</f>
        <v>2834.574539824161</v>
      </c>
      <c r="AI25" s="130">
        <f>AH25+'1-Ф3'!AI28</f>
        <v>2834.574539824161</v>
      </c>
    </row>
    <row r="26" spans="1:35" ht="15" customHeight="1">
      <c r="A26" s="128" t="s">
        <v>131</v>
      </c>
      <c r="B26" s="124"/>
      <c r="C26" s="130"/>
      <c r="D26" s="130">
        <f>'2-ф2'!D17</f>
        <v>0</v>
      </c>
      <c r="E26" s="130">
        <f>'2-ф2'!E17</f>
        <v>0</v>
      </c>
      <c r="F26" s="130">
        <f>'2-ф2'!F17</f>
        <v>0</v>
      </c>
      <c r="G26" s="130">
        <f>'2-ф2'!G17</f>
        <v>0</v>
      </c>
      <c r="H26" s="130">
        <f>'2-ф2'!H17</f>
        <v>0</v>
      </c>
      <c r="I26" s="130">
        <f>'2-ф2'!I17</f>
        <v>0</v>
      </c>
      <c r="J26" s="130">
        <f>'2-ф2'!J17</f>
        <v>0</v>
      </c>
      <c r="K26" s="130">
        <f>'2-ф2'!K17</f>
        <v>0</v>
      </c>
      <c r="L26" s="130">
        <f>'2-ф2'!L17</f>
        <v>0</v>
      </c>
      <c r="M26" s="130">
        <f>'2-ф2'!M17</f>
        <v>0</v>
      </c>
      <c r="N26" s="130">
        <f>'2-ф2'!N17</f>
        <v>-2.957684703703704</v>
      </c>
      <c r="O26" s="130">
        <f>'2-ф2'!O17</f>
        <v>-8.873054111111113</v>
      </c>
      <c r="P26" s="130">
        <f>'2-ф2'!P17</f>
        <v>-8.873054111111113</v>
      </c>
      <c r="Q26" s="130">
        <f>'2-ф2'!Q17</f>
        <v>-14.78842351851852</v>
      </c>
      <c r="R26" s="130">
        <f>'2-ф2'!R17</f>
        <v>-20.703792925925928</v>
      </c>
      <c r="S26" s="130">
        <f>'2-ф2'!S17</f>
        <v>-159.69368733333337</v>
      </c>
      <c r="T26" s="130">
        <f>'2-ф2'!T17</f>
        <v>-298.6835817407408</v>
      </c>
      <c r="U26" s="130">
        <f>'2-ф2'!U17</f>
        <v>-437.6734761481482</v>
      </c>
      <c r="V26" s="130">
        <f>'2-ф2'!V17</f>
        <v>-576.6633705555556</v>
      </c>
      <c r="W26" s="130">
        <f>'2-ф2'!W17</f>
        <v>-715.653264962963</v>
      </c>
      <c r="X26" s="130">
        <f>'2-ф2'!X17</f>
        <v>-854.6431593703704</v>
      </c>
      <c r="Y26" s="130">
        <f>'2-ф2'!Y17</f>
        <v>-993.6330537777778</v>
      </c>
      <c r="Z26" s="130">
        <f>'2-ф2'!Z17</f>
        <v>-1132.6229481851854</v>
      </c>
      <c r="AA26" s="130">
        <f>'2-ф2'!AA17</f>
        <v>-1138.9351402903396</v>
      </c>
      <c r="AB26" s="130">
        <f>'2-ф2'!AB17</f>
        <v>-1145.247332395494</v>
      </c>
      <c r="AC26" s="130">
        <f>'2-ф2'!AC17</f>
        <v>-1145.247332395494</v>
      </c>
      <c r="AD26" s="130">
        <f>'2-ф2'!AD17</f>
        <v>-2285.589837657346</v>
      </c>
      <c r="AE26" s="130">
        <f>'2-ф2'!AE17</f>
        <v>-1307.0532873459279</v>
      </c>
      <c r="AF26" s="130">
        <f>'2-ф2'!AF17</f>
        <v>-316.8128808395362</v>
      </c>
      <c r="AG26" s="130">
        <f>'2-ф2'!AG17</f>
        <v>692.3641019823183</v>
      </c>
      <c r="AH26" s="130">
        <f>'2-ф2'!AH17</f>
        <v>1720.477661119636</v>
      </c>
      <c r="AI26" s="130">
        <f>'2-ф2'!AI17</f>
        <v>2767.3962925702253</v>
      </c>
    </row>
    <row r="28" spans="1:35" ht="12.75">
      <c r="A28" s="133" t="s">
        <v>132</v>
      </c>
      <c r="B28" s="134"/>
      <c r="C28" s="135">
        <f aca="true" t="shared" si="15" ref="C28:AH28">C5-C16</f>
        <v>0</v>
      </c>
      <c r="D28" s="136">
        <f t="shared" si="15"/>
        <v>0</v>
      </c>
      <c r="E28" s="136">
        <f t="shared" si="15"/>
        <v>0</v>
      </c>
      <c r="F28" s="136">
        <f t="shared" si="15"/>
        <v>0</v>
      </c>
      <c r="G28" s="136">
        <f t="shared" si="15"/>
        <v>0</v>
      </c>
      <c r="H28" s="136">
        <f t="shared" si="15"/>
        <v>0</v>
      </c>
      <c r="I28" s="136">
        <f t="shared" si="15"/>
        <v>0</v>
      </c>
      <c r="J28" s="136">
        <f t="shared" si="15"/>
        <v>0</v>
      </c>
      <c r="K28" s="136">
        <f t="shared" si="15"/>
        <v>0</v>
      </c>
      <c r="L28" s="136">
        <f t="shared" si="15"/>
        <v>0</v>
      </c>
      <c r="M28" s="136">
        <f t="shared" si="15"/>
        <v>0</v>
      </c>
      <c r="N28" s="136">
        <f t="shared" si="15"/>
        <v>0</v>
      </c>
      <c r="O28" s="136">
        <f t="shared" si="15"/>
        <v>0</v>
      </c>
      <c r="P28" s="136">
        <f>P5-P16</f>
        <v>0</v>
      </c>
      <c r="Q28" s="136">
        <f t="shared" si="15"/>
        <v>0</v>
      </c>
      <c r="R28" s="136">
        <f t="shared" si="15"/>
        <v>0</v>
      </c>
      <c r="S28" s="136">
        <f t="shared" si="15"/>
        <v>0</v>
      </c>
      <c r="T28" s="136">
        <f t="shared" si="15"/>
        <v>0</v>
      </c>
      <c r="U28" s="136">
        <f t="shared" si="15"/>
        <v>0</v>
      </c>
      <c r="V28" s="136">
        <f t="shared" si="15"/>
        <v>0</v>
      </c>
      <c r="W28" s="136">
        <f t="shared" si="15"/>
        <v>0</v>
      </c>
      <c r="X28" s="136">
        <f t="shared" si="15"/>
        <v>0</v>
      </c>
      <c r="Y28" s="136">
        <f t="shared" si="15"/>
        <v>0</v>
      </c>
      <c r="Z28" s="136">
        <f t="shared" si="15"/>
        <v>0</v>
      </c>
      <c r="AA28" s="136">
        <f t="shared" si="15"/>
        <v>0</v>
      </c>
      <c r="AB28" s="136">
        <f t="shared" si="15"/>
        <v>0</v>
      </c>
      <c r="AC28" s="136">
        <f t="shared" si="15"/>
        <v>0</v>
      </c>
      <c r="AD28" s="136">
        <f t="shared" si="15"/>
        <v>0</v>
      </c>
      <c r="AE28" s="136">
        <f t="shared" si="15"/>
        <v>0</v>
      </c>
      <c r="AF28" s="136">
        <f t="shared" si="15"/>
        <v>0</v>
      </c>
      <c r="AG28" s="136">
        <f t="shared" si="15"/>
        <v>0</v>
      </c>
      <c r="AH28" s="136">
        <f t="shared" si="15"/>
        <v>0</v>
      </c>
      <c r="AI28" s="136">
        <f>AI5-AI16</f>
        <v>0</v>
      </c>
    </row>
    <row r="29" ht="12.75" hidden="1"/>
    <row r="30" spans="1:35" ht="12.75" hidden="1">
      <c r="A30" s="116" t="s">
        <v>131</v>
      </c>
      <c r="P30" s="117">
        <f>P26</f>
        <v>-8.873054111111113</v>
      </c>
      <c r="Q30" s="117">
        <f>'[45]ф2'!Q32</f>
        <v>109.48954266069855</v>
      </c>
      <c r="R30" s="117">
        <f>'[45]ф2'!R32</f>
        <v>109.48954266069855</v>
      </c>
      <c r="S30" s="117">
        <f>'[45]ф2'!S32</f>
        <v>108.45296951069854</v>
      </c>
      <c r="T30" s="117">
        <f>'[45]ф2'!T32</f>
        <v>106.37982321069852</v>
      </c>
      <c r="U30" s="117">
        <f>'[45]ф2'!U32</f>
        <v>103.27010376069849</v>
      </c>
      <c r="V30" s="117">
        <f>'[45]ф2'!V32</f>
        <v>103.27010376069849</v>
      </c>
      <c r="W30" s="117">
        <f>'[45]ф2'!W32</f>
        <v>103.27010376069849</v>
      </c>
      <c r="X30" s="117">
        <f>'[45]ф2'!X32</f>
        <v>99.20125340855881</v>
      </c>
      <c r="Y30" s="117">
        <f>'[45]ф2'!Y32</f>
        <v>99.20125340855881</v>
      </c>
      <c r="Z30" s="117">
        <f>'[45]ф2'!Z32</f>
        <v>99.20125340855881</v>
      </c>
      <c r="AA30" s="117">
        <f>'[45]ф2'!AA32</f>
        <v>99.20125340855881</v>
      </c>
      <c r="AB30" s="117">
        <f>'[45]ф2'!AB32</f>
        <v>82.61608300855879</v>
      </c>
      <c r="AC30" s="117">
        <f>AC26-P26</f>
        <v>-1136.3742782843829</v>
      </c>
      <c r="AD30" s="117">
        <f aca="true" t="shared" si="16" ref="AD30:AI30">AD26-AC26</f>
        <v>-1140.342505261852</v>
      </c>
      <c r="AE30" s="117">
        <f t="shared" si="16"/>
        <v>978.5365503114181</v>
      </c>
      <c r="AF30" s="117">
        <f t="shared" si="16"/>
        <v>990.2404065063917</v>
      </c>
      <c r="AG30" s="117">
        <f t="shared" si="16"/>
        <v>1009.1769828218545</v>
      </c>
      <c r="AH30" s="117">
        <f t="shared" si="16"/>
        <v>1028.1135591373177</v>
      </c>
      <c r="AI30" s="117">
        <f t="shared" si="16"/>
        <v>1046.9186314505894</v>
      </c>
    </row>
    <row r="31" spans="1:35" ht="12.75" hidden="1">
      <c r="A31" s="116" t="s">
        <v>133</v>
      </c>
      <c r="P31" s="117">
        <f>(P8+P10+P13+P14)-(C8+C10+C13+C14)</f>
        <v>0</v>
      </c>
      <c r="AC31" s="117">
        <f>(AC8+AC10+AC13+AC14)-(P8+P10+P13+P14)</f>
        <v>308.50572517600006</v>
      </c>
      <c r="AD31" s="117">
        <f aca="true" t="shared" si="17" ref="AD31:AI31">(AD8+AD10+AD13+AD14)-(AC8+AC10+AC13+AC14)</f>
        <v>308.50572517600006</v>
      </c>
      <c r="AE31" s="117">
        <f t="shared" si="17"/>
        <v>183.55215738200002</v>
      </c>
      <c r="AF31" s="117">
        <f t="shared" si="17"/>
        <v>183.55215738200002</v>
      </c>
      <c r="AG31" s="117">
        <f t="shared" si="17"/>
        <v>183.5521573819999</v>
      </c>
      <c r="AH31" s="117">
        <f t="shared" si="17"/>
        <v>183.55215738200013</v>
      </c>
      <c r="AI31" s="117">
        <f t="shared" si="17"/>
        <v>183.55215738200013</v>
      </c>
    </row>
    <row r="32" spans="1:35" ht="12.75" hidden="1">
      <c r="A32" s="116" t="s">
        <v>134</v>
      </c>
      <c r="P32" s="117">
        <f>P9-C9</f>
        <v>0</v>
      </c>
      <c r="AC32" s="117">
        <f>AC9-P9</f>
        <v>0</v>
      </c>
      <c r="AD32" s="117">
        <f aca="true" t="shared" si="18" ref="AD32:AI32">AD9-AC9</f>
        <v>0</v>
      </c>
      <c r="AE32" s="117">
        <f t="shared" si="18"/>
        <v>0</v>
      </c>
      <c r="AF32" s="117">
        <f t="shared" si="18"/>
        <v>0</v>
      </c>
      <c r="AG32" s="117">
        <f t="shared" si="18"/>
        <v>0</v>
      </c>
      <c r="AH32" s="117">
        <f t="shared" si="18"/>
        <v>0</v>
      </c>
      <c r="AI32" s="117">
        <f t="shared" si="18"/>
        <v>0</v>
      </c>
    </row>
    <row r="33" spans="1:35" ht="12.75" hidden="1">
      <c r="A33" s="116" t="s">
        <v>135</v>
      </c>
      <c r="P33" s="117">
        <f>(P21+P17)-(C21+C17)</f>
        <v>1022.9363810952381</v>
      </c>
      <c r="AC33" s="117">
        <f>(AC21+AC17)-(P21+P17)</f>
        <v>59.153694074074224</v>
      </c>
      <c r="AD33" s="117">
        <f aca="true" t="shared" si="19" ref="AD33:AI33">(AD21+AD17)-(AC21+AC17)</f>
        <v>0</v>
      </c>
      <c r="AE33" s="117">
        <f t="shared" si="19"/>
        <v>-45.08708646538798</v>
      </c>
      <c r="AF33" s="117">
        <f t="shared" si="19"/>
        <v>-270.5225187923279</v>
      </c>
      <c r="AG33" s="117">
        <f t="shared" si="19"/>
        <v>-270.5225187923279</v>
      </c>
      <c r="AH33" s="117">
        <f t="shared" si="19"/>
        <v>-270.5225187923279</v>
      </c>
      <c r="AI33" s="117">
        <f t="shared" si="19"/>
        <v>-225.43543232694</v>
      </c>
    </row>
    <row r="34" spans="1:35" ht="12.75" hidden="1">
      <c r="A34" s="116" t="s">
        <v>136</v>
      </c>
      <c r="P34" s="117">
        <f>-P31+P32+P33</f>
        <v>1022.9363810952381</v>
      </c>
      <c r="Q34" s="117">
        <f aca="true" t="shared" si="20" ref="Q34:AB34">Q31+Q32+Q33</f>
        <v>0</v>
      </c>
      <c r="R34" s="117">
        <f t="shared" si="20"/>
        <v>0</v>
      </c>
      <c r="S34" s="117">
        <f t="shared" si="20"/>
        <v>0</v>
      </c>
      <c r="T34" s="117">
        <f t="shared" si="20"/>
        <v>0</v>
      </c>
      <c r="U34" s="117">
        <f t="shared" si="20"/>
        <v>0</v>
      </c>
      <c r="V34" s="117">
        <f t="shared" si="20"/>
        <v>0</v>
      </c>
      <c r="W34" s="117">
        <f t="shared" si="20"/>
        <v>0</v>
      </c>
      <c r="X34" s="117">
        <f t="shared" si="20"/>
        <v>0</v>
      </c>
      <c r="Y34" s="117">
        <f t="shared" si="20"/>
        <v>0</v>
      </c>
      <c r="Z34" s="117">
        <f t="shared" si="20"/>
        <v>0</v>
      </c>
      <c r="AA34" s="117">
        <f t="shared" si="20"/>
        <v>0</v>
      </c>
      <c r="AB34" s="117">
        <f t="shared" si="20"/>
        <v>0</v>
      </c>
      <c r="AC34" s="117">
        <f aca="true" t="shared" si="21" ref="AC34:AH34">-AC31+AC32+AC33</f>
        <v>-249.35203110192583</v>
      </c>
      <c r="AD34" s="117">
        <f t="shared" si="21"/>
        <v>-308.50572517600006</v>
      </c>
      <c r="AE34" s="117">
        <f t="shared" si="21"/>
        <v>-228.639243847388</v>
      </c>
      <c r="AF34" s="117">
        <f t="shared" si="21"/>
        <v>-454.0746761743279</v>
      </c>
      <c r="AG34" s="117">
        <f t="shared" si="21"/>
        <v>-454.0746761743278</v>
      </c>
      <c r="AH34" s="117">
        <f t="shared" si="21"/>
        <v>-454.07467617432803</v>
      </c>
      <c r="AI34" s="117">
        <f>-AI31+AI32+AI33</f>
        <v>-408.98758970894016</v>
      </c>
    </row>
    <row r="35" spans="1:35" ht="12.75" hidden="1">
      <c r="A35" s="116" t="s">
        <v>75</v>
      </c>
      <c r="P35" s="117">
        <f>'2-ф2'!P12</f>
        <v>0</v>
      </c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>
        <f>'2-ф2'!AC12</f>
        <v>0</v>
      </c>
      <c r="AD35" s="117">
        <f>'2-ф2'!AD12</f>
        <v>0</v>
      </c>
      <c r="AE35" s="117">
        <f>'2-ф2'!AE12</f>
        <v>79.31030920634922</v>
      </c>
      <c r="AF35" s="117">
        <f>'2-ф2'!AF12</f>
        <v>79.31030920634922</v>
      </c>
      <c r="AG35" s="117">
        <f>'2-ф2'!AG12</f>
        <v>79.31030920634922</v>
      </c>
      <c r="AH35" s="117">
        <f>'2-ф2'!AH12</f>
        <v>79.31030920634922</v>
      </c>
      <c r="AI35" s="117">
        <f>'2-ф2'!AI12</f>
        <v>79.31030920634922</v>
      </c>
    </row>
    <row r="36" spans="1:35" ht="12.75" hidden="1">
      <c r="A36" s="116" t="s">
        <v>137</v>
      </c>
      <c r="P36" s="117">
        <f>-'1-Ф3'!P21</f>
        <v>-1014.063326984127</v>
      </c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>
        <f>-'1-Ф3'!AC21</f>
        <v>0</v>
      </c>
      <c r="AD36" s="117">
        <f>-'1-Ф3'!AD21</f>
        <v>0</v>
      </c>
      <c r="AE36" s="117">
        <f>-'1-Ф3'!AE21</f>
        <v>0</v>
      </c>
      <c r="AF36" s="117">
        <f>-'1-Ф3'!AF21</f>
        <v>0</v>
      </c>
      <c r="AG36" s="117">
        <f>-'1-Ф3'!AG21</f>
        <v>0</v>
      </c>
      <c r="AH36" s="117">
        <f>-'1-Ф3'!AH21</f>
        <v>0</v>
      </c>
      <c r="AI36" s="117">
        <f>-'1-Ф3'!AI21</f>
        <v>0</v>
      </c>
    </row>
    <row r="37" spans="1:35" ht="12.75" hidden="1">
      <c r="A37" s="116" t="s">
        <v>138</v>
      </c>
      <c r="P37" s="117">
        <f>P30+P34+P35+P36+P25</f>
        <v>0</v>
      </c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>
        <f aca="true" t="shared" si="22" ref="AC37:AH37">AC30+AC34+AC35+AC36</f>
        <v>-1385.7263093863087</v>
      </c>
      <c r="AD37" s="117">
        <f t="shared" si="22"/>
        <v>-1448.8482304378522</v>
      </c>
      <c r="AE37" s="117">
        <f t="shared" si="22"/>
        <v>829.2076156703793</v>
      </c>
      <c r="AF37" s="117">
        <f t="shared" si="22"/>
        <v>615.4760395384129</v>
      </c>
      <c r="AG37" s="117">
        <f t="shared" si="22"/>
        <v>634.4126158538759</v>
      </c>
      <c r="AH37" s="117">
        <f t="shared" si="22"/>
        <v>653.3491921693388</v>
      </c>
      <c r="AI37" s="117">
        <f>AI30+AI34+AI35+AI36</f>
        <v>717.2413509479984</v>
      </c>
    </row>
    <row r="38" ht="12.75" hidden="1"/>
    <row r="39" spans="1:35" ht="12.75" hidden="1">
      <c r="A39" s="116" t="s">
        <v>144</v>
      </c>
      <c r="P39" s="117">
        <f>'1-Ф3'!P34</f>
        <v>0</v>
      </c>
      <c r="AC39" s="117">
        <f>'1-Ф3'!AC34</f>
        <v>0</v>
      </c>
      <c r="AD39" s="117">
        <f>'1-Ф3'!AD34</f>
        <v>0</v>
      </c>
      <c r="AE39" s="117">
        <f>'1-Ф3'!AE34</f>
        <v>829.2076156703788</v>
      </c>
      <c r="AF39" s="117">
        <f>'1-Ф3'!AF34</f>
        <v>615.4760395384127</v>
      </c>
      <c r="AG39" s="117">
        <f>'1-Ф3'!AG34</f>
        <v>634.4126158538755</v>
      </c>
      <c r="AH39" s="117">
        <f>'1-Ф3'!AH34</f>
        <v>653.3491921693384</v>
      </c>
      <c r="AI39" s="117">
        <f>'1-Ф3'!AI34</f>
        <v>717.2413509479987</v>
      </c>
    </row>
    <row r="40" spans="1:35" ht="12.75" hidden="1">
      <c r="A40" s="133" t="s">
        <v>132</v>
      </c>
      <c r="B40" s="134"/>
      <c r="C40" s="135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>
        <f>P39-P37</f>
        <v>0</v>
      </c>
      <c r="Q40" s="136">
        <f aca="true" t="shared" si="23" ref="Q40:AB40">Q39-Q37</f>
        <v>0</v>
      </c>
      <c r="R40" s="136">
        <f t="shared" si="23"/>
        <v>0</v>
      </c>
      <c r="S40" s="136">
        <f t="shared" si="23"/>
        <v>0</v>
      </c>
      <c r="T40" s="136">
        <f t="shared" si="23"/>
        <v>0</v>
      </c>
      <c r="U40" s="136">
        <f t="shared" si="23"/>
        <v>0</v>
      </c>
      <c r="V40" s="136">
        <f t="shared" si="23"/>
        <v>0</v>
      </c>
      <c r="W40" s="136">
        <f t="shared" si="23"/>
        <v>0</v>
      </c>
      <c r="X40" s="136">
        <f t="shared" si="23"/>
        <v>0</v>
      </c>
      <c r="Y40" s="136">
        <f t="shared" si="23"/>
        <v>0</v>
      </c>
      <c r="Z40" s="136">
        <f t="shared" si="23"/>
        <v>0</v>
      </c>
      <c r="AA40" s="136">
        <f t="shared" si="23"/>
        <v>0</v>
      </c>
      <c r="AB40" s="136">
        <f t="shared" si="23"/>
        <v>0</v>
      </c>
      <c r="AC40" s="136">
        <f aca="true" t="shared" si="24" ref="AC40:AH40">AC39-AC37</f>
        <v>1385.7263093863087</v>
      </c>
      <c r="AD40" s="136">
        <f t="shared" si="24"/>
        <v>1448.8482304378522</v>
      </c>
      <c r="AE40" s="136">
        <f t="shared" si="24"/>
        <v>0</v>
      </c>
      <c r="AF40" s="136">
        <f t="shared" si="24"/>
        <v>0</v>
      </c>
      <c r="AG40" s="136">
        <f t="shared" si="24"/>
        <v>0</v>
      </c>
      <c r="AH40" s="136">
        <f t="shared" si="24"/>
        <v>0</v>
      </c>
      <c r="AI40" s="136">
        <f>AI39-AI37</f>
        <v>0</v>
      </c>
    </row>
    <row r="41" spans="11:14" ht="12.75">
      <c r="K41" s="229">
        <f>K28-J28</f>
        <v>0</v>
      </c>
      <c r="L41" s="229">
        <f>L28-K28</f>
        <v>0</v>
      </c>
      <c r="M41" s="229">
        <f>M28-L28</f>
        <v>0</v>
      </c>
      <c r="N41" s="229">
        <f>N28-M28</f>
        <v>0</v>
      </c>
    </row>
  </sheetData>
  <sheetProtection/>
  <mergeCells count="4">
    <mergeCell ref="A3:A4"/>
    <mergeCell ref="B3:B4"/>
    <mergeCell ref="D3:P3"/>
    <mergeCell ref="Q3:AC3"/>
  </mergeCells>
  <printOptions/>
  <pageMargins left="0.35433070866141736" right="0.2362204724409449" top="0.7874015748031497" bottom="0.2362204724409449" header="0.3937007874015748" footer="0.15748031496062992"/>
  <pageSetup horizontalDpi="600" verticalDpi="600" orientation="landscape" paperSize="9" r:id="rId1"/>
  <headerFooter alignWithMargins="0">
    <oddHeader>&amp;RПриложение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J63"/>
  <sheetViews>
    <sheetView showGridLines="0" zoomScalePageLayoutView="0" workbookViewId="0" topLeftCell="A1">
      <pane ySplit="3" topLeftCell="A10" activePane="bottomLeft" state="frozen"/>
      <selection pane="topLeft" activeCell="A34" sqref="A34"/>
      <selection pane="bottomLeft" activeCell="G47" sqref="G47"/>
    </sheetView>
  </sheetViews>
  <sheetFormatPr defaultColWidth="9.00390625" defaultRowHeight="12.75"/>
  <cols>
    <col min="1" max="1" width="29.875" style="71" customWidth="1"/>
    <col min="2" max="2" width="18.75390625" style="71" customWidth="1"/>
    <col min="3" max="3" width="20.00390625" style="71" customWidth="1"/>
    <col min="4" max="4" width="19.00390625" style="71" customWidth="1"/>
    <col min="5" max="13" width="9.125" style="71" customWidth="1"/>
    <col min="14" max="14" width="14.375" style="71" customWidth="1"/>
    <col min="15" max="16384" width="9.125" style="71" customWidth="1"/>
  </cols>
  <sheetData>
    <row r="1" spans="1:3" ht="15.75" customHeight="1">
      <c r="A1" s="325" t="s">
        <v>36</v>
      </c>
      <c r="B1" s="325"/>
      <c r="C1" s="325"/>
    </row>
    <row r="2" spans="1:7" ht="12" customHeight="1">
      <c r="A2" s="61"/>
      <c r="G2" s="233">
        <f>'1-Ф3'!B35</f>
        <v>3449.686814180007</v>
      </c>
    </row>
    <row r="3" spans="1:3" ht="12.75">
      <c r="A3" s="72" t="s">
        <v>26</v>
      </c>
      <c r="B3" s="73" t="s">
        <v>37</v>
      </c>
      <c r="C3" s="73" t="s">
        <v>7</v>
      </c>
    </row>
    <row r="4" ht="12.75">
      <c r="A4" s="61" t="s">
        <v>146</v>
      </c>
    </row>
    <row r="5" spans="1:3" ht="12.75">
      <c r="A5" s="74" t="s">
        <v>100</v>
      </c>
      <c r="B5" s="74"/>
      <c r="C5" s="142">
        <v>151.54</v>
      </c>
    </row>
    <row r="6" spans="1:3" ht="12.75">
      <c r="A6" s="74" t="s">
        <v>156</v>
      </c>
      <c r="B6" s="74"/>
      <c r="C6" s="221">
        <v>4.61</v>
      </c>
    </row>
    <row r="7" spans="1:4" ht="12.75">
      <c r="A7" s="74" t="s">
        <v>71</v>
      </c>
      <c r="B7" s="74"/>
      <c r="C7" s="154">
        <f>(20%*C8+C60*(1-C19)*(1-C8))*0+7%</f>
        <v>0.07</v>
      </c>
      <c r="D7" s="71" t="s">
        <v>198</v>
      </c>
    </row>
    <row r="8" spans="1:3" ht="12.75" hidden="1">
      <c r="A8" s="74" t="s">
        <v>195</v>
      </c>
      <c r="B8" s="74"/>
      <c r="C8" s="77">
        <v>0</v>
      </c>
    </row>
    <row r="9" spans="1:3" ht="12.75">
      <c r="A9" s="74" t="s">
        <v>139</v>
      </c>
      <c r="B9" s="74"/>
      <c r="C9" s="78" t="s">
        <v>57</v>
      </c>
    </row>
    <row r="10" ht="12.75">
      <c r="A10" s="61" t="s">
        <v>140</v>
      </c>
    </row>
    <row r="11" spans="1:3" ht="12.75">
      <c r="A11" s="74" t="s">
        <v>45</v>
      </c>
      <c r="B11" s="76" t="s">
        <v>39</v>
      </c>
      <c r="C11" s="77">
        <v>0.1</v>
      </c>
    </row>
    <row r="12" spans="1:3" ht="12.75">
      <c r="A12" s="74" t="s">
        <v>50</v>
      </c>
      <c r="B12" s="76" t="s">
        <v>39</v>
      </c>
      <c r="C12" s="77">
        <v>0.05</v>
      </c>
    </row>
    <row r="13" spans="1:3" ht="12.75">
      <c r="A13" s="74" t="s">
        <v>200</v>
      </c>
      <c r="B13" s="76" t="s">
        <v>39</v>
      </c>
      <c r="C13" s="77">
        <v>0.1</v>
      </c>
    </row>
    <row r="14" spans="1:3" ht="12.75" hidden="1">
      <c r="A14" s="74" t="s">
        <v>48</v>
      </c>
      <c r="B14" s="76" t="s">
        <v>39</v>
      </c>
      <c r="C14" s="77">
        <f>11%*0</f>
        <v>0</v>
      </c>
    </row>
    <row r="15" spans="1:3" ht="12.75">
      <c r="A15" s="74" t="s">
        <v>110</v>
      </c>
      <c r="B15" s="76" t="s">
        <v>57</v>
      </c>
      <c r="C15" s="79">
        <v>18.66</v>
      </c>
    </row>
    <row r="16" spans="1:3" ht="12.75">
      <c r="A16" s="74" t="s">
        <v>1</v>
      </c>
      <c r="B16" s="76"/>
      <c r="C16" s="231">
        <f>1.5%</f>
        <v>0.015</v>
      </c>
    </row>
    <row r="17" spans="1:4" ht="12.75" hidden="1">
      <c r="A17" s="74" t="s">
        <v>38</v>
      </c>
      <c r="B17" s="76" t="s">
        <v>39</v>
      </c>
      <c r="C17" s="77">
        <f>12%*0</f>
        <v>0</v>
      </c>
      <c r="D17" s="71" t="s">
        <v>199</v>
      </c>
    </row>
    <row r="18" spans="1:4" ht="12.75" hidden="1">
      <c r="A18" s="74" t="s">
        <v>58</v>
      </c>
      <c r="B18" s="74"/>
      <c r="C18" s="75">
        <v>1</v>
      </c>
      <c r="D18" s="71" t="s">
        <v>199</v>
      </c>
    </row>
    <row r="19" spans="1:4" ht="12.75">
      <c r="A19" s="74" t="s">
        <v>225</v>
      </c>
      <c r="B19" s="76" t="s">
        <v>39</v>
      </c>
      <c r="C19" s="77">
        <v>0.03</v>
      </c>
      <c r="D19" s="71" t="s">
        <v>224</v>
      </c>
    </row>
    <row r="21" spans="1:10" ht="12.75">
      <c r="A21" s="61" t="s">
        <v>226</v>
      </c>
      <c r="C21" s="144"/>
      <c r="D21" s="144"/>
      <c r="E21" s="144"/>
      <c r="F21" s="144"/>
      <c r="G21" s="144"/>
      <c r="H21" s="144"/>
      <c r="I21" s="144"/>
      <c r="J21" s="144"/>
    </row>
    <row r="22" spans="1:10" ht="12.75">
      <c r="A22" s="74" t="s">
        <v>279</v>
      </c>
      <c r="B22" s="76" t="s">
        <v>227</v>
      </c>
      <c r="C22" s="142">
        <v>6000</v>
      </c>
      <c r="D22" s="201">
        <f>C22/10000</f>
        <v>0.6</v>
      </c>
      <c r="E22" s="144" t="s">
        <v>284</v>
      </c>
      <c r="F22" s="144"/>
      <c r="G22" s="144"/>
      <c r="H22" s="144"/>
      <c r="I22" s="144"/>
      <c r="J22" s="144"/>
    </row>
    <row r="23" spans="1:10" ht="12.75">
      <c r="A23" s="74" t="s">
        <v>293</v>
      </c>
      <c r="B23" s="76" t="s">
        <v>288</v>
      </c>
      <c r="C23" s="142">
        <v>3</v>
      </c>
      <c r="E23" s="144"/>
      <c r="F23" s="201"/>
      <c r="G23" s="144"/>
      <c r="H23" s="144"/>
      <c r="I23" s="144"/>
      <c r="J23" s="144"/>
    </row>
    <row r="24" spans="1:10" ht="12.75">
      <c r="A24" s="74" t="s">
        <v>280</v>
      </c>
      <c r="B24" s="76" t="s">
        <v>283</v>
      </c>
      <c r="C24" s="142">
        <v>7</v>
      </c>
      <c r="E24" s="144"/>
      <c r="F24" s="296" t="s">
        <v>281</v>
      </c>
      <c r="G24" s="144"/>
      <c r="H24" s="144"/>
      <c r="I24" s="144"/>
      <c r="J24" s="144"/>
    </row>
    <row r="25" spans="1:10" ht="12.75">
      <c r="A25" s="74" t="s">
        <v>282</v>
      </c>
      <c r="B25" s="76" t="s">
        <v>228</v>
      </c>
      <c r="C25" s="143">
        <f>C22/C24</f>
        <v>857.1428571428571</v>
      </c>
      <c r="D25" s="144"/>
      <c r="E25" s="144"/>
      <c r="F25" s="144"/>
      <c r="G25" s="144"/>
      <c r="H25" s="144"/>
      <c r="I25" s="144"/>
      <c r="J25" s="144"/>
    </row>
    <row r="26" spans="1:10" ht="12.75">
      <c r="A26" s="298" t="s">
        <v>304</v>
      </c>
      <c r="B26" s="299" t="s">
        <v>228</v>
      </c>
      <c r="C26" s="300">
        <f>$C$25*D26</f>
        <v>599.9999999999999</v>
      </c>
      <c r="D26" s="292">
        <v>0.7</v>
      </c>
      <c r="E26" s="144"/>
      <c r="F26" s="144"/>
      <c r="G26" s="144"/>
      <c r="H26" s="144"/>
      <c r="I26" s="144"/>
      <c r="J26" s="144"/>
    </row>
    <row r="27" spans="1:10" ht="12.75">
      <c r="A27" s="298" t="s">
        <v>305</v>
      </c>
      <c r="B27" s="299" t="s">
        <v>228</v>
      </c>
      <c r="C27" s="300">
        <f>$C$25*D27</f>
        <v>257.1428571428571</v>
      </c>
      <c r="D27" s="292">
        <v>0.3</v>
      </c>
      <c r="E27" s="144"/>
      <c r="F27" s="144"/>
      <c r="G27" s="144"/>
      <c r="H27" s="144"/>
      <c r="I27" s="144"/>
      <c r="J27" s="144"/>
    </row>
    <row r="28" ht="12.75">
      <c r="A28" s="61" t="s">
        <v>205</v>
      </c>
    </row>
    <row r="29" spans="1:6" ht="12.75">
      <c r="A29" s="161" t="s">
        <v>275</v>
      </c>
      <c r="B29" s="76" t="s">
        <v>277</v>
      </c>
      <c r="C29" s="142">
        <v>22</v>
      </c>
      <c r="F29" s="218" t="s">
        <v>278</v>
      </c>
    </row>
    <row r="30" spans="1:3" ht="12.75">
      <c r="A30" s="161" t="s">
        <v>276</v>
      </c>
      <c r="B30" s="76" t="s">
        <v>277</v>
      </c>
      <c r="C30" s="142">
        <v>22</v>
      </c>
    </row>
    <row r="31" ht="12.75">
      <c r="A31" s="61" t="s">
        <v>206</v>
      </c>
    </row>
    <row r="32" spans="1:3" ht="12.75">
      <c r="A32" s="161" t="str">
        <f>A29</f>
        <v>Столовый виноград</v>
      </c>
      <c r="B32" s="76" t="s">
        <v>303</v>
      </c>
      <c r="C32" s="142">
        <v>130</v>
      </c>
    </row>
    <row r="33" spans="1:3" ht="12.75">
      <c r="A33" s="161" t="str">
        <f>A30</f>
        <v>Винный виноград</v>
      </c>
      <c r="B33" s="76" t="s">
        <v>303</v>
      </c>
      <c r="C33" s="142">
        <v>120</v>
      </c>
    </row>
    <row r="34" spans="1:6" ht="12.75">
      <c r="A34" s="161" t="s">
        <v>300</v>
      </c>
      <c r="B34" s="76" t="s">
        <v>230</v>
      </c>
      <c r="C34" s="216">
        <v>800</v>
      </c>
      <c r="F34" s="218" t="s">
        <v>302</v>
      </c>
    </row>
    <row r="35" spans="1:3" ht="12.75">
      <c r="A35" s="161" t="s">
        <v>301</v>
      </c>
      <c r="B35" s="76" t="s">
        <v>230</v>
      </c>
      <c r="C35" s="216">
        <v>900</v>
      </c>
    </row>
    <row r="36" spans="1:6" ht="25.5">
      <c r="A36" s="161" t="s">
        <v>286</v>
      </c>
      <c r="B36" s="76" t="s">
        <v>287</v>
      </c>
      <c r="C36" s="142">
        <f>3800*1.1*$C$6</f>
        <v>19269.800000000003</v>
      </c>
      <c r="F36" s="218" t="s">
        <v>285</v>
      </c>
    </row>
    <row r="37" spans="1:6" ht="12.75">
      <c r="A37" s="74" t="s">
        <v>297</v>
      </c>
      <c r="B37" s="76" t="s">
        <v>230</v>
      </c>
      <c r="C37" s="142">
        <v>2500</v>
      </c>
      <c r="F37" s="218" t="s">
        <v>298</v>
      </c>
    </row>
    <row r="38" spans="1:6" ht="12.75">
      <c r="A38" s="161" t="s">
        <v>238</v>
      </c>
      <c r="B38" s="76" t="s">
        <v>240</v>
      </c>
      <c r="C38" s="142">
        <f>41*1.1*$C$6</f>
        <v>207.91100000000003</v>
      </c>
      <c r="F38" s="218" t="s">
        <v>242</v>
      </c>
    </row>
    <row r="39" spans="1:6" ht="12.75">
      <c r="A39" s="74" t="s">
        <v>306</v>
      </c>
      <c r="B39" s="76" t="s">
        <v>240</v>
      </c>
      <c r="C39" s="142">
        <f>27.6*1.1*$C$6</f>
        <v>139.95960000000002</v>
      </c>
      <c r="F39" s="218" t="s">
        <v>307</v>
      </c>
    </row>
    <row r="40" spans="1:6" ht="12.75">
      <c r="A40" s="74" t="s">
        <v>310</v>
      </c>
      <c r="B40" s="76" t="s">
        <v>240</v>
      </c>
      <c r="C40" s="142">
        <f>50/0.9*1.1*$C$6</f>
        <v>281.72222222222223</v>
      </c>
      <c r="F40" s="218" t="s">
        <v>314</v>
      </c>
    </row>
    <row r="41" spans="1:6" ht="12.75">
      <c r="A41" s="74" t="s">
        <v>311</v>
      </c>
      <c r="B41" s="76" t="s">
        <v>240</v>
      </c>
      <c r="C41" s="142">
        <f>48.9*1.1*$C$6</f>
        <v>247.97190000000003</v>
      </c>
      <c r="F41" s="218" t="s">
        <v>313</v>
      </c>
    </row>
    <row r="42" spans="1:6" ht="12.75">
      <c r="A42" s="74" t="s">
        <v>315</v>
      </c>
      <c r="B42" s="76" t="s">
        <v>241</v>
      </c>
      <c r="C42" s="142">
        <f>167.62*1.1*$C$6</f>
        <v>850.0010200000003</v>
      </c>
      <c r="F42" s="218" t="s">
        <v>316</v>
      </c>
    </row>
    <row r="43" spans="1:6" ht="12.75">
      <c r="A43" s="74" t="s">
        <v>319</v>
      </c>
      <c r="B43" s="76" t="s">
        <v>321</v>
      </c>
      <c r="C43" s="142">
        <f>55*1.1*$C$6*50</f>
        <v>13945.250000000002</v>
      </c>
      <c r="F43" s="218" t="s">
        <v>320</v>
      </c>
    </row>
    <row r="44" spans="1:6" ht="12.75">
      <c r="A44" s="74" t="s">
        <v>323</v>
      </c>
      <c r="B44" s="76" t="s">
        <v>321</v>
      </c>
      <c r="C44" s="142">
        <f>4389*1.1*$C$6</f>
        <v>22256.619000000002</v>
      </c>
      <c r="F44" s="218" t="s">
        <v>325</v>
      </c>
    </row>
    <row r="45" spans="1:3" ht="12.75">
      <c r="A45" s="74"/>
      <c r="B45" s="76"/>
      <c r="C45" s="142"/>
    </row>
    <row r="46" ht="12.75">
      <c r="A46" s="61" t="s">
        <v>229</v>
      </c>
    </row>
    <row r="47" spans="1:3" ht="12.75">
      <c r="A47" s="161" t="s">
        <v>295</v>
      </c>
      <c r="B47" s="215" t="s">
        <v>288</v>
      </c>
      <c r="C47" s="297">
        <f>SQRT(C22)/C23*SQRT(C22)</f>
        <v>1999.9999999999998</v>
      </c>
    </row>
    <row r="48" spans="1:4" ht="12.75">
      <c r="A48" s="161" t="s">
        <v>296</v>
      </c>
      <c r="B48" s="215" t="s">
        <v>289</v>
      </c>
      <c r="C48" s="297">
        <v>500</v>
      </c>
      <c r="D48" s="71" t="s">
        <v>290</v>
      </c>
    </row>
    <row r="49" spans="1:3" ht="12.75">
      <c r="A49" s="161" t="s">
        <v>291</v>
      </c>
      <c r="B49" s="215" t="s">
        <v>292</v>
      </c>
      <c r="C49" s="285">
        <f>ROUND(C47/C48,1)</f>
        <v>4</v>
      </c>
    </row>
    <row r="50" spans="1:6" ht="12.75">
      <c r="A50" s="161" t="s">
        <v>294</v>
      </c>
      <c r="B50" s="215" t="s">
        <v>228</v>
      </c>
      <c r="C50" s="256">
        <f>SQRT(C22)/C23*SQRT(C22)/9</f>
        <v>222.2222222222222</v>
      </c>
      <c r="F50" s="218" t="s">
        <v>299</v>
      </c>
    </row>
    <row r="51" spans="1:6" ht="12.75">
      <c r="A51" s="161" t="s">
        <v>238</v>
      </c>
      <c r="B51" s="215" t="s">
        <v>308</v>
      </c>
      <c r="C51" s="297">
        <v>25</v>
      </c>
      <c r="F51" s="218" t="s">
        <v>309</v>
      </c>
    </row>
    <row r="52" spans="1:3" ht="12.75">
      <c r="A52" s="161" t="s">
        <v>306</v>
      </c>
      <c r="B52" s="215" t="s">
        <v>308</v>
      </c>
      <c r="C52" s="297">
        <v>20</v>
      </c>
    </row>
    <row r="53" spans="1:3" ht="12.75">
      <c r="A53" s="161" t="s">
        <v>310</v>
      </c>
      <c r="B53" s="215" t="s">
        <v>308</v>
      </c>
      <c r="C53" s="297">
        <v>15</v>
      </c>
    </row>
    <row r="54" spans="1:6" ht="12.75">
      <c r="A54" s="161" t="s">
        <v>311</v>
      </c>
      <c r="B54" s="215" t="s">
        <v>308</v>
      </c>
      <c r="C54" s="297">
        <v>15</v>
      </c>
      <c r="F54" s="218" t="s">
        <v>312</v>
      </c>
    </row>
    <row r="55" spans="1:6" ht="12.75">
      <c r="A55" s="74" t="s">
        <v>315</v>
      </c>
      <c r="B55" s="215" t="s">
        <v>318</v>
      </c>
      <c r="C55" s="274">
        <f>0.1*2</f>
        <v>0.2</v>
      </c>
      <c r="F55" s="218" t="s">
        <v>317</v>
      </c>
    </row>
    <row r="56" spans="1:6" ht="12.75">
      <c r="A56" s="161" t="s">
        <v>319</v>
      </c>
      <c r="B56" s="215" t="s">
        <v>308</v>
      </c>
      <c r="C56" s="274">
        <v>0.33</v>
      </c>
      <c r="F56" s="218" t="s">
        <v>322</v>
      </c>
    </row>
    <row r="57" spans="1:6" ht="12.75">
      <c r="A57" s="161" t="s">
        <v>323</v>
      </c>
      <c r="B57" s="215" t="s">
        <v>308</v>
      </c>
      <c r="C57" s="301">
        <f>0.5/100</f>
        <v>0.005</v>
      </c>
      <c r="F57" s="218" t="s">
        <v>324</v>
      </c>
    </row>
    <row r="58" spans="1:3" ht="12.75">
      <c r="A58" s="161"/>
      <c r="B58" s="215"/>
      <c r="C58" s="274"/>
    </row>
    <row r="59" ht="12.75">
      <c r="A59" s="61" t="s">
        <v>147</v>
      </c>
    </row>
    <row r="60" spans="1:3" ht="12.75">
      <c r="A60" s="74" t="s">
        <v>55</v>
      </c>
      <c r="B60" s="76" t="s">
        <v>39</v>
      </c>
      <c r="C60" s="77">
        <v>0.07</v>
      </c>
    </row>
    <row r="61" spans="1:3" ht="12.75">
      <c r="A61" s="74" t="s">
        <v>148</v>
      </c>
      <c r="B61" s="76" t="s">
        <v>149</v>
      </c>
      <c r="C61" s="142">
        <v>7</v>
      </c>
    </row>
    <row r="62" spans="1:3" ht="12.75">
      <c r="A62" s="74" t="s">
        <v>150</v>
      </c>
      <c r="B62" s="76" t="s">
        <v>152</v>
      </c>
      <c r="C62" s="142">
        <v>36</v>
      </c>
    </row>
    <row r="63" spans="1:3" ht="12.75">
      <c r="A63" s="74" t="s">
        <v>151</v>
      </c>
      <c r="B63" s="76" t="s">
        <v>152</v>
      </c>
      <c r="C63" s="142">
        <v>12</v>
      </c>
    </row>
  </sheetData>
  <sheetProtection/>
  <mergeCells count="1">
    <mergeCell ref="A1:C1"/>
  </mergeCells>
  <hyperlinks>
    <hyperlink ref="F29" r:id="rId1" display="http://weerkust.ru/archives/1087"/>
    <hyperlink ref="F24" r:id="rId2" display="http://semyaidom.ru/kak-vyirastit-vinograd/"/>
    <hyperlink ref="F36" r:id="rId3" display="http://tiu.ru/p17330502-plastikovaya-setka-shpalera.html"/>
    <hyperlink ref="F37" r:id="rId4" display="http://almaty.satu.kz/p408291-shpalery-sadovye-dlya.html"/>
    <hyperlink ref="F50" r:id="rId5" display="http://vinogradna.ru/osnovnye-materialy-dlya-ustrojstva-shpalery.html"/>
    <hyperlink ref="F34" r:id="rId6" display="http://uralsk.i-r.kz/offer-i-id-i-45966-i-sazhentsy-vinograda-kazahstan.html"/>
    <hyperlink ref="F38" r:id="rId7" display="http://domisad-spb.ru/list/Udobrenija-stimuljatory-rosta/ammiachnaja-selitra-1kg-chudovo.html"/>
    <hyperlink ref="F39" r:id="rId8" display="http://www.agroru.com/doska/dvojnoj-superfosfat-27407.htm"/>
    <hyperlink ref="F51" r:id="rId9" display="http://vinodelie-online.ru/udobrenie-vinogradnika/"/>
    <hyperlink ref="F41" r:id="rId10" display="http://www.rutrav.ru/mineralnie-udobreniya/kaliienie-udobreniya/kalimagneziya"/>
    <hyperlink ref="F54" r:id="rId11" display="http://gardenstar.ru/enciklopediya/udobreniya/kalimagneziya.html"/>
    <hyperlink ref="F40" r:id="rId12" display="http://www.mir-gazonov.ru/catalogue/manures/bhz/kalii_sernokislyi_ochischennyi_sulfat_kaliya-1.html"/>
    <hyperlink ref="F42" r:id="rId13" display="http://www.planta-company.ru/katalog/internet-magazin/gerbicidy/fozat-vr-360g-l-glifosata"/>
    <hyperlink ref="F55" r:id="rId14" display="http://www.agrotek-group.ru/herbicides/22-herbicides/148-fozat"/>
    <hyperlink ref="F43" r:id="rId15" display="http://www.udobrenianata.ru/index.php?page=shop.product_details&amp;flypage=flypage.tpl&amp;product_id=327&amp;category_id=7&amp;option=com_virtuemart&amp;Itemid=1"/>
    <hyperlink ref="F56" r:id="rId16" display="http://www.vecherniyorenburg.ru/cat807/show15204/"/>
    <hyperlink ref="F57" r:id="rId17" display="http://zasoby.com.ua/plant/decis-ru.html"/>
    <hyperlink ref="F44" r:id="rId18" display="http://www.agroserver.ru/b/detsis-profi-vodno-dispergiruemye-granuly-soderzhashhie-250-g-kg-227965.htm"/>
  </hyperlinks>
  <printOptions/>
  <pageMargins left="0.3" right="0.25" top="0.43" bottom="0.54" header="0.21" footer="0.24"/>
  <pageSetup horizontalDpi="600" verticalDpi="600" orientation="landscape" paperSize="9" r:id="rId1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G9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6" sqref="H16"/>
    </sheetView>
  </sheetViews>
  <sheetFormatPr defaultColWidth="8.875" defaultRowHeight="12.75"/>
  <cols>
    <col min="1" max="1" width="29.75390625" style="71" customWidth="1"/>
    <col min="2" max="2" width="10.875" style="71" customWidth="1"/>
    <col min="3" max="6" width="8.875" style="71" customWidth="1"/>
    <col min="7" max="7" width="13.375" style="71" customWidth="1"/>
    <col min="8" max="16384" width="8.875" style="71" customWidth="1"/>
  </cols>
  <sheetData>
    <row r="1" ht="12.75">
      <c r="A1" s="61" t="s">
        <v>330</v>
      </c>
    </row>
    <row r="2" ht="12.75">
      <c r="A2" s="61"/>
    </row>
    <row r="3" spans="1:7" ht="12.75">
      <c r="A3" s="71" t="s">
        <v>331</v>
      </c>
      <c r="C3" s="137"/>
      <c r="D3" s="137"/>
      <c r="E3" s="137"/>
      <c r="F3" s="137"/>
      <c r="G3" s="137"/>
    </row>
    <row r="4" spans="1:7" ht="12.75">
      <c r="A4" s="330" t="s">
        <v>95</v>
      </c>
      <c r="B4" s="332" t="s">
        <v>233</v>
      </c>
      <c r="C4" s="332" t="s">
        <v>154</v>
      </c>
      <c r="D4" s="326" t="s">
        <v>332</v>
      </c>
      <c r="E4" s="327"/>
      <c r="F4" s="328" t="s">
        <v>333</v>
      </c>
      <c r="G4" s="328" t="s">
        <v>187</v>
      </c>
    </row>
    <row r="5" spans="1:7" ht="12.75">
      <c r="A5" s="331"/>
      <c r="B5" s="333"/>
      <c r="C5" s="333"/>
      <c r="D5" s="220" t="s">
        <v>277</v>
      </c>
      <c r="E5" s="220" t="s">
        <v>86</v>
      </c>
      <c r="F5" s="329"/>
      <c r="G5" s="329"/>
    </row>
    <row r="6" spans="1:7" ht="12.75">
      <c r="A6" s="74" t="str">
        <f>Исх!A32</f>
        <v>Столовый виноград</v>
      </c>
      <c r="B6" s="219" t="s">
        <v>334</v>
      </c>
      <c r="C6" s="143">
        <f>Исх!C26</f>
        <v>599.9999999999999</v>
      </c>
      <c r="D6" s="143">
        <f>Исх!C29</f>
        <v>22</v>
      </c>
      <c r="E6" s="143">
        <f>C6*D6</f>
        <v>13199.999999999998</v>
      </c>
      <c r="F6" s="143">
        <f>Исх!C32</f>
        <v>130</v>
      </c>
      <c r="G6" s="143">
        <f>E6*F6/1000</f>
        <v>1715.9999999999998</v>
      </c>
    </row>
    <row r="7" spans="1:7" ht="12.75">
      <c r="A7" s="74" t="str">
        <f>Исх!A33</f>
        <v>Винный виноград</v>
      </c>
      <c r="B7" s="219" t="s">
        <v>334</v>
      </c>
      <c r="C7" s="143">
        <f>Исх!C27</f>
        <v>257.1428571428571</v>
      </c>
      <c r="D7" s="143">
        <f>Исх!C30</f>
        <v>22</v>
      </c>
      <c r="E7" s="143">
        <f>C7*D7</f>
        <v>5657.142857142857</v>
      </c>
      <c r="F7" s="143">
        <f>Исх!C33</f>
        <v>120</v>
      </c>
      <c r="G7" s="143">
        <f>E7*F7/1000</f>
        <v>678.8571428571429</v>
      </c>
    </row>
    <row r="8" spans="1:7" ht="12.75">
      <c r="A8" s="151" t="s">
        <v>0</v>
      </c>
      <c r="B8" s="278"/>
      <c r="C8" s="278">
        <f>SUM(C6:C7)</f>
        <v>857.142857142857</v>
      </c>
      <c r="D8" s="278"/>
      <c r="E8" s="278">
        <f>SUM(E6:E7)</f>
        <v>18857.142857142855</v>
      </c>
      <c r="F8" s="278"/>
      <c r="G8" s="278">
        <f>SUM(G6:G7)</f>
        <v>2394.8571428571427</v>
      </c>
    </row>
    <row r="9" ht="12.75">
      <c r="A9" s="71" t="s">
        <v>329</v>
      </c>
    </row>
  </sheetData>
  <sheetProtection/>
  <mergeCells count="6">
    <mergeCell ref="D4:E4"/>
    <mergeCell ref="F4:F5"/>
    <mergeCell ref="G4:G5"/>
    <mergeCell ref="A4:A5"/>
    <mergeCell ref="B4:B5"/>
    <mergeCell ref="C4:C5"/>
  </mergeCells>
  <printOptions/>
  <pageMargins left="0.49" right="0.18" top="0.64" bottom="2.11" header="0.2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P26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5" sqref="N5"/>
    </sheetView>
  </sheetViews>
  <sheetFormatPr defaultColWidth="8.875" defaultRowHeight="12.75"/>
  <cols>
    <col min="1" max="1" width="33.75390625" style="71" customWidth="1"/>
    <col min="2" max="2" width="11.00390625" style="71" bestFit="1" customWidth="1"/>
    <col min="3" max="3" width="13.125" style="71" customWidth="1"/>
    <col min="4" max="4" width="10.375" style="71" customWidth="1"/>
    <col min="5" max="5" width="9.375" style="71" customWidth="1"/>
    <col min="6" max="6" width="10.00390625" style="71" customWidth="1"/>
    <col min="7" max="7" width="9.875" style="71" customWidth="1"/>
    <col min="8" max="8" width="8.375" style="71" customWidth="1"/>
    <col min="9" max="9" width="5.75390625" style="71" customWidth="1"/>
    <col min="10" max="10" width="4.00390625" style="71" bestFit="1" customWidth="1"/>
    <col min="11" max="11" width="4.25390625" style="71" bestFit="1" customWidth="1"/>
    <col min="12" max="12" width="7.875" style="71" customWidth="1"/>
    <col min="13" max="13" width="4.375" style="71" bestFit="1" customWidth="1"/>
    <col min="14" max="14" width="4.25390625" style="71" bestFit="1" customWidth="1"/>
    <col min="15" max="15" width="7.625" style="71" customWidth="1"/>
    <col min="16" max="16384" width="8.875" style="71" customWidth="1"/>
  </cols>
  <sheetData>
    <row r="1" spans="1:9" ht="12.75">
      <c r="A1" s="61" t="s">
        <v>232</v>
      </c>
      <c r="B1" s="61"/>
      <c r="I1" s="61"/>
    </row>
    <row r="3" spans="1:7" ht="12.75">
      <c r="A3" s="336" t="s">
        <v>184</v>
      </c>
      <c r="B3" s="334" t="s">
        <v>233</v>
      </c>
      <c r="C3" s="328" t="s">
        <v>236</v>
      </c>
      <c r="D3" s="335" t="str">
        <f>Исх!A32</f>
        <v>Столовый виноград</v>
      </c>
      <c r="E3" s="335"/>
      <c r="F3" s="335" t="str">
        <f>Исх!A33</f>
        <v>Винный виноград</v>
      </c>
      <c r="G3" s="335"/>
    </row>
    <row r="4" spans="1:7" ht="25.5">
      <c r="A4" s="336"/>
      <c r="B4" s="334"/>
      <c r="C4" s="329"/>
      <c r="D4" s="273" t="s">
        <v>257</v>
      </c>
      <c r="E4" s="273" t="s">
        <v>237</v>
      </c>
      <c r="F4" s="273" t="str">
        <f>D4</f>
        <v>Норма на 1 м2</v>
      </c>
      <c r="G4" s="273" t="str">
        <f>E4</f>
        <v>Сумма, тг.</v>
      </c>
    </row>
    <row r="5" spans="1:8" ht="12.75">
      <c r="A5" s="151" t="s">
        <v>234</v>
      </c>
      <c r="B5" s="76"/>
      <c r="C5" s="259"/>
      <c r="D5" s="277"/>
      <c r="E5" s="278">
        <f>SUM(E6:E9)</f>
        <v>15.942378833333336</v>
      </c>
      <c r="F5" s="277"/>
      <c r="G5" s="278">
        <f>SUM(G6:G9)</f>
        <v>15.942378833333336</v>
      </c>
      <c r="H5" s="71" t="s">
        <v>326</v>
      </c>
    </row>
    <row r="6" spans="1:7" ht="12.75">
      <c r="A6" s="74" t="str">
        <f>Исх!A38</f>
        <v>Аммиачная селитра</v>
      </c>
      <c r="B6" s="76" t="s">
        <v>239</v>
      </c>
      <c r="C6" s="219">
        <f>Исх!C38</f>
        <v>207.91100000000003</v>
      </c>
      <c r="D6" s="302">
        <f>Исх!C51/1000</f>
        <v>0.025</v>
      </c>
      <c r="E6" s="143">
        <f aca="true" t="shared" si="0" ref="E6:G9">$C6*D6</f>
        <v>5.197775000000001</v>
      </c>
      <c r="F6" s="302">
        <f>D6</f>
        <v>0.025</v>
      </c>
      <c r="G6" s="143">
        <f t="shared" si="0"/>
        <v>5.197775000000001</v>
      </c>
    </row>
    <row r="7" spans="1:7" ht="12.75">
      <c r="A7" s="74" t="str">
        <f>Исх!A39</f>
        <v>Двойной суперфосфат</v>
      </c>
      <c r="B7" s="76" t="s">
        <v>239</v>
      </c>
      <c r="C7" s="219">
        <f>Исх!C39</f>
        <v>139.95960000000002</v>
      </c>
      <c r="D7" s="302">
        <f>Исх!C52/1000</f>
        <v>0.02</v>
      </c>
      <c r="E7" s="143">
        <f t="shared" si="0"/>
        <v>2.7991920000000006</v>
      </c>
      <c r="F7" s="302">
        <f aca="true" t="shared" si="1" ref="F7:F13">D7</f>
        <v>0.02</v>
      </c>
      <c r="G7" s="143">
        <f t="shared" si="0"/>
        <v>2.7991920000000006</v>
      </c>
    </row>
    <row r="8" spans="1:7" ht="12.75">
      <c r="A8" s="74" t="str">
        <f>Исх!A40</f>
        <v>Сернокислый калий</v>
      </c>
      <c r="B8" s="76" t="s">
        <v>239</v>
      </c>
      <c r="C8" s="219">
        <f>Исх!C40</f>
        <v>281.72222222222223</v>
      </c>
      <c r="D8" s="302">
        <f>Исх!C53/1000</f>
        <v>0.015</v>
      </c>
      <c r="E8" s="143">
        <f>$C8*D8</f>
        <v>4.225833333333333</v>
      </c>
      <c r="F8" s="302">
        <f t="shared" si="1"/>
        <v>0.015</v>
      </c>
      <c r="G8" s="143">
        <f>$C8*F8</f>
        <v>4.225833333333333</v>
      </c>
    </row>
    <row r="9" spans="1:7" ht="12.75">
      <c r="A9" s="74" t="str">
        <f>Исх!A41</f>
        <v>Калимагнезия</v>
      </c>
      <c r="B9" s="76" t="s">
        <v>239</v>
      </c>
      <c r="C9" s="219">
        <f>Исх!C41</f>
        <v>247.97190000000003</v>
      </c>
      <c r="D9" s="302">
        <f>Исх!C54/1000</f>
        <v>0.015</v>
      </c>
      <c r="E9" s="143">
        <f t="shared" si="0"/>
        <v>3.7195785000000003</v>
      </c>
      <c r="F9" s="302">
        <f t="shared" si="1"/>
        <v>0.015</v>
      </c>
      <c r="G9" s="143">
        <f t="shared" si="0"/>
        <v>3.7195785000000003</v>
      </c>
    </row>
    <row r="10" spans="1:12" s="61" customFormat="1" ht="12.75">
      <c r="A10" s="151" t="s">
        <v>269</v>
      </c>
      <c r="B10" s="279" t="s">
        <v>235</v>
      </c>
      <c r="C10" s="276"/>
      <c r="D10" s="277"/>
      <c r="E10" s="278">
        <f>SUM(E11:E13)</f>
        <v>4.883215799</v>
      </c>
      <c r="F10" s="277"/>
      <c r="G10" s="278">
        <f>SUM(G11:G13)</f>
        <v>4.883215799</v>
      </c>
      <c r="H10" s="71" t="s">
        <v>326</v>
      </c>
      <c r="I10" s="71"/>
      <c r="J10" s="71"/>
      <c r="K10" s="71"/>
      <c r="L10" s="71"/>
    </row>
    <row r="11" spans="1:7" ht="12.75">
      <c r="A11" s="111" t="str">
        <f>Исх!A42</f>
        <v>Фозат, ВР (360г/л) глифосата кислоты</v>
      </c>
      <c r="B11" s="215" t="s">
        <v>243</v>
      </c>
      <c r="C11" s="277">
        <f>Исх!C42</f>
        <v>850.0010200000003</v>
      </c>
      <c r="D11" s="303">
        <f>Исх!C55/1000</f>
        <v>0.0002</v>
      </c>
      <c r="E11" s="285">
        <f aca="true" t="shared" si="2" ref="E11:G13">$C11*D11</f>
        <v>0.17000020400000007</v>
      </c>
      <c r="F11" s="303">
        <f t="shared" si="1"/>
        <v>0.0002</v>
      </c>
      <c r="G11" s="285">
        <f t="shared" si="2"/>
        <v>0.17000020400000007</v>
      </c>
    </row>
    <row r="12" spans="1:12" s="145" customFormat="1" ht="12.75">
      <c r="A12" s="111" t="str">
        <f>Исх!A43</f>
        <v>Строби</v>
      </c>
      <c r="B12" s="76" t="s">
        <v>239</v>
      </c>
      <c r="C12" s="277">
        <f>Исх!C43</f>
        <v>13945.250000000002</v>
      </c>
      <c r="D12" s="303">
        <f>Исх!C56/1000</f>
        <v>0.00033</v>
      </c>
      <c r="E12" s="143">
        <f>$C12*D12</f>
        <v>4.6019325</v>
      </c>
      <c r="F12" s="303">
        <f t="shared" si="1"/>
        <v>0.00033</v>
      </c>
      <c r="G12" s="143">
        <f>$C12*F12</f>
        <v>4.6019325</v>
      </c>
      <c r="H12" s="71"/>
      <c r="I12" s="71"/>
      <c r="J12" s="71"/>
      <c r="K12" s="71"/>
      <c r="L12" s="71"/>
    </row>
    <row r="13" spans="1:12" s="145" customFormat="1" ht="12.75">
      <c r="A13" s="111" t="str">
        <f>Исх!A44</f>
        <v>Децис-Профи</v>
      </c>
      <c r="B13" s="76" t="s">
        <v>239</v>
      </c>
      <c r="C13" s="277">
        <f>Исх!C44</f>
        <v>22256.619000000002</v>
      </c>
      <c r="D13" s="304">
        <f>Исх!C57/1000</f>
        <v>5E-06</v>
      </c>
      <c r="E13" s="258">
        <f t="shared" si="2"/>
        <v>0.11128309500000003</v>
      </c>
      <c r="F13" s="304">
        <f t="shared" si="1"/>
        <v>5E-06</v>
      </c>
      <c r="G13" s="258">
        <f t="shared" si="2"/>
        <v>0.11128309500000003</v>
      </c>
      <c r="H13" s="71"/>
      <c r="I13" s="71"/>
      <c r="J13" s="71"/>
      <c r="K13" s="71"/>
      <c r="L13" s="71"/>
    </row>
    <row r="14" spans="1:7" ht="12.75">
      <c r="A14" s="280" t="s">
        <v>0</v>
      </c>
      <c r="B14" s="281"/>
      <c r="C14" s="282"/>
      <c r="D14" s="283"/>
      <c r="E14" s="284">
        <f>E5+E10</f>
        <v>20.825594632333335</v>
      </c>
      <c r="F14" s="283"/>
      <c r="G14" s="284">
        <f>G5+G10</f>
        <v>20.825594632333335</v>
      </c>
    </row>
    <row r="16" ht="12.75">
      <c r="A16" s="61"/>
    </row>
    <row r="17" spans="1:16" ht="12.75">
      <c r="A17" s="213" t="s">
        <v>244</v>
      </c>
      <c r="B17" s="220" t="s">
        <v>192</v>
      </c>
      <c r="C17" s="220" t="s">
        <v>258</v>
      </c>
      <c r="D17" s="220" t="s">
        <v>259</v>
      </c>
      <c r="E17" s="220" t="s">
        <v>260</v>
      </c>
      <c r="F17" s="220" t="s">
        <v>261</v>
      </c>
      <c r="G17" s="220" t="s">
        <v>189</v>
      </c>
      <c r="H17" s="220" t="s">
        <v>262</v>
      </c>
      <c r="I17" s="220" t="s">
        <v>263</v>
      </c>
      <c r="J17" s="220" t="s">
        <v>264</v>
      </c>
      <c r="K17" s="220" t="s">
        <v>265</v>
      </c>
      <c r="L17" s="220" t="s">
        <v>266</v>
      </c>
      <c r="M17" s="220" t="s">
        <v>267</v>
      </c>
      <c r="N17" s="220" t="s">
        <v>268</v>
      </c>
      <c r="O17" s="220" t="s">
        <v>0</v>
      </c>
      <c r="P17" s="144"/>
    </row>
    <row r="18" spans="1:15" ht="12.75">
      <c r="A18" s="74" t="str">
        <f>A5</f>
        <v>Удобрения</v>
      </c>
      <c r="B18" s="76" t="s">
        <v>57</v>
      </c>
      <c r="C18" s="149"/>
      <c r="D18" s="149"/>
      <c r="E18" s="149">
        <f>($E$5*Исх!$C$22*Исх!$D$26+$G$5*Исх!$C$22*Исх!$D$27)/1000</f>
        <v>95.65427300000002</v>
      </c>
      <c r="F18" s="149"/>
      <c r="G18" s="149"/>
      <c r="H18" s="143"/>
      <c r="I18" s="149"/>
      <c r="J18" s="149"/>
      <c r="K18" s="149"/>
      <c r="L18" s="149">
        <f>($E$14*Исх!$C$22*Исх!$D$26+$G$14*Исх!$C$22*Исх!$D$27)/1000</f>
        <v>124.95356779400001</v>
      </c>
      <c r="M18" s="149"/>
      <c r="N18" s="149"/>
      <c r="O18" s="150">
        <f>SUM(C18:N18)</f>
        <v>220.60784079400003</v>
      </c>
    </row>
    <row r="19" spans="1:15" ht="12.75">
      <c r="A19" s="74" t="str">
        <f>A10</f>
        <v>Хим.препараты</v>
      </c>
      <c r="B19" s="76" t="s">
        <v>57</v>
      </c>
      <c r="C19" s="149"/>
      <c r="D19" s="149"/>
      <c r="E19" s="149"/>
      <c r="F19" s="149"/>
      <c r="G19" s="149">
        <f>($E$10*Исх!$C$22*Исх!$D$26+$G$10*Исх!$C$22*Исх!$D$27)/1000</f>
        <v>29.299294794</v>
      </c>
      <c r="H19" s="149">
        <f>($E$10*Исх!$C$22*Исх!$D$26+$G$10*Исх!$C$22*Исх!$D$27)/1000</f>
        <v>29.299294794</v>
      </c>
      <c r="I19" s="149">
        <f>($E$10*Исх!$C$22*Исх!$D$26+$G$10*Исх!$C$22*Исх!$D$27)/1000</f>
        <v>29.299294794</v>
      </c>
      <c r="J19" s="149"/>
      <c r="K19" s="149"/>
      <c r="L19" s="149"/>
      <c r="M19" s="149"/>
      <c r="N19" s="149"/>
      <c r="O19" s="150">
        <f>SUM(C19:N19)</f>
        <v>87.897884382</v>
      </c>
    </row>
    <row r="20" spans="1:16" ht="12.75">
      <c r="A20" s="213" t="s">
        <v>86</v>
      </c>
      <c r="B20" s="220" t="s">
        <v>57</v>
      </c>
      <c r="C20" s="214">
        <f aca="true" t="shared" si="3" ref="C20:O20">SUM(C18:C19)</f>
        <v>0</v>
      </c>
      <c r="D20" s="214">
        <f t="shared" si="3"/>
        <v>0</v>
      </c>
      <c r="E20" s="214">
        <f t="shared" si="3"/>
        <v>95.65427300000002</v>
      </c>
      <c r="F20" s="214">
        <f t="shared" si="3"/>
        <v>0</v>
      </c>
      <c r="G20" s="214">
        <f t="shared" si="3"/>
        <v>29.299294794</v>
      </c>
      <c r="H20" s="214">
        <f t="shared" si="3"/>
        <v>29.299294794</v>
      </c>
      <c r="I20" s="214">
        <f t="shared" si="3"/>
        <v>29.299294794</v>
      </c>
      <c r="J20" s="214">
        <f t="shared" si="3"/>
        <v>0</v>
      </c>
      <c r="K20" s="214">
        <f t="shared" si="3"/>
        <v>0</v>
      </c>
      <c r="L20" s="214">
        <f t="shared" si="3"/>
        <v>124.95356779400001</v>
      </c>
      <c r="M20" s="214">
        <f t="shared" si="3"/>
        <v>0</v>
      </c>
      <c r="N20" s="214">
        <f t="shared" si="3"/>
        <v>0</v>
      </c>
      <c r="O20" s="214">
        <f t="shared" si="3"/>
        <v>308.50572517600006</v>
      </c>
      <c r="P20" s="163"/>
    </row>
    <row r="22" ht="12.75">
      <c r="A22" s="61" t="s">
        <v>245</v>
      </c>
    </row>
    <row r="23" spans="1:3" ht="25.5">
      <c r="A23" s="275" t="s">
        <v>26</v>
      </c>
      <c r="B23" s="305" t="str">
        <f>D3</f>
        <v>Столовый виноград</v>
      </c>
      <c r="C23" s="305" t="str">
        <f>F3</f>
        <v>Винный виноград</v>
      </c>
    </row>
    <row r="24" spans="1:3" ht="12.75">
      <c r="A24" s="74" t="s">
        <v>246</v>
      </c>
      <c r="B24" s="205">
        <f>E14</f>
        <v>20.825594632333335</v>
      </c>
      <c r="C24" s="205">
        <f>G14</f>
        <v>20.825594632333335</v>
      </c>
    </row>
    <row r="25" spans="1:3" ht="12.75">
      <c r="A25" s="74" t="s">
        <v>327</v>
      </c>
      <c r="B25" s="205">
        <f>Исх!C29/Исх!$C$24</f>
        <v>3.142857142857143</v>
      </c>
      <c r="C25" s="205">
        <f>Исх!C30/Исх!$C$24</f>
        <v>3.142857142857143</v>
      </c>
    </row>
    <row r="26" spans="1:3" ht="12.75">
      <c r="A26" s="280" t="s">
        <v>328</v>
      </c>
      <c r="B26" s="286">
        <f>B24/B25</f>
        <v>6.626325564833334</v>
      </c>
      <c r="C26" s="286">
        <f>C24/C25</f>
        <v>6.626325564833334</v>
      </c>
    </row>
  </sheetData>
  <sheetProtection/>
  <mergeCells count="5">
    <mergeCell ref="B3:B4"/>
    <mergeCell ref="D3:E3"/>
    <mergeCell ref="F3:G3"/>
    <mergeCell ref="A3:A4"/>
    <mergeCell ref="C3:C4"/>
  </mergeCells>
  <printOptions/>
  <pageMargins left="0.2" right="0.25" top="0.45" bottom="0.38" header="0.2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outlinePr summaryBelow="0"/>
  </sheetPr>
  <dimension ref="A1:AJ7"/>
  <sheetViews>
    <sheetView showGridLines="0" showZeros="0" zoomScalePageLayoutView="0" workbookViewId="0" topLeftCell="A1">
      <pane xSplit="3" ySplit="4" topLeftCell="L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AF25" sqref="AF25"/>
    </sheetView>
  </sheetViews>
  <sheetFormatPr defaultColWidth="10.125" defaultRowHeight="12.75" outlineLevelCol="1"/>
  <cols>
    <col min="1" max="1" width="31.375" style="225" customWidth="1"/>
    <col min="2" max="2" width="11.375" style="225" customWidth="1"/>
    <col min="3" max="3" width="4.375" style="225" customWidth="1"/>
    <col min="4" max="10" width="6.25390625" style="225" hidden="1" customWidth="1" outlineLevel="1"/>
    <col min="11" max="12" width="9.00390625" style="225" hidden="1" customWidth="1" outlineLevel="1"/>
    <col min="13" max="14" width="8.625" style="225" hidden="1" customWidth="1" outlineLevel="1"/>
    <col min="15" max="15" width="8.875" style="225" hidden="1" customWidth="1" outlineLevel="1"/>
    <col min="16" max="16" width="9.125" style="225" customWidth="1" collapsed="1"/>
    <col min="17" max="28" width="8.375" style="225" hidden="1" customWidth="1" outlineLevel="1"/>
    <col min="29" max="29" width="9.125" style="225" customWidth="1" collapsed="1"/>
    <col min="30" max="35" width="9.125" style="225" customWidth="1"/>
    <col min="36" max="36" width="10.125" style="223" customWidth="1"/>
    <col min="37" max="16384" width="10.125" style="225" customWidth="1"/>
  </cols>
  <sheetData>
    <row r="1" spans="1:36" ht="12.75">
      <c r="A1" s="227" t="s">
        <v>247</v>
      </c>
      <c r="B1" s="224"/>
      <c r="C1" s="224"/>
      <c r="AJ1" s="225"/>
    </row>
    <row r="2" spans="1:36" ht="12.75">
      <c r="A2" s="227"/>
      <c r="B2" s="228" t="s">
        <v>239</v>
      </c>
      <c r="C2" s="226"/>
      <c r="AJ2" s="225"/>
    </row>
    <row r="3" spans="1:36" ht="12.75" customHeight="1">
      <c r="A3" s="337" t="s">
        <v>190</v>
      </c>
      <c r="B3" s="323" t="s">
        <v>86</v>
      </c>
      <c r="C3" s="119"/>
      <c r="D3" s="324">
        <v>2013</v>
      </c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>
        <v>2014</v>
      </c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120">
        <v>2015</v>
      </c>
      <c r="AE3" s="120">
        <f>AD3+1</f>
        <v>2016</v>
      </c>
      <c r="AF3" s="120">
        <f>AE3+1</f>
        <v>2017</v>
      </c>
      <c r="AG3" s="120">
        <f>AF3+1</f>
        <v>2018</v>
      </c>
      <c r="AH3" s="120">
        <f>AG3+1</f>
        <v>2019</v>
      </c>
      <c r="AI3" s="120">
        <f>AH3+1</f>
        <v>2020</v>
      </c>
      <c r="AJ3" s="225"/>
    </row>
    <row r="4" spans="1:36" ht="12.75">
      <c r="A4" s="338"/>
      <c r="B4" s="323"/>
      <c r="C4" s="121"/>
      <c r="D4" s="122">
        <f aca="true" t="shared" si="0" ref="D4:L4">C4+1</f>
        <v>1</v>
      </c>
      <c r="E4" s="122">
        <f t="shared" si="0"/>
        <v>2</v>
      </c>
      <c r="F4" s="122">
        <f t="shared" si="0"/>
        <v>3</v>
      </c>
      <c r="G4" s="122">
        <f t="shared" si="0"/>
        <v>4</v>
      </c>
      <c r="H4" s="122">
        <f t="shared" si="0"/>
        <v>5</v>
      </c>
      <c r="I4" s="122">
        <f t="shared" si="0"/>
        <v>6</v>
      </c>
      <c r="J4" s="122">
        <f t="shared" si="0"/>
        <v>7</v>
      </c>
      <c r="K4" s="122">
        <f t="shared" si="0"/>
        <v>8</v>
      </c>
      <c r="L4" s="122">
        <f t="shared" si="0"/>
        <v>9</v>
      </c>
      <c r="M4" s="122">
        <f>L4+1</f>
        <v>10</v>
      </c>
      <c r="N4" s="122">
        <f>M4+1</f>
        <v>11</v>
      </c>
      <c r="O4" s="122">
        <f>N4+1</f>
        <v>12</v>
      </c>
      <c r="P4" s="118" t="s">
        <v>0</v>
      </c>
      <c r="Q4" s="122">
        <v>1</v>
      </c>
      <c r="R4" s="122">
        <f aca="true" t="shared" si="1" ref="R4:AB4">Q4+1</f>
        <v>2</v>
      </c>
      <c r="S4" s="122">
        <f t="shared" si="1"/>
        <v>3</v>
      </c>
      <c r="T4" s="122">
        <f t="shared" si="1"/>
        <v>4</v>
      </c>
      <c r="U4" s="122">
        <f t="shared" si="1"/>
        <v>5</v>
      </c>
      <c r="V4" s="122">
        <f t="shared" si="1"/>
        <v>6</v>
      </c>
      <c r="W4" s="122">
        <f t="shared" si="1"/>
        <v>7</v>
      </c>
      <c r="X4" s="122">
        <f t="shared" si="1"/>
        <v>8</v>
      </c>
      <c r="Y4" s="122">
        <f t="shared" si="1"/>
        <v>9</v>
      </c>
      <c r="Z4" s="122">
        <f t="shared" si="1"/>
        <v>10</v>
      </c>
      <c r="AA4" s="122">
        <f t="shared" si="1"/>
        <v>11</v>
      </c>
      <c r="AB4" s="122">
        <f t="shared" si="1"/>
        <v>12</v>
      </c>
      <c r="AC4" s="118" t="s">
        <v>0</v>
      </c>
      <c r="AD4" s="118" t="s">
        <v>109</v>
      </c>
      <c r="AE4" s="118" t="s">
        <v>109</v>
      </c>
      <c r="AF4" s="118" t="s">
        <v>109</v>
      </c>
      <c r="AG4" s="118" t="s">
        <v>109</v>
      </c>
      <c r="AH4" s="118" t="s">
        <v>109</v>
      </c>
      <c r="AI4" s="118" t="s">
        <v>109</v>
      </c>
      <c r="AJ4" s="225"/>
    </row>
    <row r="5" ht="12.75">
      <c r="A5" s="227" t="s">
        <v>191</v>
      </c>
    </row>
    <row r="6" spans="1:36" ht="15" customHeight="1">
      <c r="A6" s="232" t="str">
        <f>Исх!A29</f>
        <v>Столовый виноград</v>
      </c>
      <c r="B6" s="124">
        <f>P6+AC6+AD6+AE6+AF6+AG6+AH6+AI6</f>
        <v>65999.99999999999</v>
      </c>
      <c r="C6" s="124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24">
        <f>SUM(D6:O6)</f>
        <v>0</v>
      </c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24">
        <f>SUM(Q6:AB6)</f>
        <v>0</v>
      </c>
      <c r="AD6" s="130">
        <f aca="true" t="shared" si="2" ref="AD6:AI7">AC6</f>
        <v>0</v>
      </c>
      <c r="AE6" s="130">
        <f>Дох!E6</f>
        <v>13199.999999999998</v>
      </c>
      <c r="AF6" s="130">
        <f t="shared" si="2"/>
        <v>13199.999999999998</v>
      </c>
      <c r="AG6" s="130">
        <f t="shared" si="2"/>
        <v>13199.999999999998</v>
      </c>
      <c r="AH6" s="130">
        <f t="shared" si="2"/>
        <v>13199.999999999998</v>
      </c>
      <c r="AI6" s="130">
        <f t="shared" si="2"/>
        <v>13199.999999999998</v>
      </c>
      <c r="AJ6" s="225"/>
    </row>
    <row r="7" spans="1:36" ht="15" customHeight="1">
      <c r="A7" s="232" t="str">
        <f>Исх!A30</f>
        <v>Винный виноград</v>
      </c>
      <c r="B7" s="124">
        <f>P7+AC7+AD7+AE7+AF7+AG7+AH7+AI7</f>
        <v>28285.714285714283</v>
      </c>
      <c r="C7" s="124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24">
        <f>SUM(D7:O7)</f>
        <v>0</v>
      </c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24">
        <f>SUM(Q7:AB7)</f>
        <v>0</v>
      </c>
      <c r="AD7" s="130">
        <f t="shared" si="2"/>
        <v>0</v>
      </c>
      <c r="AE7" s="130">
        <f>Дох!E7</f>
        <v>5657.142857142857</v>
      </c>
      <c r="AF7" s="130">
        <f t="shared" si="2"/>
        <v>5657.142857142857</v>
      </c>
      <c r="AG7" s="130">
        <f t="shared" si="2"/>
        <v>5657.142857142857</v>
      </c>
      <c r="AH7" s="130">
        <f t="shared" si="2"/>
        <v>5657.142857142857</v>
      </c>
      <c r="AI7" s="130">
        <f t="shared" si="2"/>
        <v>5657.142857142857</v>
      </c>
      <c r="AJ7" s="225"/>
    </row>
    <row r="8" ht="7.5" customHeight="1"/>
  </sheetData>
  <sheetProtection/>
  <mergeCells count="4">
    <mergeCell ref="A3:A4"/>
    <mergeCell ref="B3:B4"/>
    <mergeCell ref="D3:P3"/>
    <mergeCell ref="Q3:AC3"/>
  </mergeCells>
  <printOptions/>
  <pageMargins left="0.35433070866141736" right="0.2362204724409449" top="0.8267716535433072" bottom="0.2362204724409449" header="0.35433070866141736" footer="0.1574803149606299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V47"/>
  <sheetViews>
    <sheetView showGridLines="0" zoomScalePageLayoutView="0" workbookViewId="0" topLeftCell="A1">
      <pane ySplit="5" topLeftCell="A6" activePane="bottomLeft" state="frozen"/>
      <selection pane="topLeft" activeCell="A34" sqref="A34"/>
      <selection pane="bottomLeft" activeCell="K40" sqref="K40"/>
    </sheetView>
  </sheetViews>
  <sheetFormatPr defaultColWidth="8.875" defaultRowHeight="12.75" outlineLevelRow="1"/>
  <cols>
    <col min="1" max="1" width="34.00390625" style="71" customWidth="1"/>
    <col min="2" max="2" width="11.25390625" style="71" customWidth="1"/>
    <col min="3" max="10" width="8.25390625" style="71" customWidth="1"/>
    <col min="11" max="11" width="20.00390625" style="71" customWidth="1"/>
    <col min="12" max="12" width="8.875" style="71" customWidth="1"/>
    <col min="13" max="13" width="34.25390625" style="71" customWidth="1"/>
    <col min="14" max="14" width="8.25390625" style="71" customWidth="1"/>
    <col min="15" max="16384" width="8.875" style="71" customWidth="1"/>
  </cols>
  <sheetData>
    <row r="1" spans="1:13" ht="12.75">
      <c r="A1" s="61" t="s">
        <v>145</v>
      </c>
      <c r="M1" s="61" t="s">
        <v>249</v>
      </c>
    </row>
    <row r="2" ht="12.75">
      <c r="A2" s="61"/>
    </row>
    <row r="3" spans="1:13" ht="12.75" hidden="1">
      <c r="A3" s="61"/>
      <c r="B3" s="61"/>
      <c r="C3" s="291" t="s">
        <v>256</v>
      </c>
      <c r="D3" s="292">
        <v>0</v>
      </c>
      <c r="E3" s="61"/>
      <c r="F3" s="61"/>
      <c r="G3" s="61"/>
      <c r="H3" s="61"/>
      <c r="I3" s="61"/>
      <c r="J3" s="61"/>
      <c r="K3" s="61"/>
      <c r="L3" s="61"/>
      <c r="M3" s="61"/>
    </row>
    <row r="4" spans="3:22" ht="12.75">
      <c r="C4" s="137"/>
      <c r="D4" s="137"/>
      <c r="E4" s="137"/>
      <c r="F4" s="137"/>
      <c r="G4" s="137"/>
      <c r="H4" s="137"/>
      <c r="J4" s="144" t="str">
        <f>Исх!C9</f>
        <v>тыс.тг.</v>
      </c>
      <c r="V4" s="144" t="str">
        <f>Исх!C9</f>
        <v>тыс.тг.</v>
      </c>
    </row>
    <row r="5" spans="1:22" ht="25.5">
      <c r="A5" s="275" t="s">
        <v>41</v>
      </c>
      <c r="B5" s="273" t="s">
        <v>252</v>
      </c>
      <c r="C5" s="260">
        <v>2013</v>
      </c>
      <c r="D5" s="260">
        <f aca="true" t="shared" si="0" ref="D5:J5">C5+1</f>
        <v>2014</v>
      </c>
      <c r="E5" s="260">
        <f t="shared" si="0"/>
        <v>2015</v>
      </c>
      <c r="F5" s="260">
        <f t="shared" si="0"/>
        <v>2016</v>
      </c>
      <c r="G5" s="260">
        <f t="shared" si="0"/>
        <v>2017</v>
      </c>
      <c r="H5" s="260">
        <f t="shared" si="0"/>
        <v>2018</v>
      </c>
      <c r="I5" s="260">
        <f t="shared" si="0"/>
        <v>2019</v>
      </c>
      <c r="J5" s="260">
        <f t="shared" si="0"/>
        <v>2020</v>
      </c>
      <c r="K5" s="260" t="s">
        <v>253</v>
      </c>
      <c r="L5" s="290"/>
      <c r="M5" s="275" t="s">
        <v>41</v>
      </c>
      <c r="N5" s="260"/>
      <c r="O5" s="260">
        <v>2013</v>
      </c>
      <c r="P5" s="260">
        <f aca="true" t="shared" si="1" ref="P5:V5">O5+1</f>
        <v>2014</v>
      </c>
      <c r="Q5" s="260">
        <f t="shared" si="1"/>
        <v>2015</v>
      </c>
      <c r="R5" s="260">
        <f t="shared" si="1"/>
        <v>2016</v>
      </c>
      <c r="S5" s="260">
        <f t="shared" si="1"/>
        <v>2017</v>
      </c>
      <c r="T5" s="260">
        <f t="shared" si="1"/>
        <v>2018</v>
      </c>
      <c r="U5" s="260">
        <f t="shared" si="1"/>
        <v>2019</v>
      </c>
      <c r="V5" s="260">
        <f t="shared" si="1"/>
        <v>2020</v>
      </c>
    </row>
    <row r="6" spans="1:22" ht="12.75">
      <c r="A6" s="74" t="s">
        <v>42</v>
      </c>
      <c r="B6" s="143"/>
      <c r="C6" s="149">
        <f>ФОТ!K19</f>
        <v>113.90500000000002</v>
      </c>
      <c r="D6" s="149">
        <f aca="true" t="shared" si="2" ref="D6:J6">C6</f>
        <v>113.90500000000002</v>
      </c>
      <c r="E6" s="149">
        <f t="shared" si="2"/>
        <v>113.90500000000002</v>
      </c>
      <c r="F6" s="149">
        <f t="shared" si="2"/>
        <v>113.90500000000002</v>
      </c>
      <c r="G6" s="149">
        <f t="shared" si="2"/>
        <v>113.90500000000002</v>
      </c>
      <c r="H6" s="149">
        <f t="shared" si="2"/>
        <v>113.90500000000002</v>
      </c>
      <c r="I6" s="149">
        <f t="shared" si="2"/>
        <v>113.90500000000002</v>
      </c>
      <c r="J6" s="149">
        <f t="shared" si="2"/>
        <v>113.90500000000002</v>
      </c>
      <c r="K6" s="149"/>
      <c r="M6" s="74" t="s">
        <v>42</v>
      </c>
      <c r="N6" s="143"/>
      <c r="O6" s="149">
        <f>C6*2</f>
        <v>227.81000000000003</v>
      </c>
      <c r="P6" s="149">
        <f>D6*8</f>
        <v>911.2400000000001</v>
      </c>
      <c r="Q6" s="149">
        <f aca="true" t="shared" si="3" ref="Q6:V12">E6*8</f>
        <v>911.2400000000001</v>
      </c>
      <c r="R6" s="149">
        <f t="shared" si="3"/>
        <v>911.2400000000001</v>
      </c>
      <c r="S6" s="149">
        <f t="shared" si="3"/>
        <v>911.2400000000001</v>
      </c>
      <c r="T6" s="149">
        <f t="shared" si="3"/>
        <v>911.2400000000001</v>
      </c>
      <c r="U6" s="149">
        <f t="shared" si="3"/>
        <v>911.2400000000001</v>
      </c>
      <c r="V6" s="149">
        <f t="shared" si="3"/>
        <v>911.2400000000001</v>
      </c>
    </row>
    <row r="7" spans="1:22" ht="12.75">
      <c r="A7" s="161" t="s">
        <v>251</v>
      </c>
      <c r="B7" s="219"/>
      <c r="C7" s="142">
        <v>4</v>
      </c>
      <c r="D7" s="149">
        <f>C7+C7*$D$3</f>
        <v>4</v>
      </c>
      <c r="E7" s="149">
        <f aca="true" t="shared" si="4" ref="E7:J7">D7+D7*$D$3</f>
        <v>4</v>
      </c>
      <c r="F7" s="149">
        <f t="shared" si="4"/>
        <v>4</v>
      </c>
      <c r="G7" s="149">
        <f t="shared" si="4"/>
        <v>4</v>
      </c>
      <c r="H7" s="149">
        <f t="shared" si="4"/>
        <v>4</v>
      </c>
      <c r="I7" s="149">
        <f t="shared" si="4"/>
        <v>4</v>
      </c>
      <c r="J7" s="149">
        <f t="shared" si="4"/>
        <v>4</v>
      </c>
      <c r="K7" s="149"/>
      <c r="M7" s="161" t="s">
        <v>208</v>
      </c>
      <c r="N7" s="219"/>
      <c r="O7" s="149">
        <f aca="true" t="shared" si="5" ref="O7:O12">C7*2</f>
        <v>8</v>
      </c>
      <c r="P7" s="149">
        <f aca="true" t="shared" si="6" ref="P7:P12">D7*8</f>
        <v>32</v>
      </c>
      <c r="Q7" s="149">
        <f t="shared" si="3"/>
        <v>32</v>
      </c>
      <c r="R7" s="149">
        <f t="shared" si="3"/>
        <v>32</v>
      </c>
      <c r="S7" s="149">
        <f t="shared" si="3"/>
        <v>32</v>
      </c>
      <c r="T7" s="149">
        <f t="shared" si="3"/>
        <v>32</v>
      </c>
      <c r="U7" s="149">
        <f t="shared" si="3"/>
        <v>32</v>
      </c>
      <c r="V7" s="149">
        <f t="shared" si="3"/>
        <v>32</v>
      </c>
    </row>
    <row r="8" spans="1:22" ht="12.75">
      <c r="A8" s="161" t="s">
        <v>250</v>
      </c>
      <c r="B8" s="143"/>
      <c r="C8" s="142">
        <f>4.5+1</f>
        <v>5.5</v>
      </c>
      <c r="D8" s="149">
        <f aca="true" t="shared" si="7" ref="D8:J12">C8+C8*$D$3</f>
        <v>5.5</v>
      </c>
      <c r="E8" s="149">
        <f t="shared" si="7"/>
        <v>5.5</v>
      </c>
      <c r="F8" s="149">
        <f t="shared" si="7"/>
        <v>5.5</v>
      </c>
      <c r="G8" s="149">
        <f t="shared" si="7"/>
        <v>5.5</v>
      </c>
      <c r="H8" s="149">
        <f t="shared" si="7"/>
        <v>5.5</v>
      </c>
      <c r="I8" s="149">
        <f t="shared" si="7"/>
        <v>5.5</v>
      </c>
      <c r="J8" s="149">
        <f t="shared" si="7"/>
        <v>5.5</v>
      </c>
      <c r="K8" s="149"/>
      <c r="M8" s="161" t="s">
        <v>107</v>
      </c>
      <c r="N8" s="143"/>
      <c r="O8" s="149">
        <f t="shared" si="5"/>
        <v>11</v>
      </c>
      <c r="P8" s="149">
        <f t="shared" si="6"/>
        <v>44</v>
      </c>
      <c r="Q8" s="149">
        <f t="shared" si="3"/>
        <v>44</v>
      </c>
      <c r="R8" s="149">
        <f t="shared" si="3"/>
        <v>44</v>
      </c>
      <c r="S8" s="149">
        <f t="shared" si="3"/>
        <v>44</v>
      </c>
      <c r="T8" s="149">
        <f t="shared" si="3"/>
        <v>44</v>
      </c>
      <c r="U8" s="149">
        <f t="shared" si="3"/>
        <v>44</v>
      </c>
      <c r="V8" s="149">
        <f t="shared" si="3"/>
        <v>44</v>
      </c>
    </row>
    <row r="9" spans="1:22" ht="12.75">
      <c r="A9" s="74" t="s">
        <v>231</v>
      </c>
      <c r="B9" s="143"/>
      <c r="C9" s="142">
        <v>1</v>
      </c>
      <c r="D9" s="149">
        <f aca="true" t="shared" si="8" ref="D9:J9">C9+C9*$D$3</f>
        <v>1</v>
      </c>
      <c r="E9" s="149">
        <f t="shared" si="8"/>
        <v>1</v>
      </c>
      <c r="F9" s="149">
        <f t="shared" si="8"/>
        <v>1</v>
      </c>
      <c r="G9" s="149">
        <f t="shared" si="8"/>
        <v>1</v>
      </c>
      <c r="H9" s="149">
        <f t="shared" si="8"/>
        <v>1</v>
      </c>
      <c r="I9" s="149">
        <f t="shared" si="8"/>
        <v>1</v>
      </c>
      <c r="J9" s="149">
        <f t="shared" si="8"/>
        <v>1</v>
      </c>
      <c r="K9" s="149"/>
      <c r="M9" s="74" t="s">
        <v>43</v>
      </c>
      <c r="N9" s="143"/>
      <c r="O9" s="149">
        <f t="shared" si="5"/>
        <v>2</v>
      </c>
      <c r="P9" s="149">
        <f t="shared" si="6"/>
        <v>8</v>
      </c>
      <c r="Q9" s="149">
        <f t="shared" si="3"/>
        <v>8</v>
      </c>
      <c r="R9" s="149">
        <f t="shared" si="3"/>
        <v>8</v>
      </c>
      <c r="S9" s="149">
        <f t="shared" si="3"/>
        <v>8</v>
      </c>
      <c r="T9" s="149">
        <f t="shared" si="3"/>
        <v>8</v>
      </c>
      <c r="U9" s="149">
        <f t="shared" si="3"/>
        <v>8</v>
      </c>
      <c r="V9" s="149">
        <f t="shared" si="3"/>
        <v>8</v>
      </c>
    </row>
    <row r="10" spans="1:22" ht="12.75">
      <c r="A10" s="74" t="s">
        <v>43</v>
      </c>
      <c r="B10" s="143"/>
      <c r="C10" s="142">
        <v>1</v>
      </c>
      <c r="D10" s="149">
        <f t="shared" si="7"/>
        <v>1</v>
      </c>
      <c r="E10" s="149">
        <f t="shared" si="7"/>
        <v>1</v>
      </c>
      <c r="F10" s="149">
        <f t="shared" si="7"/>
        <v>1</v>
      </c>
      <c r="G10" s="149">
        <f t="shared" si="7"/>
        <v>1</v>
      </c>
      <c r="H10" s="149">
        <f t="shared" si="7"/>
        <v>1</v>
      </c>
      <c r="I10" s="149">
        <f t="shared" si="7"/>
        <v>1</v>
      </c>
      <c r="J10" s="149">
        <f t="shared" si="7"/>
        <v>1</v>
      </c>
      <c r="K10" s="149"/>
      <c r="M10" s="74" t="s">
        <v>43</v>
      </c>
      <c r="N10" s="143"/>
      <c r="O10" s="149">
        <f t="shared" si="5"/>
        <v>2</v>
      </c>
      <c r="P10" s="149">
        <f t="shared" si="6"/>
        <v>8</v>
      </c>
      <c r="Q10" s="149">
        <f t="shared" si="3"/>
        <v>8</v>
      </c>
      <c r="R10" s="149">
        <f t="shared" si="3"/>
        <v>8</v>
      </c>
      <c r="S10" s="149">
        <f t="shared" si="3"/>
        <v>8</v>
      </c>
      <c r="T10" s="149">
        <f t="shared" si="3"/>
        <v>8</v>
      </c>
      <c r="U10" s="149">
        <f t="shared" si="3"/>
        <v>8</v>
      </c>
      <c r="V10" s="149">
        <f t="shared" si="3"/>
        <v>8</v>
      </c>
    </row>
    <row r="11" spans="1:22" ht="12.75">
      <c r="A11" s="74" t="s">
        <v>337</v>
      </c>
      <c r="B11" s="143"/>
      <c r="C11" s="142">
        <v>2</v>
      </c>
      <c r="D11" s="149">
        <f t="shared" si="7"/>
        <v>2</v>
      </c>
      <c r="E11" s="149">
        <f t="shared" si="7"/>
        <v>2</v>
      </c>
      <c r="F11" s="149">
        <f t="shared" si="7"/>
        <v>2</v>
      </c>
      <c r="G11" s="149">
        <f t="shared" si="7"/>
        <v>2</v>
      </c>
      <c r="H11" s="149">
        <f t="shared" si="7"/>
        <v>2</v>
      </c>
      <c r="I11" s="149">
        <f t="shared" si="7"/>
        <v>2</v>
      </c>
      <c r="J11" s="149">
        <f t="shared" si="7"/>
        <v>2</v>
      </c>
      <c r="K11" s="149"/>
      <c r="M11" s="74" t="s">
        <v>221</v>
      </c>
      <c r="N11" s="143"/>
      <c r="O11" s="149">
        <f t="shared" si="5"/>
        <v>4</v>
      </c>
      <c r="P11" s="149">
        <f t="shared" si="6"/>
        <v>16</v>
      </c>
      <c r="Q11" s="149">
        <f t="shared" si="3"/>
        <v>16</v>
      </c>
      <c r="R11" s="149">
        <f t="shared" si="3"/>
        <v>16</v>
      </c>
      <c r="S11" s="149">
        <f t="shared" si="3"/>
        <v>16</v>
      </c>
      <c r="T11" s="149">
        <f t="shared" si="3"/>
        <v>16</v>
      </c>
      <c r="U11" s="149">
        <f t="shared" si="3"/>
        <v>16</v>
      </c>
      <c r="V11" s="149">
        <f t="shared" si="3"/>
        <v>16</v>
      </c>
    </row>
    <row r="12" spans="1:22" ht="12.75">
      <c r="A12" s="74" t="s">
        <v>44</v>
      </c>
      <c r="B12" s="149"/>
      <c r="C12" s="142">
        <v>5</v>
      </c>
      <c r="D12" s="149">
        <f t="shared" si="7"/>
        <v>5</v>
      </c>
      <c r="E12" s="149">
        <f t="shared" si="7"/>
        <v>5</v>
      </c>
      <c r="F12" s="149">
        <f t="shared" si="7"/>
        <v>5</v>
      </c>
      <c r="G12" s="149">
        <f t="shared" si="7"/>
        <v>5</v>
      </c>
      <c r="H12" s="149">
        <f t="shared" si="7"/>
        <v>5</v>
      </c>
      <c r="I12" s="149">
        <f t="shared" si="7"/>
        <v>5</v>
      </c>
      <c r="J12" s="149">
        <f t="shared" si="7"/>
        <v>5</v>
      </c>
      <c r="K12" s="149"/>
      <c r="M12" s="74" t="s">
        <v>44</v>
      </c>
      <c r="N12" s="149"/>
      <c r="O12" s="149">
        <f t="shared" si="5"/>
        <v>10</v>
      </c>
      <c r="P12" s="149">
        <f t="shared" si="6"/>
        <v>40</v>
      </c>
      <c r="Q12" s="149">
        <f t="shared" si="3"/>
        <v>40</v>
      </c>
      <c r="R12" s="149">
        <f t="shared" si="3"/>
        <v>40</v>
      </c>
      <c r="S12" s="149">
        <f t="shared" si="3"/>
        <v>40</v>
      </c>
      <c r="T12" s="149">
        <f t="shared" si="3"/>
        <v>40</v>
      </c>
      <c r="U12" s="149">
        <f t="shared" si="3"/>
        <v>40</v>
      </c>
      <c r="V12" s="149">
        <f t="shared" si="3"/>
        <v>40</v>
      </c>
    </row>
    <row r="13" spans="1:22" ht="12.75">
      <c r="A13" s="213" t="s">
        <v>0</v>
      </c>
      <c r="B13" s="214"/>
      <c r="C13" s="214">
        <f aca="true" t="shared" si="9" ref="C13:J13">SUM(C6:C12)</f>
        <v>132.40500000000003</v>
      </c>
      <c r="D13" s="214">
        <f t="shared" si="9"/>
        <v>132.40500000000003</v>
      </c>
      <c r="E13" s="214">
        <f t="shared" si="9"/>
        <v>132.40500000000003</v>
      </c>
      <c r="F13" s="214">
        <f t="shared" si="9"/>
        <v>132.40500000000003</v>
      </c>
      <c r="G13" s="214">
        <f t="shared" si="9"/>
        <v>132.40500000000003</v>
      </c>
      <c r="H13" s="214">
        <f t="shared" si="9"/>
        <v>132.40500000000003</v>
      </c>
      <c r="I13" s="214">
        <f t="shared" si="9"/>
        <v>132.40500000000003</v>
      </c>
      <c r="J13" s="214">
        <f t="shared" si="9"/>
        <v>132.40500000000003</v>
      </c>
      <c r="K13" s="214"/>
      <c r="M13" s="213" t="s">
        <v>0</v>
      </c>
      <c r="N13" s="214"/>
      <c r="O13" s="214">
        <f aca="true" t="shared" si="10" ref="O13:V13">SUM(O6:O12)</f>
        <v>264.81000000000006</v>
      </c>
      <c r="P13" s="214">
        <f t="shared" si="10"/>
        <v>1059.2400000000002</v>
      </c>
      <c r="Q13" s="214">
        <f t="shared" si="10"/>
        <v>1059.2400000000002</v>
      </c>
      <c r="R13" s="214">
        <f t="shared" si="10"/>
        <v>1059.2400000000002</v>
      </c>
      <c r="S13" s="214">
        <f t="shared" si="10"/>
        <v>1059.2400000000002</v>
      </c>
      <c r="T13" s="214">
        <f t="shared" si="10"/>
        <v>1059.2400000000002</v>
      </c>
      <c r="U13" s="214">
        <f t="shared" si="10"/>
        <v>1059.2400000000002</v>
      </c>
      <c r="V13" s="214">
        <f t="shared" si="10"/>
        <v>1059.2400000000002</v>
      </c>
    </row>
    <row r="15" spans="1:22" ht="12.75">
      <c r="A15" s="61" t="s">
        <v>77</v>
      </c>
      <c r="C15" s="163">
        <f aca="true" t="shared" si="11" ref="C15:J15">SUM(C16:C16)</f>
        <v>0.5695250000000001</v>
      </c>
      <c r="D15" s="163">
        <f t="shared" si="11"/>
        <v>0.5695250000000001</v>
      </c>
      <c r="E15" s="163">
        <f t="shared" si="11"/>
        <v>0.5695250000000001</v>
      </c>
      <c r="F15" s="163">
        <f t="shared" si="11"/>
        <v>0.5695250000000001</v>
      </c>
      <c r="G15" s="163">
        <f t="shared" si="11"/>
        <v>0.5695250000000001</v>
      </c>
      <c r="H15" s="163">
        <f t="shared" si="11"/>
        <v>0.5695250000000001</v>
      </c>
      <c r="I15" s="163">
        <f t="shared" si="11"/>
        <v>0.5695250000000001</v>
      </c>
      <c r="J15" s="163">
        <f t="shared" si="11"/>
        <v>0.5695250000000001</v>
      </c>
      <c r="M15" s="61" t="s">
        <v>77</v>
      </c>
      <c r="O15" s="194">
        <f aca="true" t="shared" si="12" ref="O15:V15">SUM(O16:O16)</f>
        <v>1.1390500000000001</v>
      </c>
      <c r="P15" s="194">
        <f t="shared" si="12"/>
        <v>4.5562000000000005</v>
      </c>
      <c r="Q15" s="194">
        <f t="shared" si="12"/>
        <v>4.5562000000000005</v>
      </c>
      <c r="R15" s="194">
        <f t="shared" si="12"/>
        <v>4.5562000000000005</v>
      </c>
      <c r="S15" s="194">
        <f t="shared" si="12"/>
        <v>4.5562000000000005</v>
      </c>
      <c r="T15" s="194">
        <f t="shared" si="12"/>
        <v>4.5562000000000005</v>
      </c>
      <c r="U15" s="194">
        <f t="shared" si="12"/>
        <v>4.5562000000000005</v>
      </c>
      <c r="V15" s="194">
        <f t="shared" si="12"/>
        <v>4.5562000000000005</v>
      </c>
    </row>
    <row r="16" spans="1:22" ht="25.5">
      <c r="A16" s="161" t="s">
        <v>78</v>
      </c>
      <c r="B16" s="164">
        <v>0.005</v>
      </c>
      <c r="C16" s="165">
        <f aca="true" t="shared" si="13" ref="C16:J16">C6*$B$16</f>
        <v>0.5695250000000001</v>
      </c>
      <c r="D16" s="165">
        <f t="shared" si="13"/>
        <v>0.5695250000000001</v>
      </c>
      <c r="E16" s="165">
        <f t="shared" si="13"/>
        <v>0.5695250000000001</v>
      </c>
      <c r="F16" s="165">
        <f t="shared" si="13"/>
        <v>0.5695250000000001</v>
      </c>
      <c r="G16" s="165">
        <f t="shared" si="13"/>
        <v>0.5695250000000001</v>
      </c>
      <c r="H16" s="165">
        <f t="shared" si="13"/>
        <v>0.5695250000000001</v>
      </c>
      <c r="I16" s="165">
        <f t="shared" si="13"/>
        <v>0.5695250000000001</v>
      </c>
      <c r="J16" s="165">
        <f t="shared" si="13"/>
        <v>0.5695250000000001</v>
      </c>
      <c r="M16" s="161" t="s">
        <v>78</v>
      </c>
      <c r="N16" s="167">
        <f>B16</f>
        <v>0.005</v>
      </c>
      <c r="O16" s="149">
        <f>C16*2</f>
        <v>1.1390500000000001</v>
      </c>
      <c r="P16" s="149">
        <f>D16*8</f>
        <v>4.5562000000000005</v>
      </c>
      <c r="Q16" s="149">
        <f aca="true" t="shared" si="14" ref="Q16:V16">E16*8</f>
        <v>4.5562000000000005</v>
      </c>
      <c r="R16" s="149">
        <f t="shared" si="14"/>
        <v>4.5562000000000005</v>
      </c>
      <c r="S16" s="149">
        <f t="shared" si="14"/>
        <v>4.5562000000000005</v>
      </c>
      <c r="T16" s="149">
        <f t="shared" si="14"/>
        <v>4.5562000000000005</v>
      </c>
      <c r="U16" s="149">
        <f t="shared" si="14"/>
        <v>4.5562000000000005</v>
      </c>
      <c r="V16" s="149">
        <f t="shared" si="14"/>
        <v>4.5562000000000005</v>
      </c>
    </row>
    <row r="18" spans="1:22" ht="12.75">
      <c r="A18" s="61" t="s">
        <v>79</v>
      </c>
      <c r="C18" s="166">
        <f>SUM(C19:C20)</f>
        <v>0.1</v>
      </c>
      <c r="D18" s="166">
        <f aca="true" t="shared" si="15" ref="D18:I18">SUM(D19:D20)</f>
        <v>0.1</v>
      </c>
      <c r="E18" s="166">
        <f t="shared" si="15"/>
        <v>0.1</v>
      </c>
      <c r="F18" s="166">
        <f t="shared" si="15"/>
        <v>0.1</v>
      </c>
      <c r="G18" s="166">
        <f t="shared" si="15"/>
        <v>0.1</v>
      </c>
      <c r="H18" s="166">
        <f t="shared" si="15"/>
        <v>0.1</v>
      </c>
      <c r="I18" s="166">
        <f t="shared" si="15"/>
        <v>0.1</v>
      </c>
      <c r="J18" s="166">
        <f>SUM(J19:J20)</f>
        <v>0.1</v>
      </c>
      <c r="M18" s="61" t="s">
        <v>79</v>
      </c>
      <c r="O18" s="166">
        <f>SUM(O19:O20)</f>
        <v>0.2</v>
      </c>
      <c r="P18" s="166">
        <f aca="true" t="shared" si="16" ref="P18:U18">SUM(P19:P20)</f>
        <v>0.8</v>
      </c>
      <c r="Q18" s="166">
        <f t="shared" si="16"/>
        <v>0.8</v>
      </c>
      <c r="R18" s="166">
        <f t="shared" si="16"/>
        <v>0.8</v>
      </c>
      <c r="S18" s="166">
        <f t="shared" si="16"/>
        <v>0.8</v>
      </c>
      <c r="T18" s="166">
        <f t="shared" si="16"/>
        <v>0.8</v>
      </c>
      <c r="U18" s="166">
        <f t="shared" si="16"/>
        <v>0.8</v>
      </c>
      <c r="V18" s="166">
        <f>SUM(V19:V20)</f>
        <v>0.8</v>
      </c>
    </row>
    <row r="19" spans="1:22" ht="12.75">
      <c r="A19" s="74" t="s">
        <v>1</v>
      </c>
      <c r="B19" s="167">
        <f>Исх!C16</f>
        <v>0.015</v>
      </c>
      <c r="C19" s="149">
        <f>(C32+C35)/2*$B$19/12*0</f>
        <v>0</v>
      </c>
      <c r="D19" s="149">
        <f aca="true" t="shared" si="17" ref="D19:J19">(D32+D35)/2*$B$19/12*0</f>
        <v>0</v>
      </c>
      <c r="E19" s="149">
        <f t="shared" si="17"/>
        <v>0</v>
      </c>
      <c r="F19" s="149">
        <f t="shared" si="17"/>
        <v>0</v>
      </c>
      <c r="G19" s="149">
        <f t="shared" si="17"/>
        <v>0</v>
      </c>
      <c r="H19" s="149">
        <f t="shared" si="17"/>
        <v>0</v>
      </c>
      <c r="I19" s="149">
        <f t="shared" si="17"/>
        <v>0</v>
      </c>
      <c r="J19" s="149">
        <f t="shared" si="17"/>
        <v>0</v>
      </c>
      <c r="M19" s="74" t="s">
        <v>1</v>
      </c>
      <c r="N19" s="167">
        <f>B19</f>
        <v>0.015</v>
      </c>
      <c r="O19" s="149">
        <f>C19*2</f>
        <v>0</v>
      </c>
      <c r="P19" s="149">
        <f>D19*8</f>
        <v>0</v>
      </c>
      <c r="Q19" s="149">
        <f aca="true" t="shared" si="18" ref="Q19:V20">E19*8</f>
        <v>0</v>
      </c>
      <c r="R19" s="149">
        <f t="shared" si="18"/>
        <v>0</v>
      </c>
      <c r="S19" s="149">
        <f t="shared" si="18"/>
        <v>0</v>
      </c>
      <c r="T19" s="149">
        <f t="shared" si="18"/>
        <v>0</v>
      </c>
      <c r="U19" s="149">
        <f t="shared" si="18"/>
        <v>0</v>
      </c>
      <c r="V19" s="149">
        <f t="shared" si="18"/>
        <v>0</v>
      </c>
    </row>
    <row r="20" spans="1:22" ht="12.75">
      <c r="A20" s="74" t="s">
        <v>207</v>
      </c>
      <c r="B20" s="74"/>
      <c r="C20" s="142">
        <v>0.1</v>
      </c>
      <c r="D20" s="149">
        <f aca="true" t="shared" si="19" ref="D20:J20">C20+C20*$D$3</f>
        <v>0.1</v>
      </c>
      <c r="E20" s="149">
        <f t="shared" si="19"/>
        <v>0.1</v>
      </c>
      <c r="F20" s="149">
        <f t="shared" si="19"/>
        <v>0.1</v>
      </c>
      <c r="G20" s="149">
        <f t="shared" si="19"/>
        <v>0.1</v>
      </c>
      <c r="H20" s="149">
        <f t="shared" si="19"/>
        <v>0.1</v>
      </c>
      <c r="I20" s="149">
        <f t="shared" si="19"/>
        <v>0.1</v>
      </c>
      <c r="J20" s="149">
        <f t="shared" si="19"/>
        <v>0.1</v>
      </c>
      <c r="M20" s="74" t="s">
        <v>207</v>
      </c>
      <c r="N20" s="74"/>
      <c r="O20" s="149">
        <f>C20*2</f>
        <v>0.2</v>
      </c>
      <c r="P20" s="149">
        <f>D20*8</f>
        <v>0.8</v>
      </c>
      <c r="Q20" s="149">
        <f t="shared" si="18"/>
        <v>0.8</v>
      </c>
      <c r="R20" s="149">
        <f t="shared" si="18"/>
        <v>0.8</v>
      </c>
      <c r="S20" s="149">
        <f t="shared" si="18"/>
        <v>0.8</v>
      </c>
      <c r="T20" s="149">
        <f t="shared" si="18"/>
        <v>0.8</v>
      </c>
      <c r="U20" s="149">
        <f t="shared" si="18"/>
        <v>0.8</v>
      </c>
      <c r="V20" s="149">
        <f t="shared" si="18"/>
        <v>0.8</v>
      </c>
    </row>
    <row r="22" spans="3:13" ht="12.75">
      <c r="C22" s="168"/>
      <c r="M22" s="71" t="s">
        <v>336</v>
      </c>
    </row>
    <row r="23" spans="1:10" ht="12.75">
      <c r="A23" s="61" t="s">
        <v>80</v>
      </c>
      <c r="C23" s="166"/>
      <c r="D23" s="166"/>
      <c r="E23" s="166"/>
      <c r="F23" s="166"/>
      <c r="G23" s="166"/>
      <c r="H23" s="166"/>
      <c r="I23" s="166"/>
      <c r="J23" s="166"/>
    </row>
    <row r="24" spans="1:10" ht="12.75">
      <c r="A24" s="138" t="s">
        <v>86</v>
      </c>
      <c r="B24" s="74"/>
      <c r="C24" s="139">
        <f aca="true" t="shared" si="20" ref="C24:J24">C5</f>
        <v>2013</v>
      </c>
      <c r="D24" s="139">
        <f t="shared" si="20"/>
        <v>2014</v>
      </c>
      <c r="E24" s="139">
        <f t="shared" si="20"/>
        <v>2015</v>
      </c>
      <c r="F24" s="139">
        <f t="shared" si="20"/>
        <v>2016</v>
      </c>
      <c r="G24" s="139">
        <f t="shared" si="20"/>
        <v>2017</v>
      </c>
      <c r="H24" s="139">
        <f t="shared" si="20"/>
        <v>2018</v>
      </c>
      <c r="I24" s="139">
        <f t="shared" si="20"/>
        <v>2019</v>
      </c>
      <c r="J24" s="139">
        <f t="shared" si="20"/>
        <v>2020</v>
      </c>
    </row>
    <row r="25" spans="1:10" ht="12.75">
      <c r="A25" s="74" t="s">
        <v>81</v>
      </c>
      <c r="B25" s="169"/>
      <c r="C25" s="74"/>
      <c r="D25" s="74"/>
      <c r="E25" s="74"/>
      <c r="F25" s="74"/>
      <c r="G25" s="74"/>
      <c r="H25" s="74"/>
      <c r="I25" s="74"/>
      <c r="J25" s="74"/>
    </row>
    <row r="26" spans="1:10" ht="12.75">
      <c r="A26" s="74" t="s">
        <v>82</v>
      </c>
      <c r="B26" s="170"/>
      <c r="C26" s="149">
        <f>C32+C38+C44</f>
        <v>0</v>
      </c>
      <c r="D26" s="149">
        <f aca="true" t="shared" si="21" ref="D26:I26">D32+D38+D44</f>
        <v>1014.063326984127</v>
      </c>
      <c r="E26" s="149">
        <f t="shared" si="21"/>
        <v>1014.063326984127</v>
      </c>
      <c r="F26" s="149">
        <f t="shared" si="21"/>
        <v>1014.063326984127</v>
      </c>
      <c r="G26" s="149">
        <f t="shared" si="21"/>
        <v>934.7530177777778</v>
      </c>
      <c r="H26" s="149">
        <f t="shared" si="21"/>
        <v>855.4427085714286</v>
      </c>
      <c r="I26" s="149">
        <f t="shared" si="21"/>
        <v>776.1323993650794</v>
      </c>
      <c r="J26" s="149">
        <f>J32+J38+J44</f>
        <v>696.8220901587301</v>
      </c>
    </row>
    <row r="27" spans="1:10" ht="12.75">
      <c r="A27" s="74" t="s">
        <v>83</v>
      </c>
      <c r="B27" s="170"/>
      <c r="C27" s="149">
        <f>C33+C39+C45</f>
        <v>1014.063326984127</v>
      </c>
      <c r="D27" s="149">
        <f aca="true" t="shared" si="22" ref="D27:I27">D33+D39+D45</f>
        <v>0</v>
      </c>
      <c r="E27" s="149">
        <f t="shared" si="22"/>
        <v>0</v>
      </c>
      <c r="F27" s="149">
        <f t="shared" si="22"/>
        <v>0</v>
      </c>
      <c r="G27" s="149">
        <f t="shared" si="22"/>
        <v>0</v>
      </c>
      <c r="H27" s="149">
        <f t="shared" si="22"/>
        <v>0</v>
      </c>
      <c r="I27" s="149">
        <f t="shared" si="22"/>
        <v>0</v>
      </c>
      <c r="J27" s="149">
        <f>J33+J39+J45</f>
        <v>0</v>
      </c>
    </row>
    <row r="28" spans="1:10" ht="12.75">
      <c r="A28" s="151" t="s">
        <v>84</v>
      </c>
      <c r="B28" s="151"/>
      <c r="C28" s="150">
        <f>C34+C40+C46</f>
        <v>0</v>
      </c>
      <c r="D28" s="150">
        <f aca="true" t="shared" si="23" ref="D28:I28">D34+D40+D46</f>
        <v>0</v>
      </c>
      <c r="E28" s="150">
        <f t="shared" si="23"/>
        <v>0</v>
      </c>
      <c r="F28" s="150">
        <f t="shared" si="23"/>
        <v>79.31030920634922</v>
      </c>
      <c r="G28" s="150">
        <f t="shared" si="23"/>
        <v>79.31030920634922</v>
      </c>
      <c r="H28" s="150">
        <f t="shared" si="23"/>
        <v>79.31030920634922</v>
      </c>
      <c r="I28" s="150">
        <f t="shared" si="23"/>
        <v>79.31030920634922</v>
      </c>
      <c r="J28" s="150">
        <f>J34+J40+J46</f>
        <v>79.31030920634922</v>
      </c>
    </row>
    <row r="29" spans="1:10" ht="12.75">
      <c r="A29" s="74" t="s">
        <v>85</v>
      </c>
      <c r="B29" s="170"/>
      <c r="C29" s="149">
        <f aca="true" t="shared" si="24" ref="C29:I29">C26+C27-C28</f>
        <v>1014.063326984127</v>
      </c>
      <c r="D29" s="149">
        <f t="shared" si="24"/>
        <v>1014.063326984127</v>
      </c>
      <c r="E29" s="149">
        <f t="shared" si="24"/>
        <v>1014.063326984127</v>
      </c>
      <c r="F29" s="149">
        <f t="shared" si="24"/>
        <v>934.7530177777778</v>
      </c>
      <c r="G29" s="149">
        <f t="shared" si="24"/>
        <v>855.4427085714286</v>
      </c>
      <c r="H29" s="149">
        <f t="shared" si="24"/>
        <v>776.1323993650794</v>
      </c>
      <c r="I29" s="149">
        <f t="shared" si="24"/>
        <v>696.8220901587302</v>
      </c>
      <c r="J29" s="149">
        <f>J26+J27-J28</f>
        <v>617.511780952381</v>
      </c>
    </row>
    <row r="30" spans="1:10" ht="12.75" hidden="1" outlineLevel="1">
      <c r="A30" s="72" t="s">
        <v>183</v>
      </c>
      <c r="C30" s="139"/>
      <c r="D30" s="139"/>
      <c r="E30" s="139"/>
      <c r="F30" s="139"/>
      <c r="G30" s="139"/>
      <c r="H30" s="139"/>
      <c r="I30" s="139"/>
      <c r="J30" s="139"/>
    </row>
    <row r="31" spans="1:10" ht="12.75" hidden="1" outlineLevel="1">
      <c r="A31" s="74" t="s">
        <v>81</v>
      </c>
      <c r="B31" s="171">
        <v>0.05</v>
      </c>
      <c r="C31" s="74"/>
      <c r="D31" s="74"/>
      <c r="E31" s="74"/>
      <c r="F31" s="74"/>
      <c r="G31" s="74"/>
      <c r="H31" s="74"/>
      <c r="I31" s="74"/>
      <c r="J31" s="74"/>
    </row>
    <row r="32" spans="1:10" ht="12.75" hidden="1" outlineLevel="1">
      <c r="A32" s="74" t="s">
        <v>82</v>
      </c>
      <c r="B32" s="170"/>
      <c r="C32" s="143"/>
      <c r="D32" s="149">
        <f aca="true" t="shared" si="25" ref="D32:J32">C35</f>
        <v>632.6347555555556</v>
      </c>
      <c r="E32" s="149">
        <f t="shared" si="25"/>
        <v>632.6347555555556</v>
      </c>
      <c r="F32" s="149">
        <f t="shared" si="25"/>
        <v>632.6347555555556</v>
      </c>
      <c r="G32" s="149">
        <f t="shared" si="25"/>
        <v>601.0030177777778</v>
      </c>
      <c r="H32" s="149">
        <f t="shared" si="25"/>
        <v>569.3712800000001</v>
      </c>
      <c r="I32" s="149">
        <f t="shared" si="25"/>
        <v>537.7395422222223</v>
      </c>
      <c r="J32" s="149">
        <f t="shared" si="25"/>
        <v>506.1078044444445</v>
      </c>
    </row>
    <row r="33" spans="1:10" ht="12.75" hidden="1" outlineLevel="1">
      <c r="A33" s="74" t="s">
        <v>83</v>
      </c>
      <c r="B33" s="170"/>
      <c r="C33" s="149">
        <f>Инв!C19</f>
        <v>632.6347555555556</v>
      </c>
      <c r="D33" s="149"/>
      <c r="E33" s="149"/>
      <c r="F33" s="149"/>
      <c r="G33" s="149"/>
      <c r="H33" s="149"/>
      <c r="I33" s="149"/>
      <c r="J33" s="149"/>
    </row>
    <row r="34" spans="1:10" ht="12.75" hidden="1" outlineLevel="1">
      <c r="A34" s="151" t="s">
        <v>84</v>
      </c>
      <c r="B34" s="151"/>
      <c r="C34" s="150">
        <f>$C33*$B31/12*0</f>
        <v>0</v>
      </c>
      <c r="D34" s="150">
        <f>$C33*$B31*0</f>
        <v>0</v>
      </c>
      <c r="E34" s="150">
        <f>$C33*$B31*0</f>
        <v>0</v>
      </c>
      <c r="F34" s="150">
        <f>$C33*$B31</f>
        <v>31.63173777777778</v>
      </c>
      <c r="G34" s="150">
        <f>$C33*$B31</f>
        <v>31.63173777777778</v>
      </c>
      <c r="H34" s="150">
        <f>$C33*$B31</f>
        <v>31.63173777777778</v>
      </c>
      <c r="I34" s="150">
        <f>$C33*$B31</f>
        <v>31.63173777777778</v>
      </c>
      <c r="J34" s="150">
        <f>$C33*$B31</f>
        <v>31.63173777777778</v>
      </c>
    </row>
    <row r="35" spans="1:10" ht="12.75" hidden="1" outlineLevel="1">
      <c r="A35" s="74" t="s">
        <v>85</v>
      </c>
      <c r="B35" s="170"/>
      <c r="C35" s="149">
        <f aca="true" t="shared" si="26" ref="C35:I35">C32+C33-C34</f>
        <v>632.6347555555556</v>
      </c>
      <c r="D35" s="149">
        <f t="shared" si="26"/>
        <v>632.6347555555556</v>
      </c>
      <c r="E35" s="149">
        <f t="shared" si="26"/>
        <v>632.6347555555556</v>
      </c>
      <c r="F35" s="149">
        <f t="shared" si="26"/>
        <v>601.0030177777778</v>
      </c>
      <c r="G35" s="149">
        <f t="shared" si="26"/>
        <v>569.3712800000001</v>
      </c>
      <c r="H35" s="149">
        <f t="shared" si="26"/>
        <v>537.7395422222223</v>
      </c>
      <c r="I35" s="149">
        <f t="shared" si="26"/>
        <v>506.1078044444445</v>
      </c>
      <c r="J35" s="149">
        <f>J32+J33-J34</f>
        <v>474.4760666666667</v>
      </c>
    </row>
    <row r="36" spans="1:10" ht="12.75" hidden="1" outlineLevel="1">
      <c r="A36" s="72" t="s">
        <v>103</v>
      </c>
      <c r="C36" s="139"/>
      <c r="D36" s="139"/>
      <c r="E36" s="139"/>
      <c r="F36" s="139"/>
      <c r="G36" s="139"/>
      <c r="H36" s="139"/>
      <c r="I36" s="139"/>
      <c r="J36" s="139"/>
    </row>
    <row r="37" spans="1:10" ht="12.75" hidden="1" outlineLevel="1">
      <c r="A37" s="74" t="s">
        <v>81</v>
      </c>
      <c r="B37" s="171">
        <v>0.1</v>
      </c>
      <c r="C37" s="74"/>
      <c r="D37" s="74"/>
      <c r="E37" s="74"/>
      <c r="F37" s="74"/>
      <c r="G37" s="74"/>
      <c r="H37" s="74"/>
      <c r="I37" s="74"/>
      <c r="J37" s="74"/>
    </row>
    <row r="38" spans="1:10" ht="12.75" hidden="1" outlineLevel="1">
      <c r="A38" s="74" t="s">
        <v>82</v>
      </c>
      <c r="B38" s="170"/>
      <c r="C38" s="149"/>
      <c r="D38" s="149">
        <f aca="true" t="shared" si="27" ref="D38:J38">C41</f>
        <v>0</v>
      </c>
      <c r="E38" s="149">
        <f t="shared" si="27"/>
        <v>0</v>
      </c>
      <c r="F38" s="149">
        <f t="shared" si="27"/>
        <v>0</v>
      </c>
      <c r="G38" s="149">
        <f t="shared" si="27"/>
        <v>0</v>
      </c>
      <c r="H38" s="149">
        <f t="shared" si="27"/>
        <v>0</v>
      </c>
      <c r="I38" s="149">
        <f t="shared" si="27"/>
        <v>0</v>
      </c>
      <c r="J38" s="149">
        <f t="shared" si="27"/>
        <v>0</v>
      </c>
    </row>
    <row r="39" spans="1:10" ht="12.75" hidden="1" outlineLevel="1">
      <c r="A39" s="74" t="s">
        <v>83</v>
      </c>
      <c r="B39" s="170"/>
      <c r="C39" s="149">
        <f>Инв!C20</f>
        <v>0</v>
      </c>
      <c r="D39" s="149"/>
      <c r="E39" s="149"/>
      <c r="F39" s="149"/>
      <c r="G39" s="149"/>
      <c r="H39" s="149"/>
      <c r="I39" s="149"/>
      <c r="J39" s="149"/>
    </row>
    <row r="40" spans="1:10" ht="12.75" hidden="1" outlineLevel="1">
      <c r="A40" s="151" t="s">
        <v>84</v>
      </c>
      <c r="B40" s="151"/>
      <c r="C40" s="150">
        <f>$C39*$B37/12*0</f>
        <v>0</v>
      </c>
      <c r="D40" s="150">
        <f>$C39*$B37*0</f>
        <v>0</v>
      </c>
      <c r="E40" s="150">
        <f>$C39*$B37*0</f>
        <v>0</v>
      </c>
      <c r="F40" s="150">
        <f>$C39*$B37</f>
        <v>0</v>
      </c>
      <c r="G40" s="150">
        <f>$C39*$B37</f>
        <v>0</v>
      </c>
      <c r="H40" s="150">
        <f>$C39*$B37</f>
        <v>0</v>
      </c>
      <c r="I40" s="150">
        <f>$C39*$B37</f>
        <v>0</v>
      </c>
      <c r="J40" s="150">
        <f>$C39*$B37</f>
        <v>0</v>
      </c>
    </row>
    <row r="41" spans="1:10" ht="12.75" hidden="1" outlineLevel="1">
      <c r="A41" s="74" t="s">
        <v>85</v>
      </c>
      <c r="B41" s="170"/>
      <c r="C41" s="149">
        <f aca="true" t="shared" si="28" ref="C41:I41">C38+C39-C40</f>
        <v>0</v>
      </c>
      <c r="D41" s="149">
        <f t="shared" si="28"/>
        <v>0</v>
      </c>
      <c r="E41" s="149">
        <f t="shared" si="28"/>
        <v>0</v>
      </c>
      <c r="F41" s="149">
        <f t="shared" si="28"/>
        <v>0</v>
      </c>
      <c r="G41" s="149">
        <f t="shared" si="28"/>
        <v>0</v>
      </c>
      <c r="H41" s="149">
        <f t="shared" si="28"/>
        <v>0</v>
      </c>
      <c r="I41" s="149">
        <f t="shared" si="28"/>
        <v>0</v>
      </c>
      <c r="J41" s="149">
        <f>J38+J39-J40</f>
        <v>0</v>
      </c>
    </row>
    <row r="42" spans="1:10" ht="12.75" hidden="1" outlineLevel="1">
      <c r="A42" s="72" t="s">
        <v>188</v>
      </c>
      <c r="C42" s="139"/>
      <c r="D42" s="139"/>
      <c r="E42" s="139"/>
      <c r="F42" s="139"/>
      <c r="G42" s="139"/>
      <c r="H42" s="139"/>
      <c r="I42" s="139"/>
      <c r="J42" s="139"/>
    </row>
    <row r="43" spans="1:10" ht="12.75" hidden="1" outlineLevel="1">
      <c r="A43" s="74" t="s">
        <v>81</v>
      </c>
      <c r="B43" s="171">
        <f>1/8</f>
        <v>0.125</v>
      </c>
      <c r="C43" s="74"/>
      <c r="D43" s="74"/>
      <c r="E43" s="74"/>
      <c r="F43" s="74"/>
      <c r="G43" s="74"/>
      <c r="H43" s="74"/>
      <c r="I43" s="74"/>
      <c r="J43" s="74"/>
    </row>
    <row r="44" spans="1:10" ht="12.75" hidden="1" outlineLevel="1">
      <c r="A44" s="74" t="s">
        <v>82</v>
      </c>
      <c r="B44" s="170"/>
      <c r="C44" s="149"/>
      <c r="D44" s="149">
        <f aca="true" t="shared" si="29" ref="D44:J44">C47</f>
        <v>381.42857142857144</v>
      </c>
      <c r="E44" s="149">
        <f t="shared" si="29"/>
        <v>381.42857142857144</v>
      </c>
      <c r="F44" s="149">
        <f t="shared" si="29"/>
        <v>381.42857142857144</v>
      </c>
      <c r="G44" s="149">
        <f t="shared" si="29"/>
        <v>333.75</v>
      </c>
      <c r="H44" s="149">
        <f t="shared" si="29"/>
        <v>286.07142857142856</v>
      </c>
      <c r="I44" s="149">
        <f t="shared" si="29"/>
        <v>238.3928571428571</v>
      </c>
      <c r="J44" s="149">
        <f t="shared" si="29"/>
        <v>190.71428571428567</v>
      </c>
    </row>
    <row r="45" spans="1:10" ht="12.75" hidden="1" outlineLevel="1">
      <c r="A45" s="74" t="s">
        <v>83</v>
      </c>
      <c r="B45" s="170"/>
      <c r="C45" s="149">
        <f>Инв!C21</f>
        <v>381.42857142857144</v>
      </c>
      <c r="D45" s="149"/>
      <c r="E45" s="149"/>
      <c r="F45" s="149"/>
      <c r="G45" s="149"/>
      <c r="H45" s="149"/>
      <c r="I45" s="149"/>
      <c r="J45" s="149"/>
    </row>
    <row r="46" spans="1:10" ht="12.75" hidden="1" outlineLevel="1">
      <c r="A46" s="151" t="s">
        <v>84</v>
      </c>
      <c r="B46" s="151"/>
      <c r="C46" s="150">
        <f>$C45*$B43/12*0</f>
        <v>0</v>
      </c>
      <c r="D46" s="150">
        <f>$C45*$B43*0</f>
        <v>0</v>
      </c>
      <c r="E46" s="150">
        <f>$C45*$B43*0</f>
        <v>0</v>
      </c>
      <c r="F46" s="150">
        <f>$C45*$B43</f>
        <v>47.67857142857143</v>
      </c>
      <c r="G46" s="150">
        <f>$C45*$B43</f>
        <v>47.67857142857143</v>
      </c>
      <c r="H46" s="150">
        <f>$C45*$B43</f>
        <v>47.67857142857143</v>
      </c>
      <c r="I46" s="150">
        <f>$C45*$B43</f>
        <v>47.67857142857143</v>
      </c>
      <c r="J46" s="150">
        <f>$C45*$B43</f>
        <v>47.67857142857143</v>
      </c>
    </row>
    <row r="47" spans="1:10" ht="12.75" hidden="1" outlineLevel="1">
      <c r="A47" s="74" t="s">
        <v>85</v>
      </c>
      <c r="B47" s="170"/>
      <c r="C47" s="149">
        <f aca="true" t="shared" si="30" ref="C47:I47">C44+C45-C46</f>
        <v>381.42857142857144</v>
      </c>
      <c r="D47" s="149">
        <f t="shared" si="30"/>
        <v>381.42857142857144</v>
      </c>
      <c r="E47" s="149">
        <f t="shared" si="30"/>
        <v>381.42857142857144</v>
      </c>
      <c r="F47" s="149">
        <f t="shared" si="30"/>
        <v>333.75</v>
      </c>
      <c r="G47" s="149">
        <f t="shared" si="30"/>
        <v>286.07142857142856</v>
      </c>
      <c r="H47" s="149">
        <f t="shared" si="30"/>
        <v>238.3928571428571</v>
      </c>
      <c r="I47" s="149">
        <f t="shared" si="30"/>
        <v>190.71428571428567</v>
      </c>
      <c r="J47" s="149">
        <f>J44+J45-J46</f>
        <v>143.03571428571422</v>
      </c>
    </row>
    <row r="48" ht="12.75" collapsed="1"/>
  </sheetData>
  <sheetProtection/>
  <printOptions/>
  <pageMargins left="0.4" right="0.75" top="0.3" bottom="1.87" header="0.2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2:M26"/>
  <sheetViews>
    <sheetView showGridLines="0" zoomScalePageLayoutView="0" workbookViewId="0" topLeftCell="A1">
      <pane xSplit="1" ySplit="4" topLeftCell="B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F23" sqref="F23"/>
    </sheetView>
  </sheetViews>
  <sheetFormatPr defaultColWidth="9.00390625" defaultRowHeight="12.75"/>
  <cols>
    <col min="1" max="1" width="4.375" style="71" customWidth="1"/>
    <col min="2" max="2" width="32.75390625" style="71" customWidth="1"/>
    <col min="3" max="3" width="10.00390625" style="71" customWidth="1"/>
    <col min="4" max="4" width="10.375" style="71" customWidth="1"/>
    <col min="5" max="5" width="12.25390625" style="71" customWidth="1"/>
    <col min="6" max="8" width="11.625" style="71" customWidth="1"/>
    <col min="9" max="9" width="11.625" style="71" hidden="1" customWidth="1"/>
    <col min="10" max="10" width="10.125" style="71" customWidth="1"/>
    <col min="11" max="11" width="9.625" style="71" customWidth="1"/>
    <col min="12" max="12" width="18.25390625" style="71" customWidth="1"/>
    <col min="13" max="16384" width="9.125" style="71" customWidth="1"/>
  </cols>
  <sheetData>
    <row r="1" ht="5.25" customHeight="1"/>
    <row r="2" spans="1:11" ht="16.5" customHeight="1">
      <c r="A2" s="61" t="s">
        <v>141</v>
      </c>
      <c r="D2" s="160"/>
      <c r="E2" s="160"/>
      <c r="F2" s="160"/>
      <c r="G2" s="160"/>
      <c r="H2" s="160"/>
      <c r="I2" s="160"/>
      <c r="J2" s="160"/>
      <c r="K2" s="212" t="str">
        <f>Исх!C9</f>
        <v>тыс.тг.</v>
      </c>
    </row>
    <row r="3" spans="1:11" ht="8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3" ht="42" customHeight="1">
      <c r="A4" s="257" t="s">
        <v>33</v>
      </c>
      <c r="B4" s="217" t="s">
        <v>34</v>
      </c>
      <c r="C4" s="217" t="s">
        <v>35</v>
      </c>
      <c r="D4" s="147" t="s">
        <v>93</v>
      </c>
      <c r="E4" s="147" t="s">
        <v>94</v>
      </c>
      <c r="F4" s="147" t="s">
        <v>45</v>
      </c>
      <c r="G4" s="147" t="s">
        <v>46</v>
      </c>
      <c r="H4" s="147" t="s">
        <v>47</v>
      </c>
      <c r="I4" s="147" t="s">
        <v>48</v>
      </c>
      <c r="J4" s="147" t="s">
        <v>49</v>
      </c>
      <c r="K4" s="147" t="s">
        <v>42</v>
      </c>
      <c r="M4" s="233">
        <f>'1-Ф3'!B2</f>
        <v>0</v>
      </c>
    </row>
    <row r="5" spans="1:11" s="61" customFormat="1" ht="12.75">
      <c r="A5" s="140"/>
      <c r="B5" s="148" t="s">
        <v>92</v>
      </c>
      <c r="C5" s="140"/>
      <c r="D5" s="140"/>
      <c r="E5" s="140"/>
      <c r="F5" s="140"/>
      <c r="G5" s="140"/>
      <c r="H5" s="140"/>
      <c r="I5" s="140"/>
      <c r="J5" s="140"/>
      <c r="K5" s="140"/>
    </row>
    <row r="6" spans="1:11" ht="12.75">
      <c r="A6" s="74">
        <v>1</v>
      </c>
      <c r="B6" s="74" t="s">
        <v>248</v>
      </c>
      <c r="C6" s="74">
        <v>1</v>
      </c>
      <c r="D6" s="142">
        <f>19</f>
        <v>19</v>
      </c>
      <c r="E6" s="149">
        <f>C6*D6</f>
        <v>19</v>
      </c>
      <c r="F6" s="149">
        <f>E6*$C$21</f>
        <v>1.9000000000000001</v>
      </c>
      <c r="G6" s="149">
        <f>(E6-$C$25*C6-F6)*$C$23</f>
        <v>-0.15600000000000003</v>
      </c>
      <c r="H6" s="149">
        <f>(E6-F6)*$C$22</f>
        <v>0.8550000000000001</v>
      </c>
      <c r="I6" s="149">
        <f>((E6-F6)*$C$24-H6)*0</f>
        <v>0</v>
      </c>
      <c r="J6" s="149">
        <f>E6-F6-G6</f>
        <v>17.256</v>
      </c>
      <c r="K6" s="150">
        <f>SUM(F6:J6)</f>
        <v>19.855</v>
      </c>
    </row>
    <row r="7" spans="1:11" s="61" customFormat="1" ht="12.75">
      <c r="A7" s="151"/>
      <c r="B7" s="151" t="s">
        <v>0</v>
      </c>
      <c r="C7" s="31">
        <f aca="true" t="shared" si="0" ref="C7:K7">SUM(C6:C6)</f>
        <v>1</v>
      </c>
      <c r="D7" s="31">
        <f t="shared" si="0"/>
        <v>19</v>
      </c>
      <c r="E7" s="31">
        <f t="shared" si="0"/>
        <v>19</v>
      </c>
      <c r="F7" s="31">
        <f t="shared" si="0"/>
        <v>1.9000000000000001</v>
      </c>
      <c r="G7" s="31">
        <f t="shared" si="0"/>
        <v>-0.15600000000000003</v>
      </c>
      <c r="H7" s="31">
        <f t="shared" si="0"/>
        <v>0.8550000000000001</v>
      </c>
      <c r="I7" s="31">
        <f t="shared" si="0"/>
        <v>0</v>
      </c>
      <c r="J7" s="31">
        <f t="shared" si="0"/>
        <v>17.256</v>
      </c>
      <c r="K7" s="31">
        <f t="shared" si="0"/>
        <v>19.855</v>
      </c>
    </row>
    <row r="8" spans="1:11" s="61" customFormat="1" ht="12.75">
      <c r="A8" s="140"/>
      <c r="B8" s="140" t="s">
        <v>98</v>
      </c>
      <c r="C8" s="140"/>
      <c r="D8" s="141"/>
      <c r="E8" s="141"/>
      <c r="F8" s="141"/>
      <c r="G8" s="141"/>
      <c r="H8" s="141"/>
      <c r="I8" s="141"/>
      <c r="J8" s="141"/>
      <c r="K8" s="141"/>
    </row>
    <row r="9" spans="1:12" ht="25.5">
      <c r="A9" s="111">
        <v>1</v>
      </c>
      <c r="B9" s="111" t="s">
        <v>335</v>
      </c>
      <c r="C9" s="111">
        <f>Исх!C22/2000</f>
        <v>3</v>
      </c>
      <c r="D9" s="297">
        <v>30</v>
      </c>
      <c r="E9" s="112">
        <f>C9*D9</f>
        <v>90</v>
      </c>
      <c r="F9" s="112">
        <f>E9*$C$21</f>
        <v>9</v>
      </c>
      <c r="G9" s="112">
        <f>(E9-$C$25*C9-F9)*$C$23</f>
        <v>2.502</v>
      </c>
      <c r="H9" s="112">
        <f>(E9-F9)*$C$22</f>
        <v>4.05</v>
      </c>
      <c r="I9" s="112">
        <f>((E9-F9)*$C$24-H9)*0</f>
        <v>0</v>
      </c>
      <c r="J9" s="112">
        <f>E9-F9-G9</f>
        <v>78.498</v>
      </c>
      <c r="K9" s="113">
        <f>SUM(F9:J9)</f>
        <v>94.05000000000001</v>
      </c>
      <c r="L9" s="306" t="s">
        <v>341</v>
      </c>
    </row>
    <row r="10" spans="1:11" ht="12.75" hidden="1">
      <c r="A10" s="74"/>
      <c r="B10" s="74"/>
      <c r="C10" s="149"/>
      <c r="D10" s="143"/>
      <c r="E10" s="149">
        <f>C10*D10</f>
        <v>0</v>
      </c>
      <c r="F10" s="149">
        <f>E10*$C$21</f>
        <v>0</v>
      </c>
      <c r="G10" s="149">
        <f>(E10-$C$25*C10-F10)*$C$23</f>
        <v>0</v>
      </c>
      <c r="H10" s="149">
        <f>(E10-F10)*$C$22</f>
        <v>0</v>
      </c>
      <c r="I10" s="149">
        <f>((E10-F10)*$C$24-H10)*0</f>
        <v>0</v>
      </c>
      <c r="J10" s="149">
        <f>E10-F10-G10</f>
        <v>0</v>
      </c>
      <c r="K10" s="150">
        <f>SUM(F10:J10)</f>
        <v>0</v>
      </c>
    </row>
    <row r="11" spans="1:11" s="61" customFormat="1" ht="12.75">
      <c r="A11" s="151"/>
      <c r="B11" s="152" t="s">
        <v>0</v>
      </c>
      <c r="C11" s="151">
        <f aca="true" t="shared" si="1" ref="C11:K11">SUM(C8:C10)</f>
        <v>3</v>
      </c>
      <c r="D11" s="150">
        <f t="shared" si="1"/>
        <v>30</v>
      </c>
      <c r="E11" s="150">
        <f t="shared" si="1"/>
        <v>90</v>
      </c>
      <c r="F11" s="150">
        <f t="shared" si="1"/>
        <v>9</v>
      </c>
      <c r="G11" s="150">
        <f t="shared" si="1"/>
        <v>2.502</v>
      </c>
      <c r="H11" s="150">
        <f t="shared" si="1"/>
        <v>4.05</v>
      </c>
      <c r="I11" s="150">
        <f t="shared" si="1"/>
        <v>0</v>
      </c>
      <c r="J11" s="150">
        <f t="shared" si="1"/>
        <v>78.498</v>
      </c>
      <c r="K11" s="150">
        <f t="shared" si="1"/>
        <v>94.05000000000001</v>
      </c>
    </row>
    <row r="12" spans="1:11" s="61" customFormat="1" ht="12.75" hidden="1">
      <c r="A12" s="140"/>
      <c r="B12" s="140" t="s">
        <v>99</v>
      </c>
      <c r="C12" s="140"/>
      <c r="D12" s="141"/>
      <c r="E12" s="141"/>
      <c r="F12" s="141"/>
      <c r="G12" s="141"/>
      <c r="H12" s="141"/>
      <c r="I12" s="141"/>
      <c r="J12" s="141"/>
      <c r="K12" s="141"/>
    </row>
    <row r="13" spans="1:11" ht="12.75" hidden="1">
      <c r="A13" s="74"/>
      <c r="B13" s="74"/>
      <c r="C13" s="149"/>
      <c r="D13" s="142"/>
      <c r="E13" s="149">
        <f>C13*D13</f>
        <v>0</v>
      </c>
      <c r="F13" s="149">
        <f>E13*$C$21</f>
        <v>0</v>
      </c>
      <c r="G13" s="149">
        <f>(E13-$C$25*C13-F13)*$C$23</f>
        <v>0</v>
      </c>
      <c r="H13" s="149">
        <f>(E13-F13)*$C$22</f>
        <v>0</v>
      </c>
      <c r="I13" s="149">
        <f>((E13-F13)*$C$24-H13)*0</f>
        <v>0</v>
      </c>
      <c r="J13" s="149">
        <f>E13-F13-G13</f>
        <v>0</v>
      </c>
      <c r="K13" s="150">
        <f>SUM(F13:J13)</f>
        <v>0</v>
      </c>
    </row>
    <row r="14" spans="1:11" s="61" customFormat="1" ht="12.75" hidden="1">
      <c r="A14" s="151"/>
      <c r="B14" s="152" t="s">
        <v>0</v>
      </c>
      <c r="C14" s="151">
        <f aca="true" t="shared" si="2" ref="C14:K14">SUM(C13:C13)</f>
        <v>0</v>
      </c>
      <c r="D14" s="150">
        <f t="shared" si="2"/>
        <v>0</v>
      </c>
      <c r="E14" s="150">
        <f t="shared" si="2"/>
        <v>0</v>
      </c>
      <c r="F14" s="150">
        <f t="shared" si="2"/>
        <v>0</v>
      </c>
      <c r="G14" s="150">
        <f t="shared" si="2"/>
        <v>0</v>
      </c>
      <c r="H14" s="150">
        <f t="shared" si="2"/>
        <v>0</v>
      </c>
      <c r="I14" s="150">
        <f t="shared" si="2"/>
        <v>0</v>
      </c>
      <c r="J14" s="150">
        <f t="shared" si="2"/>
        <v>0</v>
      </c>
      <c r="K14" s="150">
        <f t="shared" si="2"/>
        <v>0</v>
      </c>
    </row>
    <row r="15" spans="1:11" s="61" customFormat="1" ht="12.75" hidden="1">
      <c r="A15" s="140"/>
      <c r="B15" s="140" t="s">
        <v>105</v>
      </c>
      <c r="C15" s="140"/>
      <c r="D15" s="141"/>
      <c r="E15" s="141"/>
      <c r="F15" s="141"/>
      <c r="G15" s="141"/>
      <c r="H15" s="141"/>
      <c r="I15" s="141"/>
      <c r="J15" s="141"/>
      <c r="K15" s="141"/>
    </row>
    <row r="16" spans="1:11" ht="12.75" hidden="1">
      <c r="A16" s="74"/>
      <c r="B16" s="74"/>
      <c r="C16" s="149"/>
      <c r="D16" s="142"/>
      <c r="E16" s="149">
        <f>C16*D16</f>
        <v>0</v>
      </c>
      <c r="F16" s="149">
        <f>E16*$C$21</f>
        <v>0</v>
      </c>
      <c r="G16" s="149">
        <f>(E16-$C$25*C16-F16)*$C$23</f>
        <v>0</v>
      </c>
      <c r="H16" s="149">
        <f>(E16-F16)*$C$22</f>
        <v>0</v>
      </c>
      <c r="I16" s="149">
        <f>((E16-F16)*$C$24-H16)*0</f>
        <v>0</v>
      </c>
      <c r="J16" s="149">
        <f>E16-F16-G16</f>
        <v>0</v>
      </c>
      <c r="K16" s="150">
        <f>SUM(F16:J16)</f>
        <v>0</v>
      </c>
    </row>
    <row r="17" spans="1:11" s="61" customFormat="1" ht="12.75" hidden="1">
      <c r="A17" s="151"/>
      <c r="B17" s="152" t="s">
        <v>0</v>
      </c>
      <c r="C17" s="151">
        <f aca="true" t="shared" si="3" ref="C17:K17">SUM(C16:C16)</f>
        <v>0</v>
      </c>
      <c r="D17" s="150">
        <f t="shared" si="3"/>
        <v>0</v>
      </c>
      <c r="E17" s="150">
        <f t="shared" si="3"/>
        <v>0</v>
      </c>
      <c r="F17" s="150">
        <f t="shared" si="3"/>
        <v>0</v>
      </c>
      <c r="G17" s="150">
        <f t="shared" si="3"/>
        <v>0</v>
      </c>
      <c r="H17" s="150">
        <f t="shared" si="3"/>
        <v>0</v>
      </c>
      <c r="I17" s="150">
        <f t="shared" si="3"/>
        <v>0</v>
      </c>
      <c r="J17" s="150">
        <f t="shared" si="3"/>
        <v>0</v>
      </c>
      <c r="K17" s="150">
        <f t="shared" si="3"/>
        <v>0</v>
      </c>
    </row>
    <row r="18" spans="1:11" ht="12.75" hidden="1">
      <c r="A18" s="74"/>
      <c r="B18" s="74"/>
      <c r="C18" s="74"/>
      <c r="D18" s="149"/>
      <c r="E18" s="149"/>
      <c r="F18" s="149"/>
      <c r="G18" s="149"/>
      <c r="H18" s="149"/>
      <c r="I18" s="149"/>
      <c r="J18" s="149"/>
      <c r="K18" s="149"/>
    </row>
    <row r="19" spans="1:11" s="61" customFormat="1" ht="12.75">
      <c r="A19" s="151"/>
      <c r="B19" s="151" t="s">
        <v>106</v>
      </c>
      <c r="C19" s="150">
        <f aca="true" t="shared" si="4" ref="C19:K19">C7+C11+C14+C17</f>
        <v>4</v>
      </c>
      <c r="D19" s="150">
        <f t="shared" si="4"/>
        <v>49</v>
      </c>
      <c r="E19" s="150">
        <f t="shared" si="4"/>
        <v>109</v>
      </c>
      <c r="F19" s="150">
        <f t="shared" si="4"/>
        <v>10.9</v>
      </c>
      <c r="G19" s="150">
        <f t="shared" si="4"/>
        <v>2.3459999999999996</v>
      </c>
      <c r="H19" s="150">
        <f t="shared" si="4"/>
        <v>4.905</v>
      </c>
      <c r="I19" s="150">
        <f t="shared" si="4"/>
        <v>0</v>
      </c>
      <c r="J19" s="150">
        <f t="shared" si="4"/>
        <v>95.754</v>
      </c>
      <c r="K19" s="153">
        <f t="shared" si="4"/>
        <v>113.90500000000002</v>
      </c>
    </row>
    <row r="21" spans="2:10" ht="12.75">
      <c r="B21" s="74" t="s">
        <v>45</v>
      </c>
      <c r="C21" s="154">
        <f>Исх!C11</f>
        <v>0.1</v>
      </c>
      <c r="D21" s="155"/>
      <c r="E21" s="155"/>
      <c r="F21" s="155"/>
      <c r="G21" s="339"/>
      <c r="H21" s="339"/>
      <c r="I21" s="339"/>
      <c r="J21" s="339"/>
    </row>
    <row r="22" spans="2:10" ht="12.75">
      <c r="B22" s="74" t="s">
        <v>50</v>
      </c>
      <c r="C22" s="154">
        <f>Исх!C12</f>
        <v>0.05</v>
      </c>
      <c r="D22" s="155"/>
      <c r="E22" s="155"/>
      <c r="F22" s="155"/>
      <c r="G22" s="155"/>
      <c r="H22" s="155"/>
      <c r="I22" s="156"/>
      <c r="J22" s="157"/>
    </row>
    <row r="23" spans="2:10" ht="12.75">
      <c r="B23" s="74" t="s">
        <v>46</v>
      </c>
      <c r="C23" s="154">
        <f>Исх!C13</f>
        <v>0.1</v>
      </c>
      <c r="D23" s="155"/>
      <c r="E23" s="155"/>
      <c r="F23" s="155"/>
      <c r="G23" s="155"/>
      <c r="H23" s="155"/>
      <c r="I23" s="156"/>
      <c r="J23" s="157"/>
    </row>
    <row r="24" spans="2:10" ht="12.75">
      <c r="B24" s="74" t="s">
        <v>48</v>
      </c>
      <c r="C24" s="154">
        <f>Исх!C14</f>
        <v>0</v>
      </c>
      <c r="D24" s="158"/>
      <c r="E24" s="158"/>
      <c r="F24" s="155"/>
      <c r="G24" s="155"/>
      <c r="H24" s="155"/>
      <c r="I24" s="156"/>
      <c r="J24" s="157"/>
    </row>
    <row r="25" spans="2:3" ht="12.75">
      <c r="B25" s="74" t="s">
        <v>110</v>
      </c>
      <c r="C25" s="159">
        <f>Исх!C15</f>
        <v>18.66</v>
      </c>
    </row>
    <row r="26" spans="7:10" ht="12.75">
      <c r="G26" s="155"/>
      <c r="H26" s="155"/>
      <c r="I26" s="156"/>
      <c r="J26" s="157"/>
    </row>
  </sheetData>
  <sheetProtection/>
  <mergeCells count="1">
    <mergeCell ref="G21:J21"/>
  </mergeCells>
  <printOptions/>
  <pageMargins left="0.4" right="0.2755905511811024" top="0.35433070866141736" bottom="0.35433070866141736" header="0.2362204724409449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ТЭО</dc:title>
  <dc:subject/>
  <dc:creator>m_anfinogenov</dc:creator>
  <cp:keywords/>
  <dc:description/>
  <cp:lastModifiedBy>МСБ консалтинг</cp:lastModifiedBy>
  <cp:lastPrinted>2013-08-15T13:28:36Z</cp:lastPrinted>
  <dcterms:created xsi:type="dcterms:W3CDTF">2006-03-01T15:11:19Z</dcterms:created>
  <dcterms:modified xsi:type="dcterms:W3CDTF">2013-09-24T07:56:58Z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