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5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2390" windowHeight="8445" tabRatio="633" firstSheet="7" activeTab="12"/>
  </bookViews>
  <sheets>
    <sheet name="1-Ф3" sheetId="28" r:id="rId1"/>
    <sheet name="2-ф2" sheetId="8" r:id="rId2"/>
    <sheet name="3-Баланс" sheetId="67" r:id="rId3"/>
    <sheet name="Исх" sheetId="53" r:id="rId4"/>
    <sheet name="Дох" sheetId="62" r:id="rId5"/>
    <sheet name="Расх перем" sheetId="63" r:id="rId6"/>
    <sheet name="Производство" sheetId="69" r:id="rId7"/>
    <sheet name="ФОТ" sheetId="65" r:id="rId8"/>
    <sheet name="Пост" sheetId="66" r:id="rId9"/>
    <sheet name="кр" sheetId="64" r:id="rId10"/>
    <sheet name="Инв" sheetId="59" r:id="rId11"/>
    <sheet name="безубыт" sheetId="61" r:id="rId12"/>
    <sheet name="для текста" sheetId="3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__kpn1">[1]Главн!$D$46</definedName>
    <definedName name="__kpn2">[1]Главн!$E$46</definedName>
    <definedName name="__kpn3">[1]Главн!$F$46</definedName>
    <definedName name="__kpn4">[1]Главн!$G$46</definedName>
    <definedName name="__kpn5">[1]Главн!$H$46</definedName>
    <definedName name="__kpn6">[1]Главн!$I$46</definedName>
    <definedName name="__kpn7">[1]Главн!$J$46</definedName>
    <definedName name="__kpn8">[1]Главн!$K$46</definedName>
    <definedName name="__nds1">[1]Главн!$D$42</definedName>
    <definedName name="__nds2">[1]Главн!$E$42</definedName>
    <definedName name="__nds3">[1]Главн!$F$42</definedName>
    <definedName name="__nds4">[1]Главн!$G$42</definedName>
    <definedName name="__nds5">[1]Главн!$H$42</definedName>
    <definedName name="__nds6">[1]Главн!$I$42</definedName>
    <definedName name="_kpn1" localSheetId="2">[2]Главн!$D$46</definedName>
    <definedName name="_kpn1" localSheetId="9">[3]Главн!$D$46</definedName>
    <definedName name="_kpn1" localSheetId="6">#REF!</definedName>
    <definedName name="_kpn1">[4]Главн!$D$46</definedName>
    <definedName name="_kpn2" localSheetId="2">[2]Главн!$E$46</definedName>
    <definedName name="_kpn2" localSheetId="9">[3]Главн!$E$46</definedName>
    <definedName name="_kpn2" localSheetId="6">#REF!</definedName>
    <definedName name="_kpn2">[4]Главн!$E$46</definedName>
    <definedName name="_kpn3" localSheetId="2">[2]Главн!$F$46</definedName>
    <definedName name="_kpn3" localSheetId="9">[3]Главн!$F$46</definedName>
    <definedName name="_kpn3" localSheetId="6">#REF!</definedName>
    <definedName name="_kpn3">[4]Главн!$F$46</definedName>
    <definedName name="_kpn4" localSheetId="2">[2]Главн!$G$46</definedName>
    <definedName name="_kpn4" localSheetId="9">[3]Главн!$G$46</definedName>
    <definedName name="_kpn4" localSheetId="6">#REF!</definedName>
    <definedName name="_kpn4">[4]Главн!$G$46</definedName>
    <definedName name="_kpn5" localSheetId="2">[2]Главн!$H$46</definedName>
    <definedName name="_kpn5" localSheetId="9">[3]Главн!$H$46</definedName>
    <definedName name="_kpn5" localSheetId="6">#REF!</definedName>
    <definedName name="_kpn5">[4]Главн!$H$46</definedName>
    <definedName name="_kpn6" localSheetId="2">[2]Главн!$I$46</definedName>
    <definedName name="_kpn6" localSheetId="9">[3]Главн!$I$46</definedName>
    <definedName name="_kpn6" localSheetId="6">#REF!</definedName>
    <definedName name="_kpn6">[4]Главн!$I$46</definedName>
    <definedName name="_kpn7" localSheetId="2">[2]Главн!$J$46</definedName>
    <definedName name="_kpn7" localSheetId="9">[3]Главн!$J$46</definedName>
    <definedName name="_kpn7" localSheetId="6">#REF!</definedName>
    <definedName name="_kpn7">[4]Главн!$J$46</definedName>
    <definedName name="_kpn8" localSheetId="2">[2]Главн!$K$46</definedName>
    <definedName name="_kpn8" localSheetId="9">[3]Главн!$K$46</definedName>
    <definedName name="_kpn8" localSheetId="6">#REF!</definedName>
    <definedName name="_kpn8">[4]Главн!$K$46</definedName>
    <definedName name="_nds1" localSheetId="2">[2]Главн!$D$42</definedName>
    <definedName name="_nds1" localSheetId="9">[3]Главн!$D$42</definedName>
    <definedName name="_nds1" localSheetId="6">#REF!</definedName>
    <definedName name="_nds1">[4]Главн!$D$42</definedName>
    <definedName name="_nds2" localSheetId="2">[2]Главн!$E$42</definedName>
    <definedName name="_nds2" localSheetId="9">[3]Главн!$E$42</definedName>
    <definedName name="_nds2" localSheetId="6">#REF!</definedName>
    <definedName name="_nds2">[4]Главн!$E$42</definedName>
    <definedName name="_nds3" localSheetId="2">[2]Главн!$F$42</definedName>
    <definedName name="_nds3" localSheetId="9">[3]Главн!$F$42</definedName>
    <definedName name="_nds3" localSheetId="6">#REF!</definedName>
    <definedName name="_nds3">[4]Главн!$F$42</definedName>
    <definedName name="_nds4" localSheetId="2">[2]Главн!$G$42</definedName>
    <definedName name="_nds4" localSheetId="9">[3]Главн!$G$42</definedName>
    <definedName name="_nds4" localSheetId="6">#REF!</definedName>
    <definedName name="_nds4">[4]Главн!$G$42</definedName>
    <definedName name="_nds5" localSheetId="2">[2]Главн!$H$42</definedName>
    <definedName name="_nds5" localSheetId="9">[3]Главн!$H$42</definedName>
    <definedName name="_nds5" localSheetId="6">#REF!</definedName>
    <definedName name="_nds5">[4]Главн!$H$42</definedName>
    <definedName name="_nds6" localSheetId="2">[2]Главн!$I$42</definedName>
    <definedName name="_nds6" localSheetId="9">[3]Главн!$I$42</definedName>
    <definedName name="_nds6" localSheetId="6">#REF!</definedName>
    <definedName name="_nds6">[4]Главн!$I$42</definedName>
    <definedName name="areket" localSheetId="2">#REF!</definedName>
    <definedName name="areket">#REF!</definedName>
    <definedName name="areket2" localSheetId="2">#REF!</definedName>
    <definedName name="areket2">#REF!</definedName>
    <definedName name="cfb">[5]NPV!$F$18</definedName>
    <definedName name="curr" localSheetId="2">#REF!</definedName>
    <definedName name="curr">#REF!</definedName>
    <definedName name="DcB">'[6]Дин. оборотн. ср-в!!!'!$B$17+'[6]Дин. оборотн. ср-в!!!'!$B$18+'[6]Дин. оборотн. ср-в!!!'!$B$19+'[6]Дин. оборотн. ср-в!!!'!$B$20</definedName>
    <definedName name="DcF">'[6]Дин. оборотн. ср-в!!!'!$F$17+'[6]Дин. оборотн. ср-в!!!'!$F$18+'[6]Дин. оборотн. ср-в!!!'!$F$19+'[6]Дин. оборотн. ср-в!!!'!$F$20</definedName>
    <definedName name="DF">'[6]Дин. оборотн. ср-в!!!'!$F$25+'[6]Дин. оборотн. ср-в!!!'!$F$26+'[6]Дин. оборотн. ср-в!!!'!$F$27+'[6]Дин. оборотн. ср-в!!!'!$F$28+'[6]Дин. оборотн. ср-в!!!'!$F$29+'[6]Дин. оборотн. ср-в!!!'!$F$30+'[6]Дин. оборотн. ср-в!!!'!$F$31</definedName>
    <definedName name="DG">'[6]Дин. оборотн. ср-в!!!'!$B$25+'[6]Дин. оборотн. ср-в!!!'!$B$26+'[6]Дин. оборотн. ср-в!!!'!$B$27+'[6]Дин. оборотн. ср-в!!!'!$B$28+'[6]Дин. оборотн. ср-в!!!'!$B$29+'[6]Дин. оборотн. ср-в!!!'!$B$30+'[6]Дин. оборотн. ср-в!!!'!$B$31</definedName>
    <definedName name="Ed." localSheetId="2">#REF!</definedName>
    <definedName name="Ed." localSheetId="4">#REF!</definedName>
    <definedName name="Ed." localSheetId="8">#REF!</definedName>
    <definedName name="Ed." localSheetId="6">#REF!</definedName>
    <definedName name="Ed." localSheetId="5">#REF!</definedName>
    <definedName name="Ed." localSheetId="7">#REF!</definedName>
    <definedName name="Ed.">#REF!</definedName>
    <definedName name="EUR">[7]Свод!$C$9</definedName>
    <definedName name="EURO">'[8]Осн. пара'!$C$8</definedName>
    <definedName name="imush1" localSheetId="2">[2]Главн!$D$44</definedName>
    <definedName name="imush1" localSheetId="9">[3]Главн!$D$44</definedName>
    <definedName name="imush1" localSheetId="6">#REF!</definedName>
    <definedName name="imush1">[1]Главн!$D$44</definedName>
    <definedName name="imush2" localSheetId="2">[2]Главн!$E$44</definedName>
    <definedName name="imush2" localSheetId="9">[3]Главн!$E$44</definedName>
    <definedName name="imush2" localSheetId="6">#REF!</definedName>
    <definedName name="imush2">[1]Главн!$E$44</definedName>
    <definedName name="imush3" localSheetId="2">[2]Главн!$F$44</definedName>
    <definedName name="imush3" localSheetId="9">[3]Главн!$F$44</definedName>
    <definedName name="imush3" localSheetId="6">#REF!</definedName>
    <definedName name="imush3">[1]Главн!$F$44</definedName>
    <definedName name="imush4" localSheetId="2">[2]Главн!$G$44</definedName>
    <definedName name="imush4" localSheetId="9">[3]Главн!$G$44</definedName>
    <definedName name="imush4" localSheetId="6">#REF!</definedName>
    <definedName name="imush4">[1]Главн!$G$44</definedName>
    <definedName name="imush5" localSheetId="2">[2]Главн!$H$44</definedName>
    <definedName name="imush5" localSheetId="9">[3]Главн!$H$44</definedName>
    <definedName name="imush5" localSheetId="6">#REF!</definedName>
    <definedName name="imush5">[1]Главн!$H$44</definedName>
    <definedName name="imush6" localSheetId="2">[2]Главн!$I$44</definedName>
    <definedName name="imush6" localSheetId="9">[3]Главн!$I$44</definedName>
    <definedName name="imush6" localSheetId="6">#REF!</definedName>
    <definedName name="imush6">[1]Главн!$I$44</definedName>
    <definedName name="imush7" localSheetId="2">[2]Главн!$J$44</definedName>
    <definedName name="imush7" localSheetId="9">[3]Главн!$J$44</definedName>
    <definedName name="imush7" localSheetId="6">#REF!</definedName>
    <definedName name="imush7">[1]Главн!$J$44</definedName>
    <definedName name="imush8" localSheetId="2">[2]Главн!$K$44</definedName>
    <definedName name="imush8" localSheetId="9">[3]Главн!$K$44</definedName>
    <definedName name="imush8" localSheetId="6">#REF!</definedName>
    <definedName name="imush8">[1]Главн!$K$44</definedName>
    <definedName name="inf" localSheetId="2">[2]Главн!$C$35</definedName>
    <definedName name="inf" localSheetId="9">[3]Главн!$C$35</definedName>
    <definedName name="inf" localSheetId="6">#REF!</definedName>
    <definedName name="inf">[1]Главн!$C$35</definedName>
    <definedName name="kurs" localSheetId="2">#REF!</definedName>
    <definedName name="kurs">#REF!</definedName>
    <definedName name="kurs2" localSheetId="2">[2]Главн!$C$31</definedName>
    <definedName name="kurs2" localSheetId="9">[3]Главн!$C$31</definedName>
    <definedName name="kurs2" localSheetId="6">#REF!</definedName>
    <definedName name="kurs2">[1]Главн!$C$31</definedName>
    <definedName name="lgot1" localSheetId="2">[2]Главн!$D$41</definedName>
    <definedName name="lgot1" localSheetId="9">[3]Главн!$D$41</definedName>
    <definedName name="lgot1" localSheetId="6">#REF!</definedName>
    <definedName name="lgot1">[1]Главн!$D$41</definedName>
    <definedName name="lgot2" localSheetId="2">[2]Главн!$E$41</definedName>
    <definedName name="lgot2" localSheetId="9">[3]Главн!$E$41</definedName>
    <definedName name="lgot2" localSheetId="6">#REF!</definedName>
    <definedName name="lgot2">[1]Главн!$E$41</definedName>
    <definedName name="lgot3" localSheetId="2">[2]Главн!$F$41</definedName>
    <definedName name="lgot3" localSheetId="9">[3]Главн!$F$41</definedName>
    <definedName name="lgot3" localSheetId="6">#REF!</definedName>
    <definedName name="lgot3">[1]Главн!$F$41</definedName>
    <definedName name="lgot4" localSheetId="2">[2]Главн!$G$41</definedName>
    <definedName name="lgot4" localSheetId="9">[3]Главн!$G$41</definedName>
    <definedName name="lgot4" localSheetId="6">#REF!</definedName>
    <definedName name="lgot4">[1]Главн!$G$41</definedName>
    <definedName name="lgot5" localSheetId="2">[2]Главн!$H$41</definedName>
    <definedName name="lgot5" localSheetId="9">[3]Главн!$H$41</definedName>
    <definedName name="lgot5" localSheetId="6">#REF!</definedName>
    <definedName name="lgot5">[1]Главн!$H$41</definedName>
    <definedName name="name" localSheetId="2">[2]Главн!$C$2</definedName>
    <definedName name="name" localSheetId="9">[3]Главн!$C$2</definedName>
    <definedName name="name" localSheetId="6">#REF!</definedName>
    <definedName name="name">[1]Главн!$C$2</definedName>
    <definedName name="price">[7]Свод!$C$11</definedName>
    <definedName name="remont" localSheetId="2">[2]Амортиз!$F$125</definedName>
    <definedName name="remont" localSheetId="9">[3]Амортиз!$F$125</definedName>
    <definedName name="remont" localSheetId="6">#REF!</definedName>
    <definedName name="remont">[1]Амортиз!$F$125</definedName>
    <definedName name="RUR" localSheetId="2">[7]Свод!#REF!</definedName>
    <definedName name="RUR" localSheetId="4">[7]Свод!#REF!</definedName>
    <definedName name="RUR" localSheetId="8">[7]Свод!#REF!</definedName>
    <definedName name="RUR" localSheetId="6">[7]Свод!#REF!</definedName>
    <definedName name="RUR" localSheetId="5">[7]Свод!#REF!</definedName>
    <definedName name="RUR" localSheetId="7">[7]Свод!#REF!</definedName>
    <definedName name="RUR">[7]Свод!#REF!</definedName>
    <definedName name="USD" localSheetId="9">[7]Свод!#REF!</definedName>
    <definedName name="USD">'[8]Осн. пара'!$C$4</definedName>
    <definedName name="valuta" localSheetId="2">[2]Главн!$C$21</definedName>
    <definedName name="valuta" localSheetId="9">[3]Главн!$C$21</definedName>
    <definedName name="valuta" localSheetId="6">#REF!</definedName>
    <definedName name="valuta">[1]Главн!$C$21</definedName>
    <definedName name="valuta2" localSheetId="2">[2]Главн!$C$19</definedName>
    <definedName name="valuta2" localSheetId="9">[3]Главн!$C$19</definedName>
    <definedName name="valuta2" localSheetId="6">#REF!</definedName>
    <definedName name="valuta2">[1]Главн!$C$19</definedName>
    <definedName name="Z_9D8A7FE8_EB32_11D6_AAD8_00E04C390749_.wvu.Cols" localSheetId="2" hidden="1">#REF!</definedName>
    <definedName name="Z_9D8A7FE8_EB32_11D6_AAD8_00E04C390749_.wvu.Cols" hidden="1">#REF!</definedName>
    <definedName name="АвПокуп" localSheetId="2">#REF!</definedName>
    <definedName name="АвПокуп">#REF!</definedName>
    <definedName name="АвПокуп1" localSheetId="2">#REF!</definedName>
    <definedName name="АвПокуп1">#REF!</definedName>
    <definedName name="АвПост" localSheetId="2">#REF!</definedName>
    <definedName name="АвПост">#REF!</definedName>
    <definedName name="АвПост1" localSheetId="2">#REF!</definedName>
    <definedName name="АвПост1">#REF!</definedName>
    <definedName name="адм" localSheetId="2">#REF!</definedName>
    <definedName name="адм" localSheetId="9">#REF!</definedName>
    <definedName name="адм" localSheetId="6">#REF!</definedName>
    <definedName name="адм">#REF!</definedName>
    <definedName name="арекет" localSheetId="0">#REF!</definedName>
    <definedName name="арекет" localSheetId="2">#REF!</definedName>
    <definedName name="арекет">#REF!</definedName>
    <definedName name="арекет2" localSheetId="0">#REF!</definedName>
    <definedName name="арекет2" localSheetId="2">#REF!</definedName>
    <definedName name="арекет2">#REF!</definedName>
    <definedName name="арекет3" localSheetId="0">#REF!</definedName>
    <definedName name="арекет3" localSheetId="2">#REF!</definedName>
    <definedName name="арекет3">#REF!</definedName>
    <definedName name="арэк" localSheetId="0">#REF!</definedName>
    <definedName name="арэк" localSheetId="2">#REF!</definedName>
    <definedName name="арэк">#REF!</definedName>
    <definedName name="арэк2" localSheetId="0">#REF!</definedName>
    <definedName name="арэк2" localSheetId="2">#REF!</definedName>
    <definedName name="арэк2">#REF!</definedName>
    <definedName name="арэк3" localSheetId="0">#REF!</definedName>
    <definedName name="арэк3" localSheetId="2">#REF!</definedName>
    <definedName name="арэк3">#REF!</definedName>
    <definedName name="аств" localSheetId="0">#REF!</definedName>
    <definedName name="аств" localSheetId="2">#REF!</definedName>
    <definedName name="аств">#REF!</definedName>
    <definedName name="аств2" localSheetId="0">#REF!</definedName>
    <definedName name="аств2" localSheetId="2">#REF!</definedName>
    <definedName name="аств2">#REF!</definedName>
    <definedName name="аств3" localSheetId="0">#REF!</definedName>
    <definedName name="аств3" localSheetId="2">#REF!</definedName>
    <definedName name="аств3">#REF!</definedName>
    <definedName name="атырау" localSheetId="0">#REF!</definedName>
    <definedName name="атырау" localSheetId="2">#REF!</definedName>
    <definedName name="атырау">#REF!</definedName>
    <definedName name="атырау2" localSheetId="0">#REF!</definedName>
    <definedName name="атырау2" localSheetId="2">#REF!</definedName>
    <definedName name="атырау2">#REF!</definedName>
    <definedName name="атырау3" localSheetId="0">#REF!</definedName>
    <definedName name="атырау3" localSheetId="2">#REF!</definedName>
    <definedName name="атырау3">#REF!</definedName>
    <definedName name="баланс_стоимость" localSheetId="2">'[9]объекты обществаКокшетау'!#REF!</definedName>
    <definedName name="баланс_стоимость" localSheetId="4">'[10]объекты обществаКокшетау'!#REF!</definedName>
    <definedName name="баланс_стоимость" localSheetId="9">'[11]объекты обществаКокшетау'!#REF!</definedName>
    <definedName name="баланс_стоимость" localSheetId="8">'[10]объекты обществаКокшетау'!#REF!</definedName>
    <definedName name="баланс_стоимость" localSheetId="6">#REF!</definedName>
    <definedName name="баланс_стоимость" localSheetId="5">'[10]объекты обществаКокшетау'!#REF!</definedName>
    <definedName name="баланс_стоимость" localSheetId="7">'[10]объекты обществаКокшетау'!#REF!</definedName>
    <definedName name="баланс_стоимость">'[10]объекты обществаКокшетау'!#REF!</definedName>
    <definedName name="бву">'[12]Фин. пок-ли'!$C$17</definedName>
    <definedName name="ВА1" localSheetId="2">#REF!</definedName>
    <definedName name="ВА1">#REF!</definedName>
    <definedName name="Вал" localSheetId="2">#REF!</definedName>
    <definedName name="Вал" localSheetId="9">#REF!</definedName>
    <definedName name="Вал" localSheetId="6">#REF!</definedName>
    <definedName name="Вал">#REF!</definedName>
    <definedName name="ВалП1" localSheetId="2">#REF!</definedName>
    <definedName name="ВалП1" localSheetId="4">#REF!</definedName>
    <definedName name="ВалП1" localSheetId="8">#REF!</definedName>
    <definedName name="ВалП1" localSheetId="6">#REF!</definedName>
    <definedName name="ВалП1" localSheetId="5">#REF!</definedName>
    <definedName name="ВалП1" localSheetId="7">#REF!</definedName>
    <definedName name="ВалП1">#REF!</definedName>
    <definedName name="Валюта" localSheetId="2">#REF!</definedName>
    <definedName name="Валюта">#REF!</definedName>
    <definedName name="вид_инвестиций" localSheetId="2">[2]Invest!$C$7:$C$240</definedName>
    <definedName name="вид_инвестиций" localSheetId="9">[3]Invest!$C$7:$C$240</definedName>
    <definedName name="вид_инвестиций" localSheetId="6">#REF!</definedName>
    <definedName name="вид_инвестиций">[1]Invest!$C$7:$C$240</definedName>
    <definedName name="Вита_осн">'[13]ИсхД+'!$A$2</definedName>
    <definedName name="ВК" localSheetId="2">#REF!</definedName>
    <definedName name="ВК">#REF!</definedName>
    <definedName name="ВК1" localSheetId="2">#REF!</definedName>
    <definedName name="ВК1">#REF!</definedName>
    <definedName name="ВК2" localSheetId="2">#REF!</definedName>
    <definedName name="ВК2">#REF!</definedName>
    <definedName name="ВК3" localSheetId="2">#REF!</definedName>
    <definedName name="ВК3">#REF!</definedName>
    <definedName name="вложения" localSheetId="2">'[2]Граф кап инвестиц'!$B$8:$B$12</definedName>
    <definedName name="вложения" localSheetId="9">'[3]Граф кап инвестиц'!$B$8:$B$12</definedName>
    <definedName name="вложения" localSheetId="6">#REF!</definedName>
    <definedName name="вложения">'[1]Граф кап инвестиц'!$B$8:$B$12</definedName>
    <definedName name="ВР1" localSheetId="2">#REF!</definedName>
    <definedName name="ВР1">#REF!</definedName>
    <definedName name="ВРО1" localSheetId="2">#REF!</definedName>
    <definedName name="ВРО1">#REF!</definedName>
    <definedName name="всего_долл" localSheetId="2">'[9]объекты обществаКокшетау'!#REF!</definedName>
    <definedName name="всего_долл" localSheetId="4">'[10]объекты обществаКокшетау'!#REF!</definedName>
    <definedName name="всего_долл" localSheetId="9">'[11]объекты обществаКокшетау'!#REF!</definedName>
    <definedName name="всего_долл" localSheetId="8">'[10]объекты обществаКокшетау'!#REF!</definedName>
    <definedName name="всего_долл" localSheetId="6">#REF!</definedName>
    <definedName name="всего_долл" localSheetId="5">'[10]объекты обществаКокшетау'!#REF!</definedName>
    <definedName name="всего_долл" localSheetId="7">'[10]объекты обществаКокшетау'!#REF!</definedName>
    <definedName name="всего_долл">'[10]объекты обществаКокшетау'!#REF!</definedName>
    <definedName name="газсервис" localSheetId="0">#REF!</definedName>
    <definedName name="газсервис" localSheetId="2">#REF!</definedName>
    <definedName name="газсервис">#REF!</definedName>
    <definedName name="газсервис2" localSheetId="0">#REF!</definedName>
    <definedName name="газсервис2" localSheetId="2">#REF!</definedName>
    <definedName name="газсервис2">#REF!</definedName>
    <definedName name="газсервис3" localSheetId="0">#REF!</definedName>
    <definedName name="газсервис3" localSheetId="2">#REF!</definedName>
    <definedName name="газсервис3">#REF!</definedName>
    <definedName name="год">[14]Осн.показ!$D$8</definedName>
    <definedName name="год1">[14]Осн.показ!$D$9</definedName>
    <definedName name="ГотПр" localSheetId="2">#REF!</definedName>
    <definedName name="ГотПр">#REF!</definedName>
    <definedName name="ГотПр1" localSheetId="2">#REF!</definedName>
    <definedName name="ГотПр1">#REF!</definedName>
    <definedName name="д" localSheetId="2">#REF!</definedName>
    <definedName name="д">#REF!</definedName>
    <definedName name="Дебиторская__задолженность">'[6]Дин. оборотн. ср-в!!!'!$B$25+'[6]Дин. оборотн. ср-в!!!'!$B$26+'[6]Дин. оборотн. ср-в!!!'!$B$27+'[6]Дин. оборотн. ср-в!!!'!$B$28+'[6]Дин. оборотн. ср-в!!!'!$B$29+'[6]Дин. оборотн. ср-в!!!'!$B$30+'[6]Дин. оборотн. ср-в!!!'!$B$31+'[6]Дин. оборотн. ср-в!!!'!$B$33</definedName>
    <definedName name="Дебиторская_задолженность_Ст_сть_всех_активов">'[6]Уровень показателей!!!'!$E$18/'[6]Б3!!!'!$C$58</definedName>
    <definedName name="ДЗ" localSheetId="2">#REF!</definedName>
    <definedName name="ДЗ">#REF!</definedName>
    <definedName name="ДЗ1" localSheetId="2">#REF!</definedName>
    <definedName name="ДЗ1">#REF!</definedName>
    <definedName name="дз1к">[6]Б1!$D$34+[6]Б1!$D$35+[6]Б1!$D$36+[6]Б1!$D$37+[6]Б1!$D$38+[6]Б1!$D$39</definedName>
    <definedName name="дз1н">[6]Б1!$C$34++[6]Б1!$C$35+[6]Б1!$C$36+[6]Б1!$C$37+[6]Б1!$C$38+[6]Б1!$C$39</definedName>
    <definedName name="дз94к" localSheetId="2">[6]Б1!#REF!+[6]Б1!#REF!+[6]Б1!#REF!+[6]Б1!#REF!+[6]Б1!#REF!+[6]Б1!#REF!+[6]Б1!#REF!</definedName>
    <definedName name="дз94к" localSheetId="4">[6]Б1!#REF!+[6]Б1!#REF!+[6]Б1!#REF!+[6]Б1!#REF!+[6]Б1!#REF!+[6]Б1!#REF!+[6]Б1!#REF!</definedName>
    <definedName name="дз94к" localSheetId="8">[6]Б1!#REF!+[6]Б1!#REF!+[6]Б1!#REF!+[6]Б1!#REF!+[6]Б1!#REF!+[6]Б1!#REF!+[6]Б1!#REF!</definedName>
    <definedName name="дз94к" localSheetId="6">[6]Б1!#REF!+[6]Б1!#REF!+[6]Б1!#REF!+[6]Б1!#REF!+[6]Б1!#REF!+[6]Б1!#REF!+[6]Б1!#REF!</definedName>
    <definedName name="дз94к" localSheetId="5">[6]Б1!#REF!+[6]Б1!#REF!+[6]Б1!#REF!+[6]Б1!#REF!+[6]Б1!#REF!+[6]Б1!#REF!+[6]Б1!#REF!</definedName>
    <definedName name="дз94к" localSheetId="7">[6]Б1!#REF!+[6]Б1!#REF!+[6]Б1!#REF!+[6]Б1!#REF!+[6]Б1!#REF!+[6]Б1!#REF!+[6]Б1!#REF!</definedName>
    <definedName name="дз94к">[6]Б1!#REF!+[6]Б1!#REF!+[6]Б1!#REF!+[6]Б1!#REF!+[6]Б1!#REF!+[6]Б1!#REF!+[6]Б1!#REF!</definedName>
    <definedName name="дз94н" localSheetId="2">[6]Б1!#REF!+[6]Б1!#REF!+[6]Б1!#REF!+[6]Б1!#REF!+[6]Б1!#REF!+[6]Б1!#REF!+[6]Б1!#REF!</definedName>
    <definedName name="дз94н" localSheetId="4">[6]Б1!#REF!+[6]Б1!#REF!+[6]Б1!#REF!+[6]Б1!#REF!+[6]Б1!#REF!+[6]Б1!#REF!+[6]Б1!#REF!</definedName>
    <definedName name="дз94н" localSheetId="8">[6]Б1!#REF!+[6]Б1!#REF!+[6]Б1!#REF!+[6]Б1!#REF!+[6]Б1!#REF!+[6]Б1!#REF!+[6]Б1!#REF!</definedName>
    <definedName name="дз94н" localSheetId="6">[6]Б1!#REF!+[6]Б1!#REF!+[6]Б1!#REF!+[6]Б1!#REF!+[6]Б1!#REF!+[6]Б1!#REF!+[6]Б1!#REF!</definedName>
    <definedName name="дз94н" localSheetId="5">[6]Б1!#REF!+[6]Б1!#REF!+[6]Б1!#REF!+[6]Б1!#REF!+[6]Б1!#REF!+[6]Б1!#REF!+[6]Б1!#REF!</definedName>
    <definedName name="дз94н" localSheetId="7">[6]Б1!#REF!+[6]Б1!#REF!+[6]Б1!#REF!+[6]Б1!#REF!+[6]Б1!#REF!+[6]Б1!#REF!+[6]Б1!#REF!</definedName>
    <definedName name="дз94н">[6]Б1!#REF!+[6]Б1!#REF!+[6]Б1!#REF!+[6]Б1!#REF!+[6]Б1!#REF!+[6]Б1!#REF!+[6]Б1!#REF!</definedName>
    <definedName name="ДК1" localSheetId="2">#REF!</definedName>
    <definedName name="ДК1">#REF!</definedName>
    <definedName name="дол" localSheetId="2">#REF!</definedName>
    <definedName name="дол">#REF!</definedName>
    <definedName name="долл" localSheetId="2">#REF!</definedName>
    <definedName name="долл" localSheetId="4">#REF!</definedName>
    <definedName name="долл" localSheetId="9">[15]Исх!$C$16</definedName>
    <definedName name="долл" localSheetId="8">#REF!</definedName>
    <definedName name="долл" localSheetId="6">#REF!</definedName>
    <definedName name="долл" localSheetId="5">#REF!</definedName>
    <definedName name="долл" localSheetId="7">ФОТ!#REF!</definedName>
    <definedName name="долл">#REF!</definedName>
    <definedName name="доллар" localSheetId="2">[16]Параметры!$C$18</definedName>
    <definedName name="доллар" localSheetId="9">[17]Параметры!$C$18</definedName>
    <definedName name="доллар" localSheetId="6">[18]Параметры!$C$18</definedName>
    <definedName name="доллар">[19]Параметры!$C$18</definedName>
    <definedName name="дох" localSheetId="2">#REF!</definedName>
    <definedName name="дох" localSheetId="9">#REF!</definedName>
    <definedName name="дох" localSheetId="6">#REF!</definedName>
    <definedName name="дох">#REF!</definedName>
    <definedName name="дсша" localSheetId="2">#REF!</definedName>
    <definedName name="дсша" localSheetId="4">#REF!</definedName>
    <definedName name="дсша" localSheetId="9">#REF!</definedName>
    <definedName name="дсша" localSheetId="8">#REF!</definedName>
    <definedName name="дсша" localSheetId="6">#REF!</definedName>
    <definedName name="дсша" localSheetId="5">#REF!</definedName>
    <definedName name="дсша" localSheetId="7">#REF!</definedName>
    <definedName name="дсша">#REF!</definedName>
    <definedName name="дт" localSheetId="2">'[20]пост. пар.'!$C$13</definedName>
    <definedName name="дт" localSheetId="9">'[21]пост. пар.'!$C$13</definedName>
    <definedName name="дт" localSheetId="6">#REF!</definedName>
    <definedName name="дт">'[22]пост. пар.'!$C$13</definedName>
    <definedName name="евр">[14]Осн.показ!$D$13</definedName>
    <definedName name="евро" localSheetId="2">#REF!</definedName>
    <definedName name="евро" localSheetId="12">[23]Общ_Д!$B$16</definedName>
    <definedName name="евро">#REF!</definedName>
    <definedName name="ждд" localSheetId="2">#REF!</definedName>
    <definedName name="ждд" localSheetId="9">#REF!</definedName>
    <definedName name="ждд" localSheetId="6">#REF!</definedName>
    <definedName name="ждд">#REF!</definedName>
    <definedName name="_xlnm.Print_Titles" localSheetId="1">'2-ф2'!$A:$A</definedName>
    <definedName name="_xlnm.Print_Titles" localSheetId="2">'3-Баланс'!$A:$A</definedName>
    <definedName name="_xlnm.Print_Titles" localSheetId="10">Инв!$4:$4</definedName>
    <definedName name="_xlnm.Print_Titles" localSheetId="9">кр!$A:$B</definedName>
    <definedName name="_xlnm.Print_Titles" localSheetId="6">Производство!$3:$4</definedName>
    <definedName name="_xlnm.Print_Titles" localSheetId="7">ФОТ!$4:$4</definedName>
    <definedName name="Зап" localSheetId="2">#REF!</definedName>
    <definedName name="Зап">#REF!</definedName>
    <definedName name="Зап1" localSheetId="2">#REF!</definedName>
    <definedName name="Зап1">#REF!</definedName>
    <definedName name="имя" localSheetId="2">#REF!</definedName>
    <definedName name="имя">#REF!</definedName>
    <definedName name="Инвестор1" localSheetId="2">[2]Главн!$C$8</definedName>
    <definedName name="Инвестор1" localSheetId="9">[3]Главн!$C$8</definedName>
    <definedName name="Инвестор1" localSheetId="6">#REF!</definedName>
    <definedName name="Инвестор1">[1]Главн!$C$8</definedName>
    <definedName name="Инвестор2" localSheetId="2">[2]Главн!$C$9</definedName>
    <definedName name="Инвестор2" localSheetId="9">[3]Главн!$C$9</definedName>
    <definedName name="Инвестор2" localSheetId="6">#REF!</definedName>
    <definedName name="Инвестор2">[1]Главн!$C$9</definedName>
    <definedName name="Инвестор3" localSheetId="2">[2]Главн!$C$10</definedName>
    <definedName name="Инвестор3" localSheetId="9">[3]Главн!$C$10</definedName>
    <definedName name="Инвестор3" localSheetId="6">#REF!</definedName>
    <definedName name="Инвестор3">[1]Главн!$C$10</definedName>
    <definedName name="инициатор" localSheetId="2">[2]Главн!$C$7</definedName>
    <definedName name="инициатор" localSheetId="9">[3]Главн!$C$7</definedName>
    <definedName name="инициатор" localSheetId="6">#REF!</definedName>
    <definedName name="инициатор">[1]Главн!$C$7</definedName>
    <definedName name="Инт" localSheetId="2">#REF!</definedName>
    <definedName name="Инт" localSheetId="4">#REF!</definedName>
    <definedName name="Инт" localSheetId="8">#REF!</definedName>
    <definedName name="Инт" localSheetId="6">#REF!</definedName>
    <definedName name="Инт" localSheetId="5">#REF!</definedName>
    <definedName name="Инт" localSheetId="7">#REF!</definedName>
    <definedName name="Инт">#REF!</definedName>
    <definedName name="итого_в_долл" localSheetId="2">'[9]объекты обществаКокшетау'!#REF!</definedName>
    <definedName name="итого_в_долл" localSheetId="4">'[10]объекты обществаКокшетау'!#REF!</definedName>
    <definedName name="итого_в_долл" localSheetId="9">'[11]объекты обществаКокшетау'!#REF!</definedName>
    <definedName name="итого_в_долл" localSheetId="8">'[10]объекты обществаКокшетау'!#REF!</definedName>
    <definedName name="итого_в_долл" localSheetId="6">#REF!</definedName>
    <definedName name="итого_в_долл" localSheetId="5">'[10]объекты обществаКокшетау'!#REF!</definedName>
    <definedName name="итого_в_долл" localSheetId="7">'[10]объекты обществаКокшетау'!#REF!</definedName>
    <definedName name="итого_в_долл">'[10]объекты обществаКокшетау'!#REF!</definedName>
    <definedName name="июль" localSheetId="2">#REF!</definedName>
    <definedName name="июль" localSheetId="9">#REF!</definedName>
    <definedName name="июль" localSheetId="6">#REF!</definedName>
    <definedName name="июль">#REF!</definedName>
    <definedName name="Каламкас" localSheetId="2">'[24]объекты обществаКокшетау'!#REF!</definedName>
    <definedName name="Каламкас" localSheetId="4">'[24]объекты обществаКокшетау'!#REF!</definedName>
    <definedName name="Каламкас" localSheetId="8">'[24]объекты обществаКокшетау'!#REF!</definedName>
    <definedName name="Каламкас" localSheetId="6">'[24]объекты обществаКокшетау'!#REF!</definedName>
    <definedName name="Каламкас" localSheetId="5">'[24]объекты обществаКокшетау'!#REF!</definedName>
    <definedName name="Каламкас" localSheetId="7">'[24]объекты обществаКокшетау'!#REF!</definedName>
    <definedName name="Каламкас">'[24]объекты обществаКокшетау'!#REF!</definedName>
    <definedName name="кндс" localSheetId="2">#REF!</definedName>
    <definedName name="кндс" localSheetId="4">#REF!</definedName>
    <definedName name="кндс" localSheetId="9">[14]Осн.показ!$D$15</definedName>
    <definedName name="кндс" localSheetId="8">#REF!</definedName>
    <definedName name="кндс" localSheetId="6">#REF!</definedName>
    <definedName name="кндс" localSheetId="5">#REF!</definedName>
    <definedName name="кндс" localSheetId="7">ФОТ!#REF!</definedName>
    <definedName name="кндс">#REF!</definedName>
    <definedName name="кндс1" localSheetId="2">[25]Исх!$C$8</definedName>
    <definedName name="кндс1" localSheetId="11">[26]Исх!$C$8</definedName>
    <definedName name="кндс1" localSheetId="9">[15]Исх!$C$8</definedName>
    <definedName name="кндс1">[27]Исх!$C$8</definedName>
    <definedName name="Код" localSheetId="2">#REF!</definedName>
    <definedName name="Код">#REF!</definedName>
    <definedName name="компресс" localSheetId="2">#REF!</definedName>
    <definedName name="компресс" localSheetId="4">#REF!</definedName>
    <definedName name="компресс" localSheetId="8">#REF!</definedName>
    <definedName name="компресс" localSheetId="6">#REF!</definedName>
    <definedName name="компресс" localSheetId="5">#REF!</definedName>
    <definedName name="компресс" localSheetId="7">#REF!</definedName>
    <definedName name="компресс">#REF!</definedName>
    <definedName name="кре" localSheetId="2">#REF!</definedName>
    <definedName name="кре" localSheetId="9">#REF!</definedName>
    <definedName name="кре" localSheetId="6">#REF!</definedName>
    <definedName name="кре">#REF!</definedName>
    <definedName name="Кредит_перераб" localSheetId="2">[28]Общ_Д!#REF!</definedName>
    <definedName name="Кредит_перераб" localSheetId="4">[28]Общ_Д!#REF!</definedName>
    <definedName name="Кредит_перераб" localSheetId="8">[28]Общ_Д!#REF!</definedName>
    <definedName name="Кредит_перераб" localSheetId="6">[28]Общ_Д!#REF!</definedName>
    <definedName name="Кредит_перераб" localSheetId="5">[28]Общ_Д!#REF!</definedName>
    <definedName name="Кредит_перераб" localSheetId="7">[28]Общ_Д!#REF!</definedName>
    <definedName name="Кредит_перераб">[28]Общ_Д!#REF!</definedName>
    <definedName name="Кредит_произв" localSheetId="2">[28]Общ_Д!#REF!</definedName>
    <definedName name="Кредит_произв" localSheetId="4">[28]Общ_Д!#REF!</definedName>
    <definedName name="Кредит_произв" localSheetId="8">[28]Общ_Д!#REF!</definedName>
    <definedName name="Кредит_произв" localSheetId="6">[28]Общ_Д!#REF!</definedName>
    <definedName name="Кредит_произв" localSheetId="5">[28]Общ_Д!#REF!</definedName>
    <definedName name="Кредит_произв" localSheetId="7">[28]Общ_Д!#REF!</definedName>
    <definedName name="Кредит_произв">[28]Общ_Д!#REF!</definedName>
    <definedName name="Кредит_производство" localSheetId="2">[28]Общ_Д!#REF!</definedName>
    <definedName name="Кредит_производство" localSheetId="4">[28]Общ_Д!#REF!</definedName>
    <definedName name="Кредит_производство" localSheetId="8">[28]Общ_Д!#REF!</definedName>
    <definedName name="Кредит_производство" localSheetId="6">[28]Общ_Д!#REF!</definedName>
    <definedName name="Кредит_производство" localSheetId="5">[28]Общ_Д!#REF!</definedName>
    <definedName name="Кредит_производство" localSheetId="7">[28]Общ_Д!#REF!</definedName>
    <definedName name="Кредит_производство">[28]Общ_Д!#REF!</definedName>
    <definedName name="кросс_курс">'[29]Приобретение О.С.'!$F$3</definedName>
    <definedName name="кулагер" localSheetId="0">#REF!</definedName>
    <definedName name="кулагер" localSheetId="2">#REF!</definedName>
    <definedName name="кулагер">#REF!</definedName>
    <definedName name="кулагер2" localSheetId="0">#REF!</definedName>
    <definedName name="кулагер2" localSheetId="2">#REF!</definedName>
    <definedName name="кулагер2">#REF!</definedName>
    <definedName name="кулагер3" localSheetId="0">#REF!</definedName>
    <definedName name="кулагер3" localSheetId="2">#REF!</definedName>
    <definedName name="кулагер3">#REF!</definedName>
    <definedName name="кумыскаскыр" localSheetId="0">#REF!</definedName>
    <definedName name="кумыскаскыр" localSheetId="2">#REF!</definedName>
    <definedName name="кумыскаскыр">#REF!</definedName>
    <definedName name="кумыскаскыр2" localSheetId="0">#REF!</definedName>
    <definedName name="кумыскаскыр2" localSheetId="2">#REF!</definedName>
    <definedName name="кумыскаскыр2">#REF!</definedName>
    <definedName name="кумыскаскыр3" localSheetId="0">#REF!</definedName>
    <definedName name="кумыскаскыр3" localSheetId="2">#REF!</definedName>
    <definedName name="кумыскаскыр3">#REF!</definedName>
    <definedName name="Курс" localSheetId="0">'[29]Перем. затраты'!$P$45</definedName>
    <definedName name="курс" localSheetId="2">[30]Исх!$C$5</definedName>
    <definedName name="курс" localSheetId="11">'[31]Данные,рентаб'!$C$23</definedName>
    <definedName name="Курс" localSheetId="9">'[32]Перем. затраты'!$P$45</definedName>
    <definedName name="курс" localSheetId="6">[33]Исх!#REF!</definedName>
    <definedName name="курс">Исх!#REF!</definedName>
    <definedName name="курс_доллара_сегодня" localSheetId="2">[34]константы!$A$15</definedName>
    <definedName name="курс_доллара_сегодня" localSheetId="9">[35]константы!$A$15</definedName>
    <definedName name="курс_доллара_сегодня" localSheetId="6">[36]константы!$A$15</definedName>
    <definedName name="курс_доллара_сегодня">[37]константы!$A$15</definedName>
    <definedName name="курс_НБРК" localSheetId="2">'[9]объекты обществаКокшетау'!#REF!</definedName>
    <definedName name="курс_НБРК" localSheetId="4">'[10]объекты обществаКокшетау'!#REF!</definedName>
    <definedName name="курс_НБРК" localSheetId="9">'[11]объекты обществаКокшетау'!#REF!</definedName>
    <definedName name="курс_НБРК" localSheetId="8">'[10]объекты обществаКокшетау'!#REF!</definedName>
    <definedName name="курс_НБРК" localSheetId="6">#REF!</definedName>
    <definedName name="курс_НБРК" localSheetId="5">'[10]объекты обществаКокшетау'!#REF!</definedName>
    <definedName name="курс_НБРК" localSheetId="7">'[10]объекты обществаКокшетау'!#REF!</definedName>
    <definedName name="курс_НБРК">'[10]объекты обществаКокшетау'!#REF!</definedName>
    <definedName name="Курс1" localSheetId="2">#REF!</definedName>
    <definedName name="Курс1" localSheetId="4">#REF!</definedName>
    <definedName name="Курс1" localSheetId="9">#REF!</definedName>
    <definedName name="Курс1" localSheetId="8">#REF!</definedName>
    <definedName name="Курс1" localSheetId="6">#REF!</definedName>
    <definedName name="Курс1" localSheetId="5">#REF!</definedName>
    <definedName name="Курс1" localSheetId="7">#REF!</definedName>
    <definedName name="Курс1">#REF!</definedName>
    <definedName name="Курс10" localSheetId="2">[38]Финпоки1!#REF!</definedName>
    <definedName name="Курс10" localSheetId="4">[38]Финпоки1!#REF!</definedName>
    <definedName name="Курс10" localSheetId="8">[38]Финпоки1!#REF!</definedName>
    <definedName name="Курс10" localSheetId="6">[38]Финпоки1!#REF!</definedName>
    <definedName name="Курс10" localSheetId="5">[38]Финпоки1!#REF!</definedName>
    <definedName name="Курс10" localSheetId="7">[38]Финпоки1!#REF!</definedName>
    <definedName name="Курс10">[38]Финпоки1!#REF!</definedName>
    <definedName name="курсСША" localSheetId="2">#REF!</definedName>
    <definedName name="курсСША" localSheetId="9">#REF!</definedName>
    <definedName name="курсСША" localSheetId="6">#REF!</definedName>
    <definedName name="курсСША">#REF!</definedName>
    <definedName name="мес" localSheetId="2">[39]Осн.показ!$C$10</definedName>
    <definedName name="мес" localSheetId="9">[40]Осн.показ!$C$10</definedName>
    <definedName name="мес" localSheetId="6">[18]Осн.показ!$C$10</definedName>
    <definedName name="мес">[41]Осн.показ!$C$10</definedName>
    <definedName name="мес1" localSheetId="2">[39]Осн.показ!$C$11</definedName>
    <definedName name="мес1" localSheetId="9">[40]Осн.показ!$C$11</definedName>
    <definedName name="мес1" localSheetId="6">[18]Осн.показ!$C$11</definedName>
    <definedName name="мес1">[41]Осн.показ!$C$11</definedName>
    <definedName name="металлоформы" localSheetId="2">#REF!</definedName>
    <definedName name="металлоформы" localSheetId="4">#REF!</definedName>
    <definedName name="металлоформы" localSheetId="8">#REF!</definedName>
    <definedName name="металлоформы" localSheetId="6">#REF!</definedName>
    <definedName name="металлоформы" localSheetId="5">#REF!</definedName>
    <definedName name="металлоформы" localSheetId="7">#REF!</definedName>
    <definedName name="металлоформы">#REF!</definedName>
    <definedName name="МОВ" localSheetId="2">#REF!</definedName>
    <definedName name="МОВ">#REF!</definedName>
    <definedName name="Мощность" localSheetId="2">[42]Параметры!$C$2</definedName>
    <definedName name="Мощность" localSheetId="9">[43]Параметры!$C$2</definedName>
    <definedName name="Мощность" localSheetId="6">[18]Параметры!$C$2</definedName>
    <definedName name="Мощность">[44]Параметры!$C$2</definedName>
    <definedName name="МРП">'[29]Перем. затраты'!$P$46</definedName>
    <definedName name="Название" localSheetId="2">#REF!</definedName>
    <definedName name="Название">#REF!</definedName>
    <definedName name="Наименование">'[7]План пр-ва'!$A$6</definedName>
    <definedName name="ндс" localSheetId="2">[30]Исх!$C$8</definedName>
    <definedName name="ндс" localSheetId="11">[45]Исх!$C$9</definedName>
    <definedName name="НДС" localSheetId="9">'[32]Перем. затраты'!$P$47</definedName>
    <definedName name="ндс" localSheetId="6">[18]Исх!$C$7</definedName>
    <definedName name="НДС" localSheetId="7">ФОТ!#REF!</definedName>
    <definedName name="ндс">Исх!$C$17</definedName>
    <definedName name="НДС_2003" localSheetId="12">'[32]Перем. затраты'!$P$48</definedName>
    <definedName name="НДС_2003" localSheetId="9">'[32]Перем. затраты'!$P$48</definedName>
    <definedName name="НДС_2003">'[29]Перем. затраты'!$P$48</definedName>
    <definedName name="НДС1" localSheetId="2">[25]Исх!$C$7</definedName>
    <definedName name="НДС1" localSheetId="11">[26]Исх!$C$7</definedName>
    <definedName name="НДС1" localSheetId="9">[15]Исх!$C$7</definedName>
    <definedName name="НДС1">[27]Исх!$C$7</definedName>
    <definedName name="НДС2">'[29]Перем. затраты'!$P$47</definedName>
    <definedName name="недвижКонсал" localSheetId="0">#REF!</definedName>
    <definedName name="недвижКонсал" localSheetId="2">#REF!</definedName>
    <definedName name="недвижКонсал">#REF!</definedName>
    <definedName name="недвижКонсал2" localSheetId="0">#REF!</definedName>
    <definedName name="недвижКонсал2" localSheetId="2">#REF!</definedName>
    <definedName name="недвижКонсал2">#REF!</definedName>
    <definedName name="недвижКонсал3" localSheetId="0">#REF!</definedName>
    <definedName name="недвижКонсал3" localSheetId="2">#REF!</definedName>
    <definedName name="недвижКонсал3">#REF!</definedName>
    <definedName name="НПр" localSheetId="2">#REF!</definedName>
    <definedName name="НПр">#REF!</definedName>
    <definedName name="НПр1" localSheetId="2">#REF!</definedName>
    <definedName name="НПр1">#REF!</definedName>
    <definedName name="_xlnm.Print_Area" localSheetId="0">'1-Ф3'!$A$1:$AH$36</definedName>
    <definedName name="_xlnm.Print_Area" localSheetId="1">'2-ф2'!$A$1:$AH$31</definedName>
    <definedName name="_xlnm.Print_Area" localSheetId="2">'3-Баланс'!$A$1:$AH$26</definedName>
    <definedName name="_xlnm.Print_Area" localSheetId="12">'для текста'!$A$1:$B$10</definedName>
    <definedName name="_xlnm.Print_Area" localSheetId="10">Инв!$A$1:$Q$27</definedName>
    <definedName name="_xlnm.Print_Area" localSheetId="3">Исх!$A$1:$E$39</definedName>
    <definedName name="_xlnm.Print_Area" localSheetId="9">кр!$A$1:$CO$13</definedName>
    <definedName name="_xlnm.Print_Area" localSheetId="8">Пост!$A$1:$I$32</definedName>
    <definedName name="_xlnm.Print_Area" localSheetId="6">Производство!$A$1:$L$81</definedName>
    <definedName name="_xlnm.Print_Area" localSheetId="5">'Расх перем'!$A$1:$K$29</definedName>
    <definedName name="_xlnm.Print_Area" localSheetId="7">ФОТ!$A$1:$K$36</definedName>
    <definedName name="обм" localSheetId="2">'3-Баланс'!#REF!</definedName>
    <definedName name="обм" localSheetId="11">[46]ф2!#REF!</definedName>
    <definedName name="обм" localSheetId="4">'2-ф2'!#REF!</definedName>
    <definedName name="обм" localSheetId="9">[47]ф2!#REF!</definedName>
    <definedName name="обм" localSheetId="8">'2-ф2'!#REF!</definedName>
    <definedName name="обм" localSheetId="6">[18]ф2!#REF!</definedName>
    <definedName name="обм" localSheetId="5">'2-ф2'!#REF!</definedName>
    <definedName name="обм" localSheetId="7">'2-ф2'!#REF!</definedName>
    <definedName name="обм">'2-ф2'!#REF!</definedName>
    <definedName name="оборудование_ЖД" localSheetId="2">#REF!</definedName>
    <definedName name="оборудование_ЖД" localSheetId="4">#REF!</definedName>
    <definedName name="оборудование_ЖД" localSheetId="8">#REF!</definedName>
    <definedName name="оборудование_ЖД" localSheetId="6">#REF!</definedName>
    <definedName name="оборудование_ЖД" localSheetId="5">#REF!</definedName>
    <definedName name="оборудование_ЖД" localSheetId="7">#REF!</definedName>
    <definedName name="оборудование_ЖД">#REF!</definedName>
    <definedName name="общ" localSheetId="2">#REF!</definedName>
    <definedName name="общ" localSheetId="9">#REF!</definedName>
    <definedName name="общ" localSheetId="6">#REF!</definedName>
    <definedName name="общ">#REF!</definedName>
    <definedName name="объем">'[8]Осн. пара'!$C$6</definedName>
    <definedName name="объемгод">'[8]Осн. пара'!$C$7</definedName>
    <definedName name="ОС" localSheetId="2">[39]ОС!$D$27</definedName>
    <definedName name="ОС" localSheetId="9">[40]ОС!$D$27</definedName>
    <definedName name="ОС" localSheetId="6">[18]ОС!$D$27</definedName>
    <definedName name="ОС">[41]ОС!$D$27</definedName>
    <definedName name="отрасль">[6]Б1!$B$6</definedName>
    <definedName name="пер" localSheetId="2">#REF!</definedName>
    <definedName name="пер">#REF!</definedName>
    <definedName name="ПерЗ1" localSheetId="2">#REF!</definedName>
    <definedName name="ПерЗ1">#REF!</definedName>
    <definedName name="План_производства" localSheetId="2">#REF!</definedName>
    <definedName name="План_производства">#REF!</definedName>
    <definedName name="ПМ">'[29]Перем. затраты'!$K$3</definedName>
    <definedName name="подстанция" localSheetId="2">#REF!</definedName>
    <definedName name="подстанция" localSheetId="4">#REF!</definedName>
    <definedName name="подстанция" localSheetId="8">#REF!</definedName>
    <definedName name="подстанция" localSheetId="6">#REF!</definedName>
    <definedName name="подстанция" localSheetId="5">#REF!</definedName>
    <definedName name="подстанция" localSheetId="7">#REF!</definedName>
    <definedName name="подстанция">#REF!</definedName>
    <definedName name="Показатели" localSheetId="2">[2]Главн!$C$2</definedName>
    <definedName name="Показатели" localSheetId="9">[3]Главн!$C$2</definedName>
    <definedName name="Показатели" localSheetId="6">#REF!</definedName>
    <definedName name="Показатели">[1]Главн!$C$2</definedName>
    <definedName name="пос" localSheetId="2">#REF!</definedName>
    <definedName name="пос">#REF!</definedName>
    <definedName name="ПОсД1" localSheetId="2">#REF!</definedName>
    <definedName name="ПОсД1">#REF!</definedName>
    <definedName name="пост" localSheetId="2">#REF!</definedName>
    <definedName name="пост">#REF!</definedName>
    <definedName name="ПостЗ1" localSheetId="2">#REF!</definedName>
    <definedName name="ПостЗ1">#REF!</definedName>
    <definedName name="приозернвй" localSheetId="0">#REF!</definedName>
    <definedName name="приозернвй" localSheetId="2">#REF!</definedName>
    <definedName name="приозернвй">#REF!</definedName>
    <definedName name="приозерный2" localSheetId="0">#REF!</definedName>
    <definedName name="приозерный2" localSheetId="2">#REF!</definedName>
    <definedName name="приозерный2">#REF!</definedName>
    <definedName name="приозерный3" localSheetId="0">#REF!</definedName>
    <definedName name="приозерный3" localSheetId="2">#REF!</definedName>
    <definedName name="приозерный3">#REF!</definedName>
    <definedName name="Проч" localSheetId="2">#REF!</definedName>
    <definedName name="Проч">#REF!</definedName>
    <definedName name="Проч1" localSheetId="2">#REF!</definedName>
    <definedName name="Проч1">#REF!</definedName>
    <definedName name="раб" localSheetId="2">'[48]Осн. пара'!$C$9</definedName>
    <definedName name="раб" localSheetId="9">'[49]Осн. пара'!$C$9</definedName>
    <definedName name="раб" localSheetId="6">#REF!</definedName>
    <definedName name="раб">'[50]Осн. пара'!$C$9</definedName>
    <definedName name="рас" localSheetId="2">[39]Осн.показ!$C$12</definedName>
    <definedName name="рас" localSheetId="9">[40]Осн.показ!$C$12</definedName>
    <definedName name="рас" localSheetId="6">[18]Осн.показ!$C$12</definedName>
    <definedName name="рас">[41]Осн.показ!$C$12</definedName>
    <definedName name="рбу" localSheetId="2">#REF!</definedName>
    <definedName name="рбу" localSheetId="4">#REF!</definedName>
    <definedName name="рбу" localSheetId="8">#REF!</definedName>
    <definedName name="рбу" localSheetId="6">#REF!</definedName>
    <definedName name="рбу" localSheetId="5">#REF!</definedName>
    <definedName name="рбу" localSheetId="7">#REF!</definedName>
    <definedName name="рбу">#REF!</definedName>
    <definedName name="рос" localSheetId="2">'[20]пост. пар.'!$C$8</definedName>
    <definedName name="рос" localSheetId="9">'[21]пост. пар.'!$C$8</definedName>
    <definedName name="рос" localSheetId="6">#REF!</definedName>
    <definedName name="рос">'[22]пост. пар.'!$C$8</definedName>
    <definedName name="руб" localSheetId="2">#REF!</definedName>
    <definedName name="руб" localSheetId="4">#REF!</definedName>
    <definedName name="руб" localSheetId="8">#REF!</definedName>
    <definedName name="руб" localSheetId="6">#REF!</definedName>
    <definedName name="руб" localSheetId="5">#REF!</definedName>
    <definedName name="руб" localSheetId="7">ФОТ!#REF!</definedName>
    <definedName name="руб">#REF!</definedName>
    <definedName name="себ" localSheetId="2">'3-Баланс'!#REF!</definedName>
    <definedName name="себ" localSheetId="11">[46]ф2!#REF!</definedName>
    <definedName name="себ" localSheetId="4">'2-ф2'!#REF!</definedName>
    <definedName name="себ" localSheetId="9">[47]ф2!#REF!</definedName>
    <definedName name="себ" localSheetId="8">'2-ф2'!#REF!</definedName>
    <definedName name="себ" localSheetId="6">[18]ф2!#REF!</definedName>
    <definedName name="себ" localSheetId="5">'2-ф2'!#REF!</definedName>
    <definedName name="себ" localSheetId="7">'2-ф2'!#REF!</definedName>
    <definedName name="себ">'2-ф2'!#REF!</definedName>
    <definedName name="ситиПалас" localSheetId="0">#REF!</definedName>
    <definedName name="ситиПалас" localSheetId="2">#REF!</definedName>
    <definedName name="ситиПалас">#REF!</definedName>
    <definedName name="ситиПалас2" localSheetId="0">#REF!</definedName>
    <definedName name="ситиПалас2" localSheetId="2">#REF!</definedName>
    <definedName name="ситиПалас2">#REF!</definedName>
    <definedName name="ситиПалас3" localSheetId="0">#REF!</definedName>
    <definedName name="ситиПалас3" localSheetId="2">#REF!</definedName>
    <definedName name="ситиПалас3">#REF!</definedName>
    <definedName name="склад_продукции" localSheetId="2">#REF!</definedName>
    <definedName name="склад_продукции" localSheetId="4">#REF!</definedName>
    <definedName name="склад_продукции" localSheetId="8">#REF!</definedName>
    <definedName name="склад_продукции" localSheetId="6">#REF!</definedName>
    <definedName name="склад_продукции" localSheetId="5">#REF!</definedName>
    <definedName name="склад_продукции" localSheetId="7">#REF!</definedName>
    <definedName name="склад_продукции">#REF!</definedName>
    <definedName name="склад_цем" localSheetId="2">#REF!</definedName>
    <definedName name="склад_цем" localSheetId="4">#REF!</definedName>
    <definedName name="склад_цем" localSheetId="8">#REF!</definedName>
    <definedName name="склад_цем" localSheetId="6">#REF!</definedName>
    <definedName name="склад_цем" localSheetId="5">#REF!</definedName>
    <definedName name="склад_цем" localSheetId="7">#REF!</definedName>
    <definedName name="склад_цем">#REF!</definedName>
    <definedName name="соц1" localSheetId="2">[2]Главн!$D$48</definedName>
    <definedName name="соц1" localSheetId="9">[3]Главн!$D$48</definedName>
    <definedName name="соц1" localSheetId="6">#REF!</definedName>
    <definedName name="соц1">[1]Главн!$D$48</definedName>
    <definedName name="соц2" localSheetId="2">[2]Главн!$E$48</definedName>
    <definedName name="соц2" localSheetId="9">[3]Главн!$E$48</definedName>
    <definedName name="соц2" localSheetId="6">#REF!</definedName>
    <definedName name="соц2">[1]Главн!$E$48</definedName>
    <definedName name="соц3" localSheetId="2">[2]Главн!$F$48</definedName>
    <definedName name="соц3" localSheetId="9">[3]Главн!$F$48</definedName>
    <definedName name="соц3" localSheetId="6">#REF!</definedName>
    <definedName name="соц3">[1]Главн!$F$48</definedName>
    <definedName name="соц4" localSheetId="2">[2]Главн!$G$48</definedName>
    <definedName name="соц4" localSheetId="9">[3]Главн!$G$48</definedName>
    <definedName name="соц4" localSheetId="6">#REF!</definedName>
    <definedName name="соц4">[1]Главн!$G$48</definedName>
    <definedName name="соц5" localSheetId="2">[2]Главн!$H$48</definedName>
    <definedName name="соц5" localSheetId="9">[3]Главн!$H$48</definedName>
    <definedName name="соц5" localSheetId="6">#REF!</definedName>
    <definedName name="соц5">[1]Главн!$H$48</definedName>
    <definedName name="спецодежда" localSheetId="2">#REF!</definedName>
    <definedName name="спецодежда" localSheetId="4">#REF!</definedName>
    <definedName name="спецодежда" localSheetId="8">#REF!</definedName>
    <definedName name="спецодежда" localSheetId="6">#REF!</definedName>
    <definedName name="спецодежда" localSheetId="5">#REF!</definedName>
    <definedName name="спецодежда" localSheetId="7">#REF!</definedName>
    <definedName name="спецодежда">#REF!</definedName>
    <definedName name="Срок_инвестиций1" localSheetId="2">[2]Invest!$I$7:$I$240</definedName>
    <definedName name="Срок_инвестиций1" localSheetId="9">[3]Invest!$I$7:$I$240</definedName>
    <definedName name="Срок_инвестиций1" localSheetId="6">#REF!</definedName>
    <definedName name="Срок_инвестиций1">[1]Invest!$I$7:$I$240</definedName>
    <definedName name="Срок_инвестиций2" localSheetId="2">[2]Invest!$M$7:$M$240</definedName>
    <definedName name="Срок_инвестиций2" localSheetId="9">[3]Invest!$M$7:$M$240</definedName>
    <definedName name="Срок_инвестиций2" localSheetId="6">#REF!</definedName>
    <definedName name="Срок_инвестиций2">[1]Invest!$M$7:$M$240</definedName>
    <definedName name="Срок_инвестиций3" localSheetId="2">[2]Invest!$Q$7:$Q$240</definedName>
    <definedName name="Срок_инвестиций3" localSheetId="9">[3]Invest!$Q$7:$Q$240</definedName>
    <definedName name="Срок_инвестиций3" localSheetId="6">#REF!</definedName>
    <definedName name="Срок_инвестиций3">[1]Invest!$Q$7:$Q$240</definedName>
    <definedName name="Срок_инвестиций4" localSheetId="2">[2]Invest!$U$7:$U$240</definedName>
    <definedName name="Срок_инвестиций4" localSheetId="9">[3]Invest!$U$7:$U$240</definedName>
    <definedName name="Срок_инвестиций4" localSheetId="6">#REF!</definedName>
    <definedName name="Срок_инвестиций4">[1]Invest!$U$7:$U$240</definedName>
    <definedName name="СрокПроекта" localSheetId="2">#REF!</definedName>
    <definedName name="СрокПроекта">#REF!</definedName>
    <definedName name="ст" localSheetId="2">[51]Норм!$F$9</definedName>
    <definedName name="ст" localSheetId="9">[52]Норм!$F$9</definedName>
    <definedName name="ст" localSheetId="6">#REF!</definedName>
    <definedName name="ст">[53]Норм!$F$9</definedName>
    <definedName name="СтавкаПроцента1">'[23]L-1'!$B$6</definedName>
    <definedName name="стоимость_в_долларах" localSheetId="2">'[9]объекты обществаКокшетау'!#REF!</definedName>
    <definedName name="стоимость_в_долларах" localSheetId="4">'[10]объекты обществаКокшетау'!#REF!</definedName>
    <definedName name="стоимость_в_долларах" localSheetId="9">'[11]объекты обществаКокшетау'!#REF!</definedName>
    <definedName name="стоимость_в_долларах" localSheetId="8">'[10]объекты обществаКокшетау'!#REF!</definedName>
    <definedName name="стоимость_в_долларах" localSheetId="6">#REF!</definedName>
    <definedName name="стоимость_в_долларах" localSheetId="5">'[10]объекты обществаКокшетау'!#REF!</definedName>
    <definedName name="стоимость_в_долларах" localSheetId="7">'[10]объекты обществаКокшетау'!#REF!</definedName>
    <definedName name="стоимость_в_долларах">'[10]объекты обществаКокшетау'!#REF!</definedName>
    <definedName name="Сумма_инвест1" localSheetId="2">[2]Invest!$H$7:$H$240</definedName>
    <definedName name="Сумма_инвест1" localSheetId="9">[3]Invest!$H$7:$H$240</definedName>
    <definedName name="Сумма_инвест1" localSheetId="6">#REF!</definedName>
    <definedName name="Сумма_инвест1">[1]Invest!$H$7:$H$240</definedName>
    <definedName name="Сумма_инвест2" localSheetId="2">[2]Invest!$L$7:$L$240</definedName>
    <definedName name="Сумма_инвест2" localSheetId="9">[3]Invest!$L$7:$L$240</definedName>
    <definedName name="Сумма_инвест2" localSheetId="6">#REF!</definedName>
    <definedName name="Сумма_инвест2">[1]Invest!$L$7:$L$240</definedName>
    <definedName name="Сумма_инвест3" localSheetId="2">[2]Invest!$P$7:$P$240</definedName>
    <definedName name="Сумма_инвест3" localSheetId="9">[3]Invest!$P$7:$P$240</definedName>
    <definedName name="Сумма_инвест3" localSheetId="6">#REF!</definedName>
    <definedName name="Сумма_инвест3">[1]Invest!$P$7:$P$240</definedName>
    <definedName name="Сумма_инвест4" localSheetId="2">[2]Invest!$T$7:$T$240</definedName>
    <definedName name="Сумма_инвест4" localSheetId="9">[3]Invest!$T$7:$T$240</definedName>
    <definedName name="Сумма_инвест4" localSheetId="6">#REF!</definedName>
    <definedName name="Сумма_инвест4">[1]Invest!$T$7:$T$240</definedName>
    <definedName name="СуммаКредита1">'[23]L-1'!$B$5</definedName>
    <definedName name="СчОпл" localSheetId="2">#REF!</definedName>
    <definedName name="СчОпл">#REF!</definedName>
    <definedName name="СчОпл1" localSheetId="2">#REF!</definedName>
    <definedName name="СчОпл1">#REF!</definedName>
    <definedName name="Сырье" localSheetId="2">#REF!</definedName>
    <definedName name="Сырье">#REF!</definedName>
    <definedName name="ТА1" localSheetId="2">#REF!</definedName>
    <definedName name="ТА1">#REF!</definedName>
    <definedName name="таблица_цен" localSheetId="2">[34]константы!$F$2:$G$30</definedName>
    <definedName name="таблица_цен" localSheetId="9">[35]константы!$F$2:$G$30</definedName>
    <definedName name="таблица_цен" localSheetId="6">[36]константы!$F$2:$G$30</definedName>
    <definedName name="таблица_цен">[37]константы!$F$2:$G$30</definedName>
    <definedName name="тг" localSheetId="2">#REF!</definedName>
    <definedName name="тг" localSheetId="4">#REF!</definedName>
    <definedName name="тг" localSheetId="8">#REF!</definedName>
    <definedName name="тг" localSheetId="6">#REF!</definedName>
    <definedName name="тг" localSheetId="5">#REF!</definedName>
    <definedName name="тг" localSheetId="7">ФОТ!#REF!</definedName>
    <definedName name="тг">#REF!</definedName>
    <definedName name="Тов" localSheetId="2">#REF!</definedName>
    <definedName name="Тов">#REF!</definedName>
    <definedName name="Тов1" localSheetId="2">#REF!</definedName>
    <definedName name="Тов1">#REF!</definedName>
    <definedName name="ТовРеал1" localSheetId="2">#REF!</definedName>
    <definedName name="ТовРеал1" localSheetId="4">#REF!</definedName>
    <definedName name="ТовРеал1" localSheetId="8">#REF!</definedName>
    <definedName name="ТовРеал1" localSheetId="6">#REF!</definedName>
    <definedName name="ТовРеал1" localSheetId="5">#REF!</definedName>
    <definedName name="ТовРеал1" localSheetId="7">#REF!</definedName>
    <definedName name="ТовРеал1">#REF!</definedName>
    <definedName name="убн96">'[13]Нетто3!!!'!$A$2</definedName>
    <definedName name="УК1" localSheetId="2">#REF!</definedName>
    <definedName name="УК1">#REF!</definedName>
    <definedName name="цен">[14]Осн.показ!$D$5</definedName>
    <definedName name="цен1" localSheetId="2">[39]Осн.показ!$C$6</definedName>
    <definedName name="цен1" localSheetId="9">[40]Осн.показ!$C$6</definedName>
    <definedName name="цен1" localSheetId="6">[18]Осн.показ!$C$6</definedName>
    <definedName name="цен1">[41]Осн.показ!$C$6</definedName>
    <definedName name="цена">'[8]Осн. пара'!$C$2</definedName>
    <definedName name="Цена_бобов" localSheetId="2">[28]Дох!#REF!</definedName>
    <definedName name="Цена_бобов" localSheetId="4">[28]Дох!#REF!</definedName>
    <definedName name="Цена_бобов" localSheetId="8">[28]Дох!#REF!</definedName>
    <definedName name="Цена_бобов" localSheetId="6">[28]Дох!#REF!</definedName>
    <definedName name="Цена_бобов" localSheetId="5">[28]Дох!#REF!</definedName>
    <definedName name="Цена_бобов" localSheetId="7">[28]Дох!#REF!</definedName>
    <definedName name="Цена_бобов">[28]Дох!#REF!</definedName>
    <definedName name="Цена_реал" localSheetId="2">#REF!</definedName>
    <definedName name="Цена_реал">#REF!</definedName>
    <definedName name="цена1">'[8]Осн. пара'!$C$13</definedName>
    <definedName name="цех_пби" localSheetId="2">#REF!</definedName>
    <definedName name="цех_пби" localSheetId="4">#REF!</definedName>
    <definedName name="цех_пби" localSheetId="8">#REF!</definedName>
    <definedName name="цех_пби" localSheetId="6">#REF!</definedName>
    <definedName name="цех_пби" localSheetId="5">#REF!</definedName>
    <definedName name="цех_пби" localSheetId="7">#REF!</definedName>
    <definedName name="цех_пби">#REF!</definedName>
    <definedName name="цр" localSheetId="2">#REF!</definedName>
    <definedName name="цр">#REF!</definedName>
  </definedNames>
  <calcPr calcId="124519"/>
</workbook>
</file>

<file path=xl/calcChain.xml><?xml version="1.0" encoding="utf-8"?>
<calcChain xmlns="http://schemas.openxmlformats.org/spreadsheetml/2006/main">
  <c r="D10" i="59"/>
  <c r="F9"/>
  <c r="F8"/>
  <c r="D5"/>
  <c r="D7"/>
  <c r="F5"/>
  <c r="E5"/>
  <c r="E8"/>
  <c r="E75" i="69"/>
  <c r="C75" l="1"/>
  <c r="E74"/>
  <c r="D74"/>
  <c r="C23" i="53"/>
  <c r="D6" i="69" s="1"/>
  <c r="G6" s="1"/>
  <c r="G8" s="1"/>
  <c r="H6" s="1"/>
  <c r="F67"/>
  <c r="F78"/>
  <c r="H21"/>
  <c r="G13"/>
  <c r="E8"/>
  <c r="D6" i="62"/>
  <c r="E29" i="63"/>
  <c r="C26"/>
  <c r="C6" i="62"/>
  <c r="H16" i="69"/>
  <c r="F8"/>
  <c r="C26" i="53"/>
  <c r="E62" i="69"/>
  <c r="E64"/>
  <c r="A21"/>
  <c r="F3"/>
  <c r="E5"/>
  <c r="C19" i="53"/>
  <c r="C16"/>
  <c r="C6" i="59" l="1"/>
  <c r="C10" i="63" l="1"/>
  <c r="C9"/>
  <c r="C8"/>
  <c r="C6"/>
  <c r="D10"/>
  <c r="D8"/>
  <c r="D7"/>
  <c r="D6"/>
  <c r="B35" i="33"/>
  <c r="D14" i="63"/>
  <c r="D15"/>
  <c r="D16"/>
  <c r="D17"/>
  <c r="D13"/>
  <c r="C11" i="59"/>
  <c r="D11" s="1"/>
  <c r="F11" s="1"/>
  <c r="O78" i="69"/>
  <c r="B87"/>
  <c r="E7" i="66"/>
  <c r="F7"/>
  <c r="G7" s="1"/>
  <c r="H7" s="1"/>
  <c r="I7" s="1"/>
  <c r="D7"/>
  <c r="C15" i="63"/>
  <c r="C7"/>
  <c r="C13"/>
  <c r="D9"/>
  <c r="C16"/>
  <c r="C17"/>
  <c r="C14"/>
  <c r="E14" i="28"/>
  <c r="F14"/>
  <c r="D14"/>
  <c r="A14"/>
  <c r="C24" i="63"/>
  <c r="B22"/>
  <c r="E22"/>
  <c r="C23"/>
  <c r="J39" i="53"/>
  <c r="J38"/>
  <c r="E13" i="28"/>
  <c r="D13"/>
  <c r="I17" i="59"/>
  <c r="E17"/>
  <c r="F17"/>
  <c r="H17"/>
  <c r="J17"/>
  <c r="K17"/>
  <c r="L17"/>
  <c r="M17"/>
  <c r="N17"/>
  <c r="O17"/>
  <c r="P17"/>
  <c r="B19"/>
  <c r="D19" s="1"/>
  <c r="G19" s="1"/>
  <c r="Q19" s="1"/>
  <c r="B18"/>
  <c r="D18" s="1"/>
  <c r="C14"/>
  <c r="D14" s="1"/>
  <c r="C9"/>
  <c r="E15" i="65"/>
  <c r="E73" i="69"/>
  <c r="E77" s="1"/>
  <c r="F4" i="63"/>
  <c r="E70" i="69"/>
  <c r="E69"/>
  <c r="F62"/>
  <c r="G62" s="1"/>
  <c r="H62" s="1"/>
  <c r="I62" s="1"/>
  <c r="J62" s="1"/>
  <c r="K62" s="1"/>
  <c r="L62" s="1"/>
  <c r="D78"/>
  <c r="D79" s="1"/>
  <c r="C78"/>
  <c r="D10"/>
  <c r="D18" s="1"/>
  <c r="D26" s="1"/>
  <c r="D34" s="1"/>
  <c r="D42" s="1"/>
  <c r="D50" s="1"/>
  <c r="D58" s="1"/>
  <c r="D9"/>
  <c r="D11"/>
  <c r="D19" s="1"/>
  <c r="D27" s="1"/>
  <c r="D35" s="1"/>
  <c r="D43" s="1"/>
  <c r="D51" s="1"/>
  <c r="D59" s="1"/>
  <c r="F73"/>
  <c r="F77" s="1"/>
  <c r="Q78"/>
  <c r="L70"/>
  <c r="K70"/>
  <c r="J70"/>
  <c r="I70"/>
  <c r="H70"/>
  <c r="G70"/>
  <c r="F70"/>
  <c r="F69"/>
  <c r="E56"/>
  <c r="F56" s="1"/>
  <c r="G56" s="1"/>
  <c r="H56" s="1"/>
  <c r="I56" s="1"/>
  <c r="J56" s="1"/>
  <c r="E48"/>
  <c r="E40"/>
  <c r="E32"/>
  <c r="A27"/>
  <c r="A35" s="1"/>
  <c r="A43" s="1"/>
  <c r="A51" s="1"/>
  <c r="A59" s="1"/>
  <c r="A26"/>
  <c r="A34" s="1"/>
  <c r="A42" s="1"/>
  <c r="A50" s="1"/>
  <c r="A58" s="1"/>
  <c r="A25"/>
  <c r="A33"/>
  <c r="A41" s="1"/>
  <c r="A49" s="1"/>
  <c r="A57" s="1"/>
  <c r="E24"/>
  <c r="F24" s="1"/>
  <c r="G24" s="1"/>
  <c r="A24"/>
  <c r="A32" s="1"/>
  <c r="A40" s="1"/>
  <c r="A48" s="1"/>
  <c r="A56" s="1"/>
  <c r="A22"/>
  <c r="A30"/>
  <c r="A38" s="1"/>
  <c r="A46" s="1"/>
  <c r="A54" s="1"/>
  <c r="A29"/>
  <c r="A37" s="1"/>
  <c r="A45" s="1"/>
  <c r="A53" s="1"/>
  <c r="E16"/>
  <c r="D9" i="59"/>
  <c r="C7" i="53"/>
  <c r="E16" i="65"/>
  <c r="A13" i="28"/>
  <c r="J11"/>
  <c r="K11"/>
  <c r="I11"/>
  <c r="G11"/>
  <c r="F11"/>
  <c r="E11"/>
  <c r="D11"/>
  <c r="D5" i="8"/>
  <c r="C11" i="66"/>
  <c r="C23"/>
  <c r="E13" i="65"/>
  <c r="E14"/>
  <c r="E12"/>
  <c r="E21"/>
  <c r="E20"/>
  <c r="E25"/>
  <c r="E7"/>
  <c r="B14" i="33"/>
  <c r="I30" i="28"/>
  <c r="H7" i="64" s="1"/>
  <c r="E26" i="65"/>
  <c r="E19"/>
  <c r="D11" i="66"/>
  <c r="E11"/>
  <c r="F11" s="1"/>
  <c r="G11" s="1"/>
  <c r="H11" s="1"/>
  <c r="I11" s="1"/>
  <c r="D30"/>
  <c r="E30"/>
  <c r="F30"/>
  <c r="G30"/>
  <c r="H30"/>
  <c r="I30"/>
  <c r="C30"/>
  <c r="G5" i="59"/>
  <c r="K5"/>
  <c r="J29" i="28" s="1"/>
  <c r="L5" i="59"/>
  <c r="K29" i="28" s="1"/>
  <c r="M5" i="59"/>
  <c r="N5"/>
  <c r="O5"/>
  <c r="P5"/>
  <c r="O29" i="28"/>
  <c r="D16" i="59"/>
  <c r="G16" s="1"/>
  <c r="Q16" s="1"/>
  <c r="P13"/>
  <c r="O13"/>
  <c r="N13"/>
  <c r="M13"/>
  <c r="L13"/>
  <c r="K13"/>
  <c r="F13"/>
  <c r="E13"/>
  <c r="AE5" i="28"/>
  <c r="AF5" s="1"/>
  <c r="AG5" s="1"/>
  <c r="AH5" s="1"/>
  <c r="AD3" i="67"/>
  <c r="AE3" s="1"/>
  <c r="AF3" s="1"/>
  <c r="AG3" s="1"/>
  <c r="AH3" s="1"/>
  <c r="B17" i="33"/>
  <c r="B16"/>
  <c r="B13"/>
  <c r="D13" i="67"/>
  <c r="E13" s="1"/>
  <c r="F13" s="1"/>
  <c r="G13" s="1"/>
  <c r="H13" s="1"/>
  <c r="I13" s="1"/>
  <c r="J13" s="1"/>
  <c r="K13" s="1"/>
  <c r="L13" s="1"/>
  <c r="M13" s="1"/>
  <c r="N13" s="1"/>
  <c r="O13" s="1"/>
  <c r="P13" s="1"/>
  <c r="Q13" s="1"/>
  <c r="R13" s="1"/>
  <c r="S13" s="1"/>
  <c r="T13" s="1"/>
  <c r="U13" s="1"/>
  <c r="V13" s="1"/>
  <c r="W13" s="1"/>
  <c r="X13" s="1"/>
  <c r="Y13" s="1"/>
  <c r="Z13" s="1"/>
  <c r="AA13" s="1"/>
  <c r="AB13" s="1"/>
  <c r="AC13" s="1"/>
  <c r="AD13" s="1"/>
  <c r="AE13" s="1"/>
  <c r="AF13" s="1"/>
  <c r="AG13" s="1"/>
  <c r="AH13" s="1"/>
  <c r="B13" i="64"/>
  <c r="K8" i="59"/>
  <c r="L8"/>
  <c r="L20" s="1"/>
  <c r="K28" i="8" s="1"/>
  <c r="M8" i="59"/>
  <c r="N8"/>
  <c r="O8"/>
  <c r="P8"/>
  <c r="D12"/>
  <c r="F12" s="1"/>
  <c r="I4" i="66"/>
  <c r="AE3" i="8"/>
  <c r="AF3" s="1"/>
  <c r="Q40" i="67"/>
  <c r="R40"/>
  <c r="S40"/>
  <c r="T40"/>
  <c r="U40"/>
  <c r="V40"/>
  <c r="W40"/>
  <c r="X40"/>
  <c r="Y40"/>
  <c r="Z40"/>
  <c r="AA40"/>
  <c r="AB40"/>
  <c r="B22" i="66"/>
  <c r="C36" i="65"/>
  <c r="C33"/>
  <c r="C34"/>
  <c r="C35"/>
  <c r="C32"/>
  <c r="F12" s="1"/>
  <c r="K2"/>
  <c r="C2" i="67"/>
  <c r="B2" i="8"/>
  <c r="B4" i="28"/>
  <c r="AB34" i="67"/>
  <c r="AA34"/>
  <c r="Z34"/>
  <c r="Y34"/>
  <c r="X34"/>
  <c r="W34"/>
  <c r="V34"/>
  <c r="U34"/>
  <c r="T34"/>
  <c r="S34"/>
  <c r="R34"/>
  <c r="Q34"/>
  <c r="D23"/>
  <c r="E23"/>
  <c r="F23" s="1"/>
  <c r="G23" s="1"/>
  <c r="H23" s="1"/>
  <c r="I23" s="1"/>
  <c r="J23" s="1"/>
  <c r="K23" s="1"/>
  <c r="L23" s="1"/>
  <c r="M23" s="1"/>
  <c r="N23" s="1"/>
  <c r="O23" s="1"/>
  <c r="P23" s="1"/>
  <c r="Q23" s="1"/>
  <c r="R23" s="1"/>
  <c r="S23" s="1"/>
  <c r="T23" s="1"/>
  <c r="U23" s="1"/>
  <c r="V23" s="1"/>
  <c r="W23" s="1"/>
  <c r="X23" s="1"/>
  <c r="Y23" s="1"/>
  <c r="Z23" s="1"/>
  <c r="AA23" s="1"/>
  <c r="AB23" s="1"/>
  <c r="AC23" s="1"/>
  <c r="AD23" s="1"/>
  <c r="AE23" s="1"/>
  <c r="AF23" s="1"/>
  <c r="AG23" s="1"/>
  <c r="AH23" s="1"/>
  <c r="C21"/>
  <c r="AC20"/>
  <c r="D18"/>
  <c r="E18" s="1"/>
  <c r="F18" s="1"/>
  <c r="G18" s="1"/>
  <c r="H18" s="1"/>
  <c r="I18" s="1"/>
  <c r="J18" s="1"/>
  <c r="K18" s="1"/>
  <c r="L18" s="1"/>
  <c r="M18" s="1"/>
  <c r="N18" s="1"/>
  <c r="O18" s="1"/>
  <c r="P18" s="1"/>
  <c r="Q18" s="1"/>
  <c r="R18" s="1"/>
  <c r="S18" s="1"/>
  <c r="T18" s="1"/>
  <c r="U18" s="1"/>
  <c r="V18" s="1"/>
  <c r="W18" s="1"/>
  <c r="X18" s="1"/>
  <c r="Y18" s="1"/>
  <c r="Z18" s="1"/>
  <c r="AA18" s="1"/>
  <c r="AB18" s="1"/>
  <c r="AC18" s="1"/>
  <c r="AD18" s="1"/>
  <c r="AE18" s="1"/>
  <c r="AF18" s="1"/>
  <c r="AG18" s="1"/>
  <c r="AH18" s="1"/>
  <c r="C6"/>
  <c r="R4"/>
  <c r="S4" s="1"/>
  <c r="T4" s="1"/>
  <c r="U4" s="1"/>
  <c r="V4" s="1"/>
  <c r="W4" s="1"/>
  <c r="X4" s="1"/>
  <c r="Y4" s="1"/>
  <c r="Z4" s="1"/>
  <c r="AA4" s="1"/>
  <c r="AB4" s="1"/>
  <c r="E4"/>
  <c r="F4"/>
  <c r="G4" s="1"/>
  <c r="H4" s="1"/>
  <c r="I4" s="1"/>
  <c r="J4" s="1"/>
  <c r="K4" s="1"/>
  <c r="L4" s="1"/>
  <c r="M4" s="1"/>
  <c r="N4" s="1"/>
  <c r="O4" s="1"/>
  <c r="D7" i="28"/>
  <c r="P7" s="1"/>
  <c r="B7" s="1"/>
  <c r="D8" i="66"/>
  <c r="E8"/>
  <c r="F8" s="1"/>
  <c r="G8" s="1"/>
  <c r="H8" s="1"/>
  <c r="I8" s="1"/>
  <c r="D27"/>
  <c r="E27"/>
  <c r="F27" s="1"/>
  <c r="G27" s="1"/>
  <c r="H27" s="1"/>
  <c r="I27" s="1"/>
  <c r="D23"/>
  <c r="E23"/>
  <c r="F23" s="1"/>
  <c r="G23" s="1"/>
  <c r="H23" s="1"/>
  <c r="I23" s="1"/>
  <c r="D15"/>
  <c r="E15"/>
  <c r="F15" s="1"/>
  <c r="G15" s="1"/>
  <c r="H15" s="1"/>
  <c r="I15" s="1"/>
  <c r="D13"/>
  <c r="E13"/>
  <c r="F13" s="1"/>
  <c r="G13" s="1"/>
  <c r="H13" s="1"/>
  <c r="I13" s="1"/>
  <c r="D14"/>
  <c r="E14"/>
  <c r="F14" s="1"/>
  <c r="G14" s="1"/>
  <c r="H14" s="1"/>
  <c r="I14" s="1"/>
  <c r="D12"/>
  <c r="E12"/>
  <c r="F12" s="1"/>
  <c r="G12" s="1"/>
  <c r="H12" s="1"/>
  <c r="I12" s="1"/>
  <c r="D10"/>
  <c r="E10"/>
  <c r="F10" s="1"/>
  <c r="G10" s="1"/>
  <c r="H10" s="1"/>
  <c r="I10" s="1"/>
  <c r="D9"/>
  <c r="E9"/>
  <c r="F9" s="1"/>
  <c r="G9" s="1"/>
  <c r="H9" s="1"/>
  <c r="I9" s="1"/>
  <c r="E5"/>
  <c r="F5" s="1"/>
  <c r="G5" s="1"/>
  <c r="H5" s="1"/>
  <c r="I5" s="1"/>
  <c r="E24" i="65"/>
  <c r="E8"/>
  <c r="D28"/>
  <c r="E27"/>
  <c r="D22"/>
  <c r="C22"/>
  <c r="E11"/>
  <c r="D9"/>
  <c r="C9"/>
  <c r="E6"/>
  <c r="E9" s="1"/>
  <c r="AG22" i="28"/>
  <c r="AG36" i="67" s="1"/>
  <c r="AH22" i="28"/>
  <c r="AH36" i="67" s="1"/>
  <c r="AG28" i="28"/>
  <c r="AH28"/>
  <c r="AD23" i="8"/>
  <c r="D24"/>
  <c r="Q24"/>
  <c r="Q23"/>
  <c r="D23"/>
  <c r="CO8" i="64"/>
  <c r="CE6"/>
  <c r="CF6" s="1"/>
  <c r="CG6" s="1"/>
  <c r="CH6" s="1"/>
  <c r="CI6" s="1"/>
  <c r="CJ6" s="1"/>
  <c r="CK6" s="1"/>
  <c r="CL6" s="1"/>
  <c r="CM6" s="1"/>
  <c r="CN6" s="1"/>
  <c r="CB8"/>
  <c r="BR6"/>
  <c r="BS6"/>
  <c r="BT6" s="1"/>
  <c r="BU6" s="1"/>
  <c r="BV6" s="1"/>
  <c r="BW6" s="1"/>
  <c r="BX6" s="1"/>
  <c r="BY6" s="1"/>
  <c r="BZ6" s="1"/>
  <c r="CA6" s="1"/>
  <c r="E6" i="28"/>
  <c r="F6" s="1"/>
  <c r="G6" s="1"/>
  <c r="H6" s="1"/>
  <c r="I6" s="1"/>
  <c r="J6" s="1"/>
  <c r="K6" s="1"/>
  <c r="L6" s="1"/>
  <c r="M6" s="1"/>
  <c r="N6" s="1"/>
  <c r="O6" s="1"/>
  <c r="E4" i="8"/>
  <c r="E24" s="1"/>
  <c r="E33" i="28"/>
  <c r="E31" s="1"/>
  <c r="F33"/>
  <c r="F31" s="1"/>
  <c r="G33"/>
  <c r="G31" s="1"/>
  <c r="D33"/>
  <c r="D31" s="1"/>
  <c r="D16"/>
  <c r="D19" i="67" s="1"/>
  <c r="D17" s="1"/>
  <c r="D14" i="8"/>
  <c r="B5" i="64"/>
  <c r="R4" i="8"/>
  <c r="S4"/>
  <c r="T4" s="1"/>
  <c r="R6" i="28"/>
  <c r="S6" s="1"/>
  <c r="T6" s="1"/>
  <c r="U6" s="1"/>
  <c r="V6" s="1"/>
  <c r="W6" s="1"/>
  <c r="X6" s="1"/>
  <c r="Y6" s="1"/>
  <c r="Z6" s="1"/>
  <c r="AA6" s="1"/>
  <c r="AB6" s="1"/>
  <c r="BE6" i="64"/>
  <c r="BF6"/>
  <c r="BG6" s="1"/>
  <c r="BH6" s="1"/>
  <c r="BI6" s="1"/>
  <c r="BJ6" s="1"/>
  <c r="BK6" s="1"/>
  <c r="BL6" s="1"/>
  <c r="BM6" s="1"/>
  <c r="BN6" s="1"/>
  <c r="AR6"/>
  <c r="AS6"/>
  <c r="AT6" s="1"/>
  <c r="AU6" s="1"/>
  <c r="AV6" s="1"/>
  <c r="AW6" s="1"/>
  <c r="AX6" s="1"/>
  <c r="AY6" s="1"/>
  <c r="AZ6" s="1"/>
  <c r="BA6" s="1"/>
  <c r="AE6"/>
  <c r="AF6"/>
  <c r="AG6" s="1"/>
  <c r="AH6" s="1"/>
  <c r="AI6" s="1"/>
  <c r="AJ6" s="1"/>
  <c r="AK6" s="1"/>
  <c r="AL6" s="1"/>
  <c r="AM6" s="1"/>
  <c r="AN6" s="1"/>
  <c r="R6"/>
  <c r="S6"/>
  <c r="T6" s="1"/>
  <c r="U6" s="1"/>
  <c r="V6" s="1"/>
  <c r="W6" s="1"/>
  <c r="X6" s="1"/>
  <c r="Y6" s="1"/>
  <c r="Z6" s="1"/>
  <c r="AA6" s="1"/>
  <c r="E6"/>
  <c r="F6"/>
  <c r="G6" s="1"/>
  <c r="H6" s="1"/>
  <c r="I6" s="1"/>
  <c r="J6" s="1"/>
  <c r="K6" s="1"/>
  <c r="L6" s="1"/>
  <c r="M6" s="1"/>
  <c r="N6" s="1"/>
  <c r="D4" i="62"/>
  <c r="E4" s="1"/>
  <c r="F4" s="1"/>
  <c r="G4" s="1"/>
  <c r="H4" s="1"/>
  <c r="I4" s="1"/>
  <c r="BO8" i="64"/>
  <c r="BB8"/>
  <c r="AO8"/>
  <c r="AB8"/>
  <c r="AJ37" i="28"/>
  <c r="AK37" s="1"/>
  <c r="AL37" s="1"/>
  <c r="AM37" s="1"/>
  <c r="AN37" s="1"/>
  <c r="AO37" s="1"/>
  <c r="AP37" s="1"/>
  <c r="AQ37" s="1"/>
  <c r="AR37" s="1"/>
  <c r="AS37" s="1"/>
  <c r="AJ36"/>
  <c r="AK36" s="1"/>
  <c r="AL36" s="1"/>
  <c r="AM36" s="1"/>
  <c r="AN36" s="1"/>
  <c r="AO36" s="1"/>
  <c r="AP36" s="1"/>
  <c r="AQ36" s="1"/>
  <c r="AR36" s="1"/>
  <c r="AS36" s="1"/>
  <c r="C3" i="61"/>
  <c r="D3" s="1"/>
  <c r="E3" s="1"/>
  <c r="F3" s="1"/>
  <c r="G3" s="1"/>
  <c r="H3" s="1"/>
  <c r="AC23" i="28"/>
  <c r="AC22" s="1"/>
  <c r="AC36" i="67" s="1"/>
  <c r="AE28" i="28"/>
  <c r="AC30"/>
  <c r="AC29"/>
  <c r="AC32"/>
  <c r="P32"/>
  <c r="AD22"/>
  <c r="AD36" i="67" s="1"/>
  <c r="AE22" i="28"/>
  <c r="AE36" i="67" s="1"/>
  <c r="AF22" i="28"/>
  <c r="AF36" i="67" s="1"/>
  <c r="Q28" i="28"/>
  <c r="R28"/>
  <c r="S28"/>
  <c r="T28"/>
  <c r="U28"/>
  <c r="V28"/>
  <c r="W28"/>
  <c r="X28"/>
  <c r="Y28"/>
  <c r="Z28"/>
  <c r="AA28"/>
  <c r="AB28"/>
  <c r="Q22"/>
  <c r="R22"/>
  <c r="S22"/>
  <c r="T22"/>
  <c r="U22"/>
  <c r="V22"/>
  <c r="W22"/>
  <c r="X22"/>
  <c r="Y22"/>
  <c r="Z22"/>
  <c r="AA22"/>
  <c r="AB22"/>
  <c r="AF28"/>
  <c r="K22"/>
  <c r="K25" s="1"/>
  <c r="AD28"/>
  <c r="E16"/>
  <c r="F16"/>
  <c r="G16"/>
  <c r="I33"/>
  <c r="I31"/>
  <c r="H33"/>
  <c r="H31"/>
  <c r="I16"/>
  <c r="H16"/>
  <c r="R24" i="8"/>
  <c r="C17" i="67"/>
  <c r="C24"/>
  <c r="C16"/>
  <c r="C11"/>
  <c r="C5"/>
  <c r="C28" s="1"/>
  <c r="M29" i="28"/>
  <c r="H13" i="59"/>
  <c r="L33" i="28"/>
  <c r="L31" s="1"/>
  <c r="K33"/>
  <c r="K31" s="1"/>
  <c r="J33"/>
  <c r="J16"/>
  <c r="J31"/>
  <c r="K16"/>
  <c r="L16"/>
  <c r="J13" i="59"/>
  <c r="L11" i="28"/>
  <c r="A11"/>
  <c r="J8" i="59"/>
  <c r="J5"/>
  <c r="AE23" i="8"/>
  <c r="S24"/>
  <c r="F4"/>
  <c r="D8"/>
  <c r="E8"/>
  <c r="F8"/>
  <c r="C28" i="65"/>
  <c r="C17"/>
  <c r="C30" s="1"/>
  <c r="E28"/>
  <c r="E22"/>
  <c r="G4" i="8"/>
  <c r="H4" s="1"/>
  <c r="F24"/>
  <c r="G24"/>
  <c r="D17" i="65"/>
  <c r="D15" i="59"/>
  <c r="G15" s="1"/>
  <c r="Q15" s="1"/>
  <c r="F10" i="28"/>
  <c r="F9" s="1"/>
  <c r="F5" i="8"/>
  <c r="F26" s="1"/>
  <c r="H11" i="28"/>
  <c r="E10"/>
  <c r="E5" i="8"/>
  <c r="E11" s="1"/>
  <c r="D10" i="28"/>
  <c r="F48" i="69"/>
  <c r="G48" s="1"/>
  <c r="H48" s="1"/>
  <c r="I48" s="1"/>
  <c r="J48" s="1"/>
  <c r="N11" i="28"/>
  <c r="O11"/>
  <c r="P7" i="8"/>
  <c r="M11" i="28"/>
  <c r="G4" i="63"/>
  <c r="H4" s="1"/>
  <c r="F22"/>
  <c r="I28" i="28"/>
  <c r="E26" i="8"/>
  <c r="N20" i="59"/>
  <c r="M28" i="8" s="1"/>
  <c r="N29" i="28"/>
  <c r="P20" i="59"/>
  <c r="O23" i="28" s="1"/>
  <c r="O22" s="1"/>
  <c r="O25" s="1"/>
  <c r="I8" i="59"/>
  <c r="D30" i="65"/>
  <c r="F6"/>
  <c r="E17"/>
  <c r="F24"/>
  <c r="D26" i="8"/>
  <c r="D11"/>
  <c r="D15" s="1"/>
  <c r="D16" s="1"/>
  <c r="I13" i="59"/>
  <c r="I5"/>
  <c r="H8" i="69"/>
  <c r="I6" s="1"/>
  <c r="F32"/>
  <c r="F40"/>
  <c r="G40" s="1"/>
  <c r="H40" s="1"/>
  <c r="I40" s="1"/>
  <c r="G32"/>
  <c r="F16"/>
  <c r="G22" i="63"/>
  <c r="H8" i="59"/>
  <c r="H24" i="65"/>
  <c r="H5" i="59"/>
  <c r="H20" s="1"/>
  <c r="G28" i="8" s="1"/>
  <c r="H32" i="69"/>
  <c r="G10" i="67"/>
  <c r="H10" s="1"/>
  <c r="I10" s="1"/>
  <c r="J10" s="1"/>
  <c r="K10" s="1"/>
  <c r="L10" s="1"/>
  <c r="M10" s="1"/>
  <c r="N10" s="1"/>
  <c r="O10" s="1"/>
  <c r="P10" s="1"/>
  <c r="G9" i="59" l="1"/>
  <c r="D8"/>
  <c r="I20"/>
  <c r="O28" i="8"/>
  <c r="M20" i="59"/>
  <c r="AF23" i="8"/>
  <c r="AG3"/>
  <c r="G3" i="69"/>
  <c r="G73" s="1"/>
  <c r="G77" s="1"/>
  <c r="I24" i="65"/>
  <c r="B32" i="28"/>
  <c r="AC28"/>
  <c r="AJ40" s="1"/>
  <c r="E30" i="65"/>
  <c r="H28" i="8"/>
  <c r="H23" i="28"/>
  <c r="H22" s="1"/>
  <c r="H25" s="1"/>
  <c r="O30"/>
  <c r="N7" i="64" s="1"/>
  <c r="G23" i="28"/>
  <c r="G22" s="1"/>
  <c r="G25" s="1"/>
  <c r="M23"/>
  <c r="M22" s="1"/>
  <c r="M25" s="1"/>
  <c r="K20" i="59"/>
  <c r="J23" i="28" s="1"/>
  <c r="J22" s="1"/>
  <c r="J25" s="1"/>
  <c r="L29"/>
  <c r="L30" s="1"/>
  <c r="J20" i="59"/>
  <c r="O20"/>
  <c r="N30" i="28" s="1"/>
  <c r="H69" i="69"/>
  <c r="D14"/>
  <c r="G69"/>
  <c r="G79" s="1"/>
  <c r="O28" i="28"/>
  <c r="F11" i="65"/>
  <c r="F16"/>
  <c r="F13"/>
  <c r="F27"/>
  <c r="F25"/>
  <c r="N23" i="28"/>
  <c r="N22" s="1"/>
  <c r="N25" s="1"/>
  <c r="K56" i="69"/>
  <c r="J57"/>
  <c r="J59" s="1"/>
  <c r="I4" i="8"/>
  <c r="H24"/>
  <c r="I28"/>
  <c r="I23" i="28"/>
  <c r="I22" s="1"/>
  <c r="I25" s="1"/>
  <c r="U4" i="8"/>
  <c r="T24"/>
  <c r="D17"/>
  <c r="D18" s="1"/>
  <c r="D17" i="28"/>
  <c r="H22" i="63"/>
  <c r="I4"/>
  <c r="L23" i="28"/>
  <c r="L22" s="1"/>
  <c r="L25" s="1"/>
  <c r="L28" i="8"/>
  <c r="J30" i="28"/>
  <c r="I7" i="64" s="1"/>
  <c r="K30" i="28"/>
  <c r="J7" i="64" s="1"/>
  <c r="J28" i="8"/>
  <c r="M30" i="28"/>
  <c r="M28" s="1"/>
  <c r="F11" i="8"/>
  <c r="H3" i="69"/>
  <c r="D13" i="59"/>
  <c r="G12"/>
  <c r="Q12" s="1"/>
  <c r="G11"/>
  <c r="Q11" s="1"/>
  <c r="G14"/>
  <c r="I34" i="28"/>
  <c r="E9"/>
  <c r="H16" i="65"/>
  <c r="D17" i="69"/>
  <c r="D25" s="1"/>
  <c r="D33" s="1"/>
  <c r="D41" s="1"/>
  <c r="D49" s="1"/>
  <c r="D57" s="1"/>
  <c r="E49"/>
  <c r="E33"/>
  <c r="F49"/>
  <c r="F25"/>
  <c r="F57"/>
  <c r="F33"/>
  <c r="E41"/>
  <c r="F41"/>
  <c r="G49"/>
  <c r="F17"/>
  <c r="G41"/>
  <c r="I49"/>
  <c r="E57"/>
  <c r="G33"/>
  <c r="H33"/>
  <c r="H41"/>
  <c r="I41"/>
  <c r="E17"/>
  <c r="G25"/>
  <c r="H49"/>
  <c r="G57"/>
  <c r="I57"/>
  <c r="D26" i="67"/>
  <c r="H13" i="65"/>
  <c r="G18" i="59"/>
  <c r="D17"/>
  <c r="D9" i="67"/>
  <c r="E9" s="1"/>
  <c r="K57" i="69"/>
  <c r="J49"/>
  <c r="H57"/>
  <c r="E25"/>
  <c r="C79"/>
  <c r="E78"/>
  <c r="P11" i="28"/>
  <c r="H6" i="65"/>
  <c r="I6" s="1"/>
  <c r="D9" i="28"/>
  <c r="H27" i="65"/>
  <c r="H25"/>
  <c r="H12"/>
  <c r="I12" s="1"/>
  <c r="F21"/>
  <c r="F8"/>
  <c r="F14"/>
  <c r="F15"/>
  <c r="F19"/>
  <c r="F7"/>
  <c r="F26"/>
  <c r="F20"/>
  <c r="G25"/>
  <c r="J25" s="1"/>
  <c r="G12"/>
  <c r="G13"/>
  <c r="J13" s="1"/>
  <c r="G6"/>
  <c r="G27"/>
  <c r="J27" s="1"/>
  <c r="G24"/>
  <c r="G16"/>
  <c r="Q9" i="59"/>
  <c r="F9" i="69"/>
  <c r="E9"/>
  <c r="C25" i="63"/>
  <c r="G8" i="59" l="1"/>
  <c r="D22" i="69"/>
  <c r="D30" s="1"/>
  <c r="D38" s="1"/>
  <c r="D46" s="1"/>
  <c r="D54" s="1"/>
  <c r="I14"/>
  <c r="J22"/>
  <c r="AH3" i="8"/>
  <c r="AH23" s="1"/>
  <c r="AG23"/>
  <c r="I27" i="65"/>
  <c r="I16"/>
  <c r="H11"/>
  <c r="I11"/>
  <c r="I25"/>
  <c r="I13"/>
  <c r="L7" i="64"/>
  <c r="K27" i="65"/>
  <c r="J58" i="69"/>
  <c r="G11" i="65"/>
  <c r="J11" s="1"/>
  <c r="N28" i="8"/>
  <c r="K13" i="65"/>
  <c r="H9" i="69"/>
  <c r="H10" s="1"/>
  <c r="K7" i="64"/>
  <c r="L28" i="28"/>
  <c r="L34" s="1"/>
  <c r="V4" i="8"/>
  <c r="U24"/>
  <c r="J4"/>
  <c r="I24"/>
  <c r="K28" i="28"/>
  <c r="K34" s="1"/>
  <c r="Q14" i="59"/>
  <c r="Q13" s="1"/>
  <c r="B25" s="1"/>
  <c r="G13"/>
  <c r="H73" i="69"/>
  <c r="H77" s="1"/>
  <c r="I3"/>
  <c r="I22" i="63"/>
  <c r="J4"/>
  <c r="M7" i="64"/>
  <c r="N28" i="28"/>
  <c r="Q8" i="59"/>
  <c r="B24" s="1"/>
  <c r="C24" s="1"/>
  <c r="C41" i="66" s="1"/>
  <c r="K25" i="65"/>
  <c r="J16"/>
  <c r="K16" s="1"/>
  <c r="J28" i="28"/>
  <c r="J34" s="1"/>
  <c r="E11" i="69"/>
  <c r="E10"/>
  <c r="F10"/>
  <c r="F11"/>
  <c r="F64"/>
  <c r="E65"/>
  <c r="C5" i="62"/>
  <c r="J24" i="65"/>
  <c r="J12"/>
  <c r="K12" s="1"/>
  <c r="H20"/>
  <c r="I20" s="1"/>
  <c r="G20"/>
  <c r="J20" s="1"/>
  <c r="H7"/>
  <c r="I7" s="1"/>
  <c r="G7"/>
  <c r="J7" s="1"/>
  <c r="F9"/>
  <c r="H15"/>
  <c r="I15" s="1"/>
  <c r="G15"/>
  <c r="J15" s="1"/>
  <c r="G8"/>
  <c r="J8" s="1"/>
  <c r="H8"/>
  <c r="I8" s="1"/>
  <c r="D8" i="67"/>
  <c r="E8" s="1"/>
  <c r="F8" s="1"/>
  <c r="E79" i="69"/>
  <c r="E80" s="1"/>
  <c r="B36" i="33" s="1"/>
  <c r="F79" i="69"/>
  <c r="H58"/>
  <c r="H59"/>
  <c r="I59"/>
  <c r="I58"/>
  <c r="H50"/>
  <c r="H51"/>
  <c r="E18"/>
  <c r="E19"/>
  <c r="H43"/>
  <c r="H42"/>
  <c r="G35"/>
  <c r="G34"/>
  <c r="I51"/>
  <c r="I50"/>
  <c r="F18"/>
  <c r="F19"/>
  <c r="F42"/>
  <c r="F43"/>
  <c r="F34"/>
  <c r="F35"/>
  <c r="F26"/>
  <c r="F27"/>
  <c r="E35"/>
  <c r="E34"/>
  <c r="H26" i="65"/>
  <c r="H28" s="1"/>
  <c r="F28"/>
  <c r="G26"/>
  <c r="G28" s="1"/>
  <c r="H19"/>
  <c r="I19" s="1"/>
  <c r="F22"/>
  <c r="G19"/>
  <c r="J19" s="1"/>
  <c r="G14"/>
  <c r="H14"/>
  <c r="I14" s="1"/>
  <c r="F17"/>
  <c r="H21"/>
  <c r="I21" s="1"/>
  <c r="G21"/>
  <c r="J21" s="1"/>
  <c r="E26" i="69"/>
  <c r="E27"/>
  <c r="J50"/>
  <c r="J51"/>
  <c r="K58"/>
  <c r="K59"/>
  <c r="Q18" i="59"/>
  <c r="Q17" s="1"/>
  <c r="B26" s="1"/>
  <c r="G17"/>
  <c r="G58" i="69"/>
  <c r="G59"/>
  <c r="G27"/>
  <c r="G26"/>
  <c r="I43"/>
  <c r="I42"/>
  <c r="H35"/>
  <c r="H34"/>
  <c r="E58"/>
  <c r="E59"/>
  <c r="G42"/>
  <c r="G43"/>
  <c r="G51"/>
  <c r="G50"/>
  <c r="E43"/>
  <c r="E42"/>
  <c r="F59"/>
  <c r="F58"/>
  <c r="F51"/>
  <c r="F50"/>
  <c r="E50"/>
  <c r="E51"/>
  <c r="G17" i="65"/>
  <c r="J6"/>
  <c r="H79" i="69"/>
  <c r="E63" l="1"/>
  <c r="E61"/>
  <c r="I8"/>
  <c r="J8" s="1"/>
  <c r="H11"/>
  <c r="J37" s="1"/>
  <c r="L38" s="1"/>
  <c r="I26" i="65"/>
  <c r="D24" i="59"/>
  <c r="H9" i="65"/>
  <c r="G20" i="59"/>
  <c r="F28" i="8" s="1"/>
  <c r="G9" i="69"/>
  <c r="K11" i="65"/>
  <c r="K4" i="63"/>
  <c r="K22" s="1"/>
  <c r="J22"/>
  <c r="I73" i="69"/>
  <c r="I77" s="1"/>
  <c r="J3"/>
  <c r="K4" i="8"/>
  <c r="J24"/>
  <c r="V24"/>
  <c r="W4"/>
  <c r="H17" i="65"/>
  <c r="H22"/>
  <c r="J26"/>
  <c r="G9"/>
  <c r="D25" i="59"/>
  <c r="C25"/>
  <c r="C47" i="66" s="1"/>
  <c r="I9" i="65"/>
  <c r="K7"/>
  <c r="K15"/>
  <c r="B34" i="33"/>
  <c r="F74" i="69"/>
  <c r="D43" i="66"/>
  <c r="E43"/>
  <c r="C43"/>
  <c r="G43"/>
  <c r="C44"/>
  <c r="D41" s="1"/>
  <c r="H43"/>
  <c r="I43"/>
  <c r="F43"/>
  <c r="F63" i="69"/>
  <c r="G68"/>
  <c r="G64" s="1"/>
  <c r="D26" i="59"/>
  <c r="C26"/>
  <c r="E5" i="63"/>
  <c r="F65" i="69"/>
  <c r="H68"/>
  <c r="K21" i="65"/>
  <c r="I22"/>
  <c r="J22"/>
  <c r="K8"/>
  <c r="F30"/>
  <c r="K20"/>
  <c r="J28"/>
  <c r="G67" i="69"/>
  <c r="G78" s="1"/>
  <c r="G80" s="1"/>
  <c r="E6" i="62" s="1"/>
  <c r="J9" i="65"/>
  <c r="I17"/>
  <c r="J14"/>
  <c r="J17" s="1"/>
  <c r="G22"/>
  <c r="K19"/>
  <c r="I28"/>
  <c r="K6"/>
  <c r="K9" s="1"/>
  <c r="K24"/>
  <c r="I9" i="69" l="1"/>
  <c r="I10" s="1"/>
  <c r="G30" i="65"/>
  <c r="F23" i="28"/>
  <c r="F22" s="1"/>
  <c r="F25" s="1"/>
  <c r="D44" i="66"/>
  <c r="E41" s="1"/>
  <c r="E8" i="63"/>
  <c r="E9"/>
  <c r="G10" i="69"/>
  <c r="G11"/>
  <c r="I29" s="1"/>
  <c r="K26" i="65"/>
  <c r="K22"/>
  <c r="H30"/>
  <c r="L4" i="8"/>
  <c r="K24"/>
  <c r="F49" i="66"/>
  <c r="I49"/>
  <c r="C49"/>
  <c r="C50" s="1"/>
  <c r="D47" s="1"/>
  <c r="H49"/>
  <c r="G49"/>
  <c r="E49"/>
  <c r="D49"/>
  <c r="W24" i="8"/>
  <c r="X4"/>
  <c r="J73" i="69"/>
  <c r="J77" s="1"/>
  <c r="K3"/>
  <c r="G74"/>
  <c r="H64"/>
  <c r="D36" i="33"/>
  <c r="E66" i="69"/>
  <c r="F61"/>
  <c r="H24"/>
  <c r="E10" i="63"/>
  <c r="E6"/>
  <c r="E7"/>
  <c r="J9" i="69"/>
  <c r="K8"/>
  <c r="F80"/>
  <c r="F5" i="63"/>
  <c r="G65" i="69"/>
  <c r="I69"/>
  <c r="I79" s="1"/>
  <c r="G16"/>
  <c r="C34" i="33"/>
  <c r="F75" i="69"/>
  <c r="B33" i="33"/>
  <c r="J30" i="65"/>
  <c r="K14"/>
  <c r="K17" s="1"/>
  <c r="C27" i="63" s="1"/>
  <c r="I30" i="65"/>
  <c r="K28"/>
  <c r="E44" i="66"/>
  <c r="F41" s="1"/>
  <c r="F44" s="1"/>
  <c r="G41" s="1"/>
  <c r="G44" s="1"/>
  <c r="H41" s="1"/>
  <c r="H44" s="1"/>
  <c r="I41" s="1"/>
  <c r="I44" s="1"/>
  <c r="K30" i="69" l="1"/>
  <c r="L30"/>
  <c r="I11"/>
  <c r="B57" i="33"/>
  <c r="F8" i="63"/>
  <c r="F9"/>
  <c r="E11"/>
  <c r="D50" i="66"/>
  <c r="E47" s="1"/>
  <c r="E50" s="1"/>
  <c r="F47" s="1"/>
  <c r="F50" s="1"/>
  <c r="G47" s="1"/>
  <c r="G50" s="1"/>
  <c r="H47" s="1"/>
  <c r="H50" s="1"/>
  <c r="I47" s="1"/>
  <c r="I50" s="1"/>
  <c r="K73" i="69"/>
  <c r="K77" s="1"/>
  <c r="L3"/>
  <c r="L73" s="1"/>
  <c r="L77" s="1"/>
  <c r="Y4" i="8"/>
  <c r="X24"/>
  <c r="L24"/>
  <c r="M4"/>
  <c r="F10" i="63"/>
  <c r="F6"/>
  <c r="F7"/>
  <c r="C36" i="33"/>
  <c r="J10" i="69"/>
  <c r="J11"/>
  <c r="E12" i="63"/>
  <c r="F66" i="69"/>
  <c r="E1"/>
  <c r="E28" i="63"/>
  <c r="G75" i="69"/>
  <c r="D34" i="33"/>
  <c r="C33"/>
  <c r="D5" i="62"/>
  <c r="G17" i="69"/>
  <c r="H65"/>
  <c r="G5" i="63"/>
  <c r="L8" i="69"/>
  <c r="L9" s="1"/>
  <c r="K9"/>
  <c r="I24"/>
  <c r="H25"/>
  <c r="T7" i="8"/>
  <c r="T11" i="28" s="1"/>
  <c r="AB7" i="8"/>
  <c r="AB11" i="28" s="1"/>
  <c r="Y7" i="8"/>
  <c r="Y11" i="28" s="1"/>
  <c r="R7" i="8"/>
  <c r="R11" i="28" s="1"/>
  <c r="Z7" i="8"/>
  <c r="Z11" i="28" s="1"/>
  <c r="W7" i="8"/>
  <c r="W11" i="28" s="1"/>
  <c r="X7" i="8"/>
  <c r="X11" i="28" s="1"/>
  <c r="Q7" i="8"/>
  <c r="S7"/>
  <c r="S11" i="28" s="1"/>
  <c r="V7" i="8"/>
  <c r="V11" i="28" s="1"/>
  <c r="U7" i="8"/>
  <c r="U11" i="28" s="1"/>
  <c r="AA7" i="8"/>
  <c r="AA11" i="28" s="1"/>
  <c r="H74" i="69"/>
  <c r="K30" i="65"/>
  <c r="C6" i="66" s="1"/>
  <c r="E15" i="63" l="1"/>
  <c r="E16"/>
  <c r="G8"/>
  <c r="G9"/>
  <c r="F11"/>
  <c r="Y24" i="8"/>
  <c r="Z4"/>
  <c r="N4"/>
  <c r="M24"/>
  <c r="AC7"/>
  <c r="Q11" i="28"/>
  <c r="AC11" s="1"/>
  <c r="H26" i="69"/>
  <c r="H27"/>
  <c r="K11"/>
  <c r="K10"/>
  <c r="G10" i="63"/>
  <c r="G6"/>
  <c r="G7"/>
  <c r="H5"/>
  <c r="I16" i="69"/>
  <c r="J14" s="1"/>
  <c r="J69" s="1"/>
  <c r="J79" s="1"/>
  <c r="H17"/>
  <c r="D33" i="33"/>
  <c r="E5" i="62"/>
  <c r="E17" i="63"/>
  <c r="E14"/>
  <c r="E13"/>
  <c r="C19" i="66"/>
  <c r="C18" s="1"/>
  <c r="C16"/>
  <c r="D6"/>
  <c r="H75" i="69"/>
  <c r="E34" i="33"/>
  <c r="J24" i="69"/>
  <c r="I25"/>
  <c r="L11"/>
  <c r="L10"/>
  <c r="G19"/>
  <c r="G18"/>
  <c r="X6" i="8"/>
  <c r="U6"/>
  <c r="Q6"/>
  <c r="V6"/>
  <c r="S6"/>
  <c r="W6"/>
  <c r="AB6"/>
  <c r="R6"/>
  <c r="D7" i="62"/>
  <c r="Y6" i="8"/>
  <c r="AA6"/>
  <c r="T6"/>
  <c r="Z6"/>
  <c r="I10"/>
  <c r="I14" i="28" s="1"/>
  <c r="M10" i="8"/>
  <c r="M14" i="28" s="1"/>
  <c r="H10" i="8"/>
  <c r="H14" i="28" s="1"/>
  <c r="L10" i="8"/>
  <c r="L14" i="28" s="1"/>
  <c r="G10" i="8"/>
  <c r="O10"/>
  <c r="O14" i="28" s="1"/>
  <c r="N10" i="8"/>
  <c r="N14" i="28" s="1"/>
  <c r="K10" i="8"/>
  <c r="K14" i="28" s="1"/>
  <c r="J10" i="8"/>
  <c r="J14" i="28" s="1"/>
  <c r="F12" i="63"/>
  <c r="F28"/>
  <c r="F29" s="1"/>
  <c r="F1" i="69"/>
  <c r="K22" l="1"/>
  <c r="K24" s="1"/>
  <c r="L22" s="1"/>
  <c r="L69" s="1"/>
  <c r="L79" s="1"/>
  <c r="M79" s="1"/>
  <c r="F15" i="63"/>
  <c r="F16"/>
  <c r="H8"/>
  <c r="H9"/>
  <c r="O4" i="8"/>
  <c r="O24" s="1"/>
  <c r="N24"/>
  <c r="Z24"/>
  <c r="AA4"/>
  <c r="S10"/>
  <c r="S14" i="28" s="1"/>
  <c r="U10" i="8"/>
  <c r="U14" i="28" s="1"/>
  <c r="W10" i="8"/>
  <c r="W14" i="28" s="1"/>
  <c r="Y10" i="8"/>
  <c r="Y14" i="28" s="1"/>
  <c r="AA10" i="8"/>
  <c r="AA14" i="28" s="1"/>
  <c r="Q10" i="8"/>
  <c r="R10"/>
  <c r="R14" i="28" s="1"/>
  <c r="V10" i="8"/>
  <c r="V14" i="28" s="1"/>
  <c r="Z10" i="8"/>
  <c r="Z14" i="28" s="1"/>
  <c r="T10" i="8"/>
  <c r="T14" i="28" s="1"/>
  <c r="AB10" i="8"/>
  <c r="AB14" i="28" s="1"/>
  <c r="X10" i="8"/>
  <c r="X14" i="28" s="1"/>
  <c r="F17" i="63"/>
  <c r="F13"/>
  <c r="F14"/>
  <c r="Z10" i="28"/>
  <c r="Z9" s="1"/>
  <c r="Z5" i="8"/>
  <c r="AA10" i="28"/>
  <c r="AA9" s="1"/>
  <c r="AA5" i="8"/>
  <c r="AB5"/>
  <c r="AB10" i="28"/>
  <c r="AB9" s="1"/>
  <c r="S10"/>
  <c r="S9" s="1"/>
  <c r="S5" i="8"/>
  <c r="Q10" i="28"/>
  <c r="Q5" i="8"/>
  <c r="AC6"/>
  <c r="AC5" s="1"/>
  <c r="X10" i="28"/>
  <c r="X9" s="1"/>
  <c r="X5" i="8"/>
  <c r="I68" i="69"/>
  <c r="I64" s="1"/>
  <c r="I32"/>
  <c r="G63"/>
  <c r="J25"/>
  <c r="E33" i="33"/>
  <c r="F5" i="62"/>
  <c r="AD6" i="8"/>
  <c r="H18" i="69"/>
  <c r="I67" s="1"/>
  <c r="I78" s="1"/>
  <c r="I80" s="1"/>
  <c r="G6" i="62" s="1"/>
  <c r="H19" i="69"/>
  <c r="G14" i="28"/>
  <c r="P14" s="1"/>
  <c r="P10" i="8"/>
  <c r="T10" i="28"/>
  <c r="T9" s="1"/>
  <c r="T5" i="8"/>
  <c r="Y10" i="28"/>
  <c r="Y9" s="1"/>
  <c r="Y5" i="8"/>
  <c r="R10" i="28"/>
  <c r="R9" s="1"/>
  <c r="R5" i="8"/>
  <c r="W5"/>
  <c r="W10" i="28"/>
  <c r="W9" s="1"/>
  <c r="V10"/>
  <c r="V9" s="1"/>
  <c r="V5" i="8"/>
  <c r="U10" i="28"/>
  <c r="U9" s="1"/>
  <c r="U5" i="8"/>
  <c r="H67" i="69"/>
  <c r="H78" s="1"/>
  <c r="G61"/>
  <c r="I26"/>
  <c r="I27"/>
  <c r="E6" i="66"/>
  <c r="D16"/>
  <c r="D19"/>
  <c r="D18" s="1"/>
  <c r="J16" i="69"/>
  <c r="K14" s="1"/>
  <c r="I17"/>
  <c r="H6" i="63"/>
  <c r="H10"/>
  <c r="H7"/>
  <c r="E18"/>
  <c r="E19" s="1"/>
  <c r="G11"/>
  <c r="K69" i="69" l="1"/>
  <c r="K79" s="1"/>
  <c r="F18" i="63"/>
  <c r="F19" s="1"/>
  <c r="V9" i="8" s="1"/>
  <c r="AB4"/>
  <c r="AB24" s="1"/>
  <c r="AA24"/>
  <c r="J9"/>
  <c r="K9"/>
  <c r="L9"/>
  <c r="M9"/>
  <c r="I9"/>
  <c r="G9"/>
  <c r="N9"/>
  <c r="H9"/>
  <c r="O9"/>
  <c r="I19" i="69"/>
  <c r="I18"/>
  <c r="F6" i="66"/>
  <c r="E19"/>
  <c r="E18" s="1"/>
  <c r="E16"/>
  <c r="H80" i="69"/>
  <c r="F6" i="62" s="1"/>
  <c r="W26" i="8"/>
  <c r="AE7"/>
  <c r="AE11" i="28" s="1"/>
  <c r="F36" i="33"/>
  <c r="AD10" i="28"/>
  <c r="J27" i="69"/>
  <c r="J26"/>
  <c r="I33"/>
  <c r="J32"/>
  <c r="X26" i="8"/>
  <c r="C4" i="61"/>
  <c r="Q9" i="28"/>
  <c r="AC10"/>
  <c r="AC9" s="1"/>
  <c r="AB26" i="8"/>
  <c r="AC10"/>
  <c r="Q14" i="28"/>
  <c r="AC14" s="1"/>
  <c r="K16" i="69"/>
  <c r="J17"/>
  <c r="H61"/>
  <c r="G66"/>
  <c r="U26" i="8"/>
  <c r="V26"/>
  <c r="R26"/>
  <c r="Y26"/>
  <c r="T26"/>
  <c r="J68" i="69"/>
  <c r="J64" s="1"/>
  <c r="J40"/>
  <c r="AE6" i="8"/>
  <c r="L24" i="69"/>
  <c r="L25" s="1"/>
  <c r="K25"/>
  <c r="I74"/>
  <c r="I65"/>
  <c r="Q26" i="8"/>
  <c r="S26"/>
  <c r="AA26"/>
  <c r="Z26"/>
  <c r="H11" i="63"/>
  <c r="H63" i="69"/>
  <c r="R9" i="8" l="1"/>
  <c r="R8" s="1"/>
  <c r="R11" s="1"/>
  <c r="Y9"/>
  <c r="Y13" i="28" s="1"/>
  <c r="W9" i="8"/>
  <c r="W13" i="28" s="1"/>
  <c r="Q9" i="8"/>
  <c r="Q8" s="1"/>
  <c r="Q11" s="1"/>
  <c r="T9"/>
  <c r="T13" i="28" s="1"/>
  <c r="Z9" i="8"/>
  <c r="Z8" s="1"/>
  <c r="Z11" s="1"/>
  <c r="U9"/>
  <c r="U13" i="28" s="1"/>
  <c r="X9" i="8"/>
  <c r="X8" s="1"/>
  <c r="X11" s="1"/>
  <c r="AB9"/>
  <c r="AB13" i="28" s="1"/>
  <c r="AA9" i="8"/>
  <c r="AA13" i="28" s="1"/>
  <c r="S9" i="8"/>
  <c r="S8" s="1"/>
  <c r="S11" s="1"/>
  <c r="F7" i="62"/>
  <c r="AC26" i="8"/>
  <c r="I75" i="69"/>
  <c r="F34" i="33"/>
  <c r="K27" i="69"/>
  <c r="K26"/>
  <c r="AE5" i="8"/>
  <c r="AE10" i="28"/>
  <c r="K40" i="69"/>
  <c r="J41"/>
  <c r="H66"/>
  <c r="G12" i="63"/>
  <c r="G1" i="69"/>
  <c r="G28" i="63"/>
  <c r="G29" s="1"/>
  <c r="AD10" i="8" s="1"/>
  <c r="J19" i="69"/>
  <c r="J18"/>
  <c r="V13" i="28"/>
  <c r="V8" i="8"/>
  <c r="V11" s="1"/>
  <c r="K32" i="69"/>
  <c r="J33"/>
  <c r="F19" i="66"/>
  <c r="F18" s="1"/>
  <c r="F16"/>
  <c r="G6"/>
  <c r="H8" i="8"/>
  <c r="H13" i="28"/>
  <c r="G8" i="8"/>
  <c r="G13" i="28"/>
  <c r="P9" i="8"/>
  <c r="M13" i="28"/>
  <c r="M8" i="8"/>
  <c r="K8"/>
  <c r="K13" i="28"/>
  <c r="I5" i="63"/>
  <c r="J65" i="69"/>
  <c r="J74"/>
  <c r="L27"/>
  <c r="L26"/>
  <c r="L16"/>
  <c r="L17" s="1"/>
  <c r="K17"/>
  <c r="I34"/>
  <c r="I61" s="1"/>
  <c r="I35"/>
  <c r="K68" s="1"/>
  <c r="K64" s="1"/>
  <c r="E36" i="33"/>
  <c r="O8" i="8"/>
  <c r="O13" i="28"/>
  <c r="F13" s="1"/>
  <c r="N8" i="8"/>
  <c r="N13" i="28"/>
  <c r="I13"/>
  <c r="I8" i="8"/>
  <c r="L8"/>
  <c r="L13" i="28"/>
  <c r="J8" i="8"/>
  <c r="J13" i="28"/>
  <c r="R13" l="1"/>
  <c r="AB8" i="8"/>
  <c r="AB11" s="1"/>
  <c r="T8"/>
  <c r="T11" s="1"/>
  <c r="S13" i="28"/>
  <c r="U8" i="8"/>
  <c r="U11" s="1"/>
  <c r="AA8"/>
  <c r="AA11" s="1"/>
  <c r="X13" i="28"/>
  <c r="F27" i="8"/>
  <c r="F29" s="1"/>
  <c r="F9" i="67"/>
  <c r="J67" i="69"/>
  <c r="J78" s="1"/>
  <c r="W8" i="8"/>
  <c r="W11" s="1"/>
  <c r="Y8"/>
  <c r="Y11" s="1"/>
  <c r="Z13" i="28"/>
  <c r="AC9" i="8"/>
  <c r="AC8" s="1"/>
  <c r="AC11" s="1"/>
  <c r="G15" i="63"/>
  <c r="G16"/>
  <c r="Q13" i="28"/>
  <c r="Q10" i="67" s="1"/>
  <c r="R10" s="1"/>
  <c r="I8" i="63"/>
  <c r="I9"/>
  <c r="I63" i="69"/>
  <c r="I66" s="1"/>
  <c r="K74"/>
  <c r="AD7" i="8"/>
  <c r="E7" i="62"/>
  <c r="L19" i="69"/>
  <c r="L18"/>
  <c r="G34" i="33"/>
  <c r="J75" i="69"/>
  <c r="K65"/>
  <c r="J5" i="63"/>
  <c r="H6" i="66"/>
  <c r="G16"/>
  <c r="G19"/>
  <c r="G18" s="1"/>
  <c r="J35" i="69"/>
  <c r="J34"/>
  <c r="H12" i="63"/>
  <c r="H1" i="69"/>
  <c r="H28" i="63"/>
  <c r="H29" s="1"/>
  <c r="AE10" i="8" s="1"/>
  <c r="AE14" i="28" s="1"/>
  <c r="L40" i="69"/>
  <c r="L41" s="1"/>
  <c r="K41"/>
  <c r="AE26" i="8"/>
  <c r="E4" i="61"/>
  <c r="G5" i="62"/>
  <c r="F33" i="33"/>
  <c r="J80" i="69"/>
  <c r="H6" i="62" s="1"/>
  <c r="K19" i="69"/>
  <c r="K18"/>
  <c r="I10" i="63"/>
  <c r="I7"/>
  <c r="I6"/>
  <c r="P8" i="8"/>
  <c r="L32" i="69"/>
  <c r="L33" s="1"/>
  <c r="K33"/>
  <c r="AD14" i="28"/>
  <c r="G14" i="63"/>
  <c r="G13"/>
  <c r="G17"/>
  <c r="J42" i="69"/>
  <c r="J43"/>
  <c r="AE9" i="28"/>
  <c r="K45" i="69"/>
  <c r="K48" s="1"/>
  <c r="C8" i="61" l="1"/>
  <c r="C9" s="1"/>
  <c r="C10" s="1"/>
  <c r="S10" i="67"/>
  <c r="T10" s="1"/>
  <c r="U10" s="1"/>
  <c r="V10" s="1"/>
  <c r="W10" s="1"/>
  <c r="X10" s="1"/>
  <c r="Y10" s="1"/>
  <c r="Z10" s="1"/>
  <c r="AA10" s="1"/>
  <c r="AB10" s="1"/>
  <c r="AC10" s="1"/>
  <c r="J61" i="69"/>
  <c r="AC13" i="28"/>
  <c r="H15" i="63"/>
  <c r="H16"/>
  <c r="J8"/>
  <c r="J9"/>
  <c r="J63" i="69"/>
  <c r="J66" s="1"/>
  <c r="L68"/>
  <c r="K67"/>
  <c r="K78" s="1"/>
  <c r="K80" s="1"/>
  <c r="I6" i="62" s="1"/>
  <c r="K49" i="69"/>
  <c r="L48"/>
  <c r="L49" s="1"/>
  <c r="L35"/>
  <c r="L34"/>
  <c r="B8" i="61"/>
  <c r="AD10" i="67"/>
  <c r="AE10" s="1"/>
  <c r="AF10" s="1"/>
  <c r="AG10" s="1"/>
  <c r="AH10" s="1"/>
  <c r="P13" i="28"/>
  <c r="G9" i="67"/>
  <c r="H9" s="1"/>
  <c r="I9" s="1"/>
  <c r="J9" s="1"/>
  <c r="K9" s="1"/>
  <c r="L9" s="1"/>
  <c r="M9" s="1"/>
  <c r="N9" s="1"/>
  <c r="O9" s="1"/>
  <c r="G36" i="33"/>
  <c r="AF7" i="8"/>
  <c r="AF11" i="28" s="1"/>
  <c r="AF6" i="8"/>
  <c r="K42" i="69"/>
  <c r="K43"/>
  <c r="I12" i="63"/>
  <c r="I1" i="69"/>
  <c r="I28" i="63"/>
  <c r="I29" s="1"/>
  <c r="AF10" i="8" s="1"/>
  <c r="AF14" i="28" s="1"/>
  <c r="I6" i="66"/>
  <c r="H19"/>
  <c r="H18" s="1"/>
  <c r="H16"/>
  <c r="G33" i="33"/>
  <c r="H5" i="62"/>
  <c r="K34" i="69"/>
  <c r="K35"/>
  <c r="L42"/>
  <c r="L43"/>
  <c r="H17" i="63"/>
  <c r="H13"/>
  <c r="H14"/>
  <c r="J7"/>
  <c r="J6"/>
  <c r="J10"/>
  <c r="K5"/>
  <c r="AD11" i="28"/>
  <c r="AD5" i="8"/>
  <c r="H34" i="33"/>
  <c r="K75" i="69"/>
  <c r="L53"/>
  <c r="L56" s="1"/>
  <c r="L57" s="1"/>
  <c r="G18" i="63"/>
  <c r="G19" s="1"/>
  <c r="AD9" i="8" s="1"/>
  <c r="I11" i="63"/>
  <c r="L64" i="69" l="1"/>
  <c r="L74" s="1"/>
  <c r="L75" s="1"/>
  <c r="I15" i="63"/>
  <c r="I16"/>
  <c r="K8"/>
  <c r="K9"/>
  <c r="H18"/>
  <c r="H19" s="1"/>
  <c r="AE9" i="8" s="1"/>
  <c r="AE8" s="1"/>
  <c r="AD8"/>
  <c r="AD11" s="1"/>
  <c r="AD13" i="28"/>
  <c r="L58" i="69"/>
  <c r="L59"/>
  <c r="I5" i="62"/>
  <c r="H33" i="33"/>
  <c r="AG6" i="8"/>
  <c r="I16" i="66"/>
  <c r="I19"/>
  <c r="I18" s="1"/>
  <c r="I13" i="63"/>
  <c r="I14"/>
  <c r="I17"/>
  <c r="AF10" i="28"/>
  <c r="AF5" i="8"/>
  <c r="Q9" i="67"/>
  <c r="S9" s="1"/>
  <c r="U9" s="1"/>
  <c r="W9" s="1"/>
  <c r="Y9" s="1"/>
  <c r="AA9" s="1"/>
  <c r="P9"/>
  <c r="L50" i="69"/>
  <c r="L51"/>
  <c r="AG7" i="8"/>
  <c r="H36" i="33"/>
  <c r="AD26" i="8"/>
  <c r="D4" i="61"/>
  <c r="AD9" i="28"/>
  <c r="K10" i="63"/>
  <c r="K7"/>
  <c r="K6"/>
  <c r="J12"/>
  <c r="J1" i="69"/>
  <c r="J28" i="63"/>
  <c r="J29" s="1"/>
  <c r="AG10" i="8" s="1"/>
  <c r="K51" i="69"/>
  <c r="K63" s="1"/>
  <c r="K50"/>
  <c r="K61" s="1"/>
  <c r="J11" i="63"/>
  <c r="G7" i="62"/>
  <c r="L65" i="69" l="1"/>
  <c r="B84" s="1"/>
  <c r="AE13" i="28"/>
  <c r="L67" i="69"/>
  <c r="L78" s="1"/>
  <c r="M78" s="1"/>
  <c r="J15" i="63"/>
  <c r="J16"/>
  <c r="K11"/>
  <c r="K66" i="69"/>
  <c r="R9" i="67"/>
  <c r="T9" s="1"/>
  <c r="V9" s="1"/>
  <c r="X9" s="1"/>
  <c r="Z9" s="1"/>
  <c r="AB9" s="1"/>
  <c r="AC9" s="1"/>
  <c r="P32"/>
  <c r="AF9" i="28"/>
  <c r="AG10"/>
  <c r="AG5" i="8"/>
  <c r="AG14" i="28"/>
  <c r="J14" i="63"/>
  <c r="J13"/>
  <c r="J17"/>
  <c r="AG11" i="28"/>
  <c r="AF26" i="8"/>
  <c r="F4" i="61"/>
  <c r="E8"/>
  <c r="E9" s="1"/>
  <c r="E10" s="1"/>
  <c r="AE11" i="8"/>
  <c r="AH6"/>
  <c r="D8" i="61"/>
  <c r="D9" s="1"/>
  <c r="D10" s="1"/>
  <c r="L63" i="69"/>
  <c r="I18" i="63"/>
  <c r="I19" s="1"/>
  <c r="AF9" i="8" s="1"/>
  <c r="H7" i="62"/>
  <c r="L80" i="69" l="1"/>
  <c r="AH7" i="8" s="1"/>
  <c r="AH11" i="28" s="1"/>
  <c r="B11" s="1"/>
  <c r="M77" i="69"/>
  <c r="L61"/>
  <c r="AH10" i="28"/>
  <c r="G4" i="61"/>
  <c r="AG26" i="8"/>
  <c r="AF8"/>
  <c r="AF13" i="28"/>
  <c r="AD9" i="67"/>
  <c r="K12" i="63"/>
  <c r="L66" i="69"/>
  <c r="B85" s="1"/>
  <c r="B91" s="1"/>
  <c r="B6" i="59" s="1"/>
  <c r="D6" s="1"/>
  <c r="K1" i="69"/>
  <c r="K28" i="63"/>
  <c r="K29" s="1"/>
  <c r="AH10" i="8" s="1"/>
  <c r="J18" i="63"/>
  <c r="J19" s="1"/>
  <c r="AG9" i="8" s="1"/>
  <c r="AG9" i="28"/>
  <c r="B7" i="8" l="1"/>
  <c r="I7" i="62"/>
  <c r="AH5" i="8"/>
  <c r="F6" i="59"/>
  <c r="F20" s="1"/>
  <c r="E6"/>
  <c r="D20"/>
  <c r="K15" i="63"/>
  <c r="K16"/>
  <c r="AH14" i="28"/>
  <c r="B14" s="1"/>
  <c r="B10" i="8"/>
  <c r="B83" i="69"/>
  <c r="L1"/>
  <c r="C30" i="53" s="1"/>
  <c r="AF9" i="67"/>
  <c r="AD32"/>
  <c r="F8" i="61"/>
  <c r="F9" s="1"/>
  <c r="F10" s="1"/>
  <c r="AF11" i="8"/>
  <c r="H4" i="61"/>
  <c r="AG8" i="8"/>
  <c r="AG13" i="28"/>
  <c r="K13" i="63"/>
  <c r="K14"/>
  <c r="K17"/>
  <c r="AE9" i="67"/>
  <c r="AC32"/>
  <c r="AH9" i="28"/>
  <c r="AH26" i="8" l="1"/>
  <c r="Q6" i="59"/>
  <c r="Q5" s="1"/>
  <c r="E20"/>
  <c r="E23" i="28"/>
  <c r="E22" s="1"/>
  <c r="E25" s="1"/>
  <c r="E28" i="8"/>
  <c r="E29" s="1"/>
  <c r="AE32" i="67"/>
  <c r="AG9"/>
  <c r="AG32" s="1"/>
  <c r="G8" i="61"/>
  <c r="G9" s="1"/>
  <c r="G10" s="1"/>
  <c r="AG11" i="8"/>
  <c r="AF32" i="67"/>
  <c r="AH9"/>
  <c r="K18" i="63"/>
  <c r="K19" s="1"/>
  <c r="AH9" i="8" s="1"/>
  <c r="B23" i="59" l="1"/>
  <c r="Q20"/>
  <c r="D21" s="1"/>
  <c r="D28" i="8"/>
  <c r="D23" i="28"/>
  <c r="D22" s="1"/>
  <c r="AH32" i="67"/>
  <c r="AH13" i="28"/>
  <c r="AH8" i="8"/>
  <c r="B9"/>
  <c r="D29" l="1"/>
  <c r="P28"/>
  <c r="B28" s="1"/>
  <c r="D23" i="59"/>
  <c r="D27" s="1"/>
  <c r="C23"/>
  <c r="B27"/>
  <c r="P23" i="28"/>
  <c r="H8" i="61"/>
  <c r="H9" s="1"/>
  <c r="H10" s="1"/>
  <c r="AH11" i="8"/>
  <c r="B8"/>
  <c r="B13" i="28"/>
  <c r="B23" l="1"/>
  <c r="P22"/>
  <c r="B22" s="1"/>
  <c r="D30" i="8"/>
  <c r="D31"/>
  <c r="D18" i="28" s="1"/>
  <c r="D12" s="1"/>
  <c r="D19" s="1"/>
  <c r="D25"/>
  <c r="P25" s="1"/>
  <c r="D12" i="67"/>
  <c r="E12" s="1"/>
  <c r="F12" s="1"/>
  <c r="C27" i="59"/>
  <c r="C35" i="66"/>
  <c r="H37" l="1"/>
  <c r="H31" s="1"/>
  <c r="AG13" i="8" s="1"/>
  <c r="AG35" i="67" s="1"/>
  <c r="G37" i="66"/>
  <c r="G31" s="1"/>
  <c r="AF13" i="8" s="1"/>
  <c r="AF35" i="67" s="1"/>
  <c r="E37" i="66"/>
  <c r="E31" s="1"/>
  <c r="AD13" i="8" s="1"/>
  <c r="AD35" i="67" s="1"/>
  <c r="C29" i="66"/>
  <c r="F37"/>
  <c r="F31" s="1"/>
  <c r="AE13" i="8" s="1"/>
  <c r="AE35" i="67" s="1"/>
  <c r="D37" i="66"/>
  <c r="D31" s="1"/>
  <c r="C37"/>
  <c r="C31" s="1"/>
  <c r="I37"/>
  <c r="I31" s="1"/>
  <c r="AH13" i="8" s="1"/>
  <c r="AH35" i="67" s="1"/>
  <c r="C38" i="66"/>
  <c r="D35" s="1"/>
  <c r="E31" i="8"/>
  <c r="E18" i="28" s="1"/>
  <c r="D14" i="67"/>
  <c r="D11" s="1"/>
  <c r="E30" i="8"/>
  <c r="D29" i="28"/>
  <c r="P36" i="67"/>
  <c r="D25" l="1"/>
  <c r="E14"/>
  <c r="E11" s="1"/>
  <c r="F30" i="8"/>
  <c r="F31"/>
  <c r="F18" i="28" s="1"/>
  <c r="D38" i="66"/>
  <c r="E35" s="1"/>
  <c r="D29"/>
  <c r="D32" s="1"/>
  <c r="D22"/>
  <c r="D21" s="1"/>
  <c r="G13" i="8"/>
  <c r="H13"/>
  <c r="J13"/>
  <c r="M13"/>
  <c r="K13"/>
  <c r="I13"/>
  <c r="N13"/>
  <c r="O13"/>
  <c r="L13"/>
  <c r="B3" i="33"/>
  <c r="B25" i="28"/>
  <c r="Z13" i="8"/>
  <c r="Q13"/>
  <c r="Y13"/>
  <c r="S13"/>
  <c r="X13"/>
  <c r="T13"/>
  <c r="U13"/>
  <c r="R13"/>
  <c r="V13"/>
  <c r="AB13"/>
  <c r="AA13"/>
  <c r="W13"/>
  <c r="D30" i="28"/>
  <c r="C7" i="64" s="1"/>
  <c r="C12" s="1"/>
  <c r="C22" i="66"/>
  <c r="C21" s="1"/>
  <c r="C32"/>
  <c r="D9" i="64" l="1"/>
  <c r="E14" i="8" s="1"/>
  <c r="D22" i="67"/>
  <c r="D21" s="1"/>
  <c r="P13" i="8"/>
  <c r="G12" i="67"/>
  <c r="H12" s="1"/>
  <c r="I12" s="1"/>
  <c r="J12" s="1"/>
  <c r="K12" s="1"/>
  <c r="L12" s="1"/>
  <c r="M12" s="1"/>
  <c r="N12" s="1"/>
  <c r="O12" s="1"/>
  <c r="D24"/>
  <c r="AC13" i="8"/>
  <c r="AC35" i="67" s="1"/>
  <c r="H12" i="8"/>
  <c r="H27" s="1"/>
  <c r="K15" i="28"/>
  <c r="O12" i="8"/>
  <c r="O27" s="1"/>
  <c r="J12"/>
  <c r="J27" s="1"/>
  <c r="G15" i="28"/>
  <c r="L12" i="8"/>
  <c r="L27" s="1"/>
  <c r="N12"/>
  <c r="N27" s="1"/>
  <c r="O15" i="28"/>
  <c r="I12" i="8"/>
  <c r="I27" s="1"/>
  <c r="J15" i="28"/>
  <c r="L15"/>
  <c r="N15"/>
  <c r="H15"/>
  <c r="I15"/>
  <c r="M15"/>
  <c r="G12" i="8"/>
  <c r="K12"/>
  <c r="K27" s="1"/>
  <c r="M12"/>
  <c r="M27" s="1"/>
  <c r="W12"/>
  <c r="W27" s="1"/>
  <c r="W29" s="1"/>
  <c r="AA15" i="28"/>
  <c r="Q12" i="8"/>
  <c r="R15" i="28"/>
  <c r="AB15"/>
  <c r="T15"/>
  <c r="Q15"/>
  <c r="U15"/>
  <c r="Y12" i="8"/>
  <c r="Y27" s="1"/>
  <c r="Y29" s="1"/>
  <c r="Z12"/>
  <c r="Z27" s="1"/>
  <c r="Z29" s="1"/>
  <c r="V15" i="28"/>
  <c r="S15"/>
  <c r="V12" i="8"/>
  <c r="V27" s="1"/>
  <c r="V29" s="1"/>
  <c r="T12"/>
  <c r="T27" s="1"/>
  <c r="T29" s="1"/>
  <c r="S12"/>
  <c r="S27" s="1"/>
  <c r="S29" s="1"/>
  <c r="R12"/>
  <c r="R27" s="1"/>
  <c r="R29" s="1"/>
  <c r="AA12"/>
  <c r="AA27" s="1"/>
  <c r="AA29" s="1"/>
  <c r="X15" i="28"/>
  <c r="W15"/>
  <c r="X12" i="8"/>
  <c r="X27" s="1"/>
  <c r="X29" s="1"/>
  <c r="Y15" i="28"/>
  <c r="U12" i="8"/>
  <c r="U27" s="1"/>
  <c r="U29" s="1"/>
  <c r="Z15" i="28"/>
  <c r="AB12" i="8"/>
  <c r="AB27" s="1"/>
  <c r="AB29" s="1"/>
  <c r="E38" i="66"/>
  <c r="F35" s="1"/>
  <c r="E29"/>
  <c r="E32" s="1"/>
  <c r="F14" i="67"/>
  <c r="F11" s="1"/>
  <c r="D28" i="28"/>
  <c r="D34" s="1"/>
  <c r="D35" l="1"/>
  <c r="D36"/>
  <c r="P12" i="67"/>
  <c r="E15" i="8"/>
  <c r="E16" s="1"/>
  <c r="E19" i="67"/>
  <c r="E22" i="66"/>
  <c r="E21" s="1"/>
  <c r="P15" i="28"/>
  <c r="F38" i="66"/>
  <c r="G35" s="1"/>
  <c r="F29"/>
  <c r="F32" s="1"/>
  <c r="AC12" i="8"/>
  <c r="Q27"/>
  <c r="G27"/>
  <c r="P12"/>
  <c r="P35" i="67"/>
  <c r="B13" i="8"/>
  <c r="AC15" i="28"/>
  <c r="D16" i="67"/>
  <c r="F22" i="66" l="1"/>
  <c r="F21" s="1"/>
  <c r="AE15" i="28" s="1"/>
  <c r="Q29" i="8"/>
  <c r="AC29" s="1"/>
  <c r="AC27"/>
  <c r="AE12"/>
  <c r="AE27" s="1"/>
  <c r="AE29" s="1"/>
  <c r="G29" i="66"/>
  <c r="G32" s="1"/>
  <c r="G38"/>
  <c r="H35" s="1"/>
  <c r="AD15" i="28"/>
  <c r="AD12" i="8"/>
  <c r="AD27" s="1"/>
  <c r="AD29" s="1"/>
  <c r="E17"/>
  <c r="E18" s="1"/>
  <c r="E26" i="67" s="1"/>
  <c r="E17" i="28"/>
  <c r="E12" s="1"/>
  <c r="E19" s="1"/>
  <c r="Q12" i="67"/>
  <c r="R12" s="1"/>
  <c r="S12" s="1"/>
  <c r="T12" s="1"/>
  <c r="U12" s="1"/>
  <c r="V12" s="1"/>
  <c r="W12" s="1"/>
  <c r="X12" s="1"/>
  <c r="D37" i="28"/>
  <c r="P27" i="8"/>
  <c r="E17" i="67"/>
  <c r="D7"/>
  <c r="D6" s="1"/>
  <c r="D5" s="1"/>
  <c r="D28" s="1"/>
  <c r="E7" i="28"/>
  <c r="G22" i="66" l="1"/>
  <c r="G21" s="1"/>
  <c r="E29" i="28"/>
  <c r="H29" i="66"/>
  <c r="H32" s="1"/>
  <c r="H38"/>
  <c r="I35" s="1"/>
  <c r="Y12" i="67"/>
  <c r="E30" i="28" l="1"/>
  <c r="D7" i="64" s="1"/>
  <c r="D12" s="1"/>
  <c r="E25" i="67"/>
  <c r="E24" s="1"/>
  <c r="H22" i="66"/>
  <c r="H21" s="1"/>
  <c r="I29"/>
  <c r="I32" s="1"/>
  <c r="I38"/>
  <c r="I22" s="1"/>
  <c r="I21" s="1"/>
  <c r="AF12" i="8"/>
  <c r="AF15" i="28"/>
  <c r="Z12" i="67"/>
  <c r="B56" i="33" l="1"/>
  <c r="E28" i="28"/>
  <c r="E34" s="1"/>
  <c r="E35" s="1"/>
  <c r="AH12" i="8"/>
  <c r="AH27" s="1"/>
  <c r="AH29" s="1"/>
  <c r="AH15" i="28"/>
  <c r="AG15"/>
  <c r="AG12" i="8"/>
  <c r="AG27" s="1"/>
  <c r="AG29" s="1"/>
  <c r="E9" i="64"/>
  <c r="F14" i="8" s="1"/>
  <c r="E22" i="67"/>
  <c r="E21" s="1"/>
  <c r="E16" s="1"/>
  <c r="AF27" i="8"/>
  <c r="AA12" i="67"/>
  <c r="E36" i="28" l="1"/>
  <c r="E37" s="1"/>
  <c r="B12" i="8"/>
  <c r="B15" i="28"/>
  <c r="AF29" i="8"/>
  <c r="B27"/>
  <c r="F15"/>
  <c r="F16" s="1"/>
  <c r="F19" i="67"/>
  <c r="F17" s="1"/>
  <c r="AB12"/>
  <c r="E7" l="1"/>
  <c r="E6" s="1"/>
  <c r="E5" s="1"/>
  <c r="E28" s="1"/>
  <c r="F7" i="28"/>
  <c r="F17" i="8"/>
  <c r="F18" s="1"/>
  <c r="F26" i="67" s="1"/>
  <c r="F17" i="28"/>
  <c r="F12" s="1"/>
  <c r="F19" s="1"/>
  <c r="AC12" i="67"/>
  <c r="F29" i="28" l="1"/>
  <c r="AD12" i="67"/>
  <c r="F30" i="28" l="1"/>
  <c r="E7" i="64" s="1"/>
  <c r="E12" s="1"/>
  <c r="F25" i="67"/>
  <c r="F24" s="1"/>
  <c r="AE12"/>
  <c r="F28" i="28" l="1"/>
  <c r="F34" s="1"/>
  <c r="F36" s="1"/>
  <c r="F22" i="67"/>
  <c r="F21" s="1"/>
  <c r="F16" s="1"/>
  <c r="F9" i="64"/>
  <c r="G14" i="8" s="1"/>
  <c r="AF12" i="67"/>
  <c r="F35" i="28" l="1"/>
  <c r="G19" i="67"/>
  <c r="G17" s="1"/>
  <c r="G7" i="28"/>
  <c r="F7" i="67"/>
  <c r="F6" s="1"/>
  <c r="F5" s="1"/>
  <c r="F28" s="1"/>
  <c r="F37" i="28"/>
  <c r="AG12" i="67"/>
  <c r="AH12" l="1"/>
  <c r="G25" l="1"/>
  <c r="F7" i="64" l="1"/>
  <c r="G28" i="28"/>
  <c r="G34" s="1"/>
  <c r="F12" i="64" l="1"/>
  <c r="G9" l="1"/>
  <c r="G22" i="67"/>
  <c r="G21" s="1"/>
  <c r="H14" i="8" l="1"/>
  <c r="H19" i="67" l="1"/>
  <c r="H17" l="1"/>
  <c r="P29" i="28" l="1"/>
  <c r="B29" s="1"/>
  <c r="H25" i="67"/>
  <c r="H28" i="28"/>
  <c r="H34" s="1"/>
  <c r="B8" i="33" l="1"/>
  <c r="I25" i="67"/>
  <c r="G7" i="64"/>
  <c r="P30" i="28"/>
  <c r="B30" s="1"/>
  <c r="B9" i="33" s="1"/>
  <c r="B28" i="28" l="1"/>
  <c r="P28"/>
  <c r="AI40" s="1"/>
  <c r="O7" i="64"/>
  <c r="B7" s="1"/>
  <c r="G12"/>
  <c r="J25" i="67"/>
  <c r="B4" i="33" l="1"/>
  <c r="B5" s="1"/>
  <c r="K25" i="67"/>
  <c r="AI46" i="28"/>
  <c r="AS46"/>
  <c r="AM46"/>
  <c r="AP46"/>
  <c r="AQ46"/>
  <c r="AR46"/>
  <c r="AJ46"/>
  <c r="AN46"/>
  <c r="AL46"/>
  <c r="AK46"/>
  <c r="AO46"/>
  <c r="H9" i="64"/>
  <c r="H12"/>
  <c r="H22" i="67"/>
  <c r="H21" s="1"/>
  <c r="B10" i="33"/>
  <c r="D9" l="1"/>
  <c r="D8"/>
  <c r="D10" s="1"/>
  <c r="I22" i="67"/>
  <c r="I21" s="1"/>
  <c r="I12" i="64"/>
  <c r="I9"/>
  <c r="J14" i="8" s="1"/>
  <c r="L25" i="67"/>
  <c r="I14" i="8"/>
  <c r="M25" i="67" l="1"/>
  <c r="I19"/>
  <c r="J9" i="64"/>
  <c r="K14" i="8" s="1"/>
  <c r="J22" i="67"/>
  <c r="J21" s="1"/>
  <c r="J12" i="64"/>
  <c r="J19" i="67" l="1"/>
  <c r="I17"/>
  <c r="K22"/>
  <c r="K21" s="1"/>
  <c r="K9" i="64"/>
  <c r="N25" i="67"/>
  <c r="O25" l="1"/>
  <c r="K19"/>
  <c r="J17"/>
  <c r="L14" i="8"/>
  <c r="K8" i="64"/>
  <c r="K17" i="67" l="1"/>
  <c r="L19"/>
  <c r="P25"/>
  <c r="O8" i="64"/>
  <c r="B8" s="1"/>
  <c r="K12"/>
  <c r="Q25" i="67" l="1"/>
  <c r="AA10" i="64"/>
  <c r="AB33" i="28" s="1"/>
  <c r="AB31" s="1"/>
  <c r="AB34" s="1"/>
  <c r="V10" i="64"/>
  <c r="W33" i="28" s="1"/>
  <c r="W31" s="1"/>
  <c r="W34" s="1"/>
  <c r="L10" i="64"/>
  <c r="CH10"/>
  <c r="AC10"/>
  <c r="BE10"/>
  <c r="CD10"/>
  <c r="AN10"/>
  <c r="AF10"/>
  <c r="AP10"/>
  <c r="AG10"/>
  <c r="CJ10"/>
  <c r="CC10"/>
  <c r="L9"/>
  <c r="R10"/>
  <c r="S33" i="28" s="1"/>
  <c r="S31" s="1"/>
  <c r="S34" s="1"/>
  <c r="BJ10" i="64"/>
  <c r="AU10"/>
  <c r="BF10"/>
  <c r="CN10"/>
  <c r="BG10"/>
  <c r="BI10"/>
  <c r="AX10"/>
  <c r="X10"/>
  <c r="Y33" i="28" s="1"/>
  <c r="Y31" s="1"/>
  <c r="Y34" s="1"/>
  <c r="M10" i="64"/>
  <c r="N33" i="28" s="1"/>
  <c r="N31" s="1"/>
  <c r="N34" s="1"/>
  <c r="CK10" i="64"/>
  <c r="CI10"/>
  <c r="BN10"/>
  <c r="AD10"/>
  <c r="AM10"/>
  <c r="BK10"/>
  <c r="AW10"/>
  <c r="AS10"/>
  <c r="BA10"/>
  <c r="AQ10"/>
  <c r="AY10"/>
  <c r="N10"/>
  <c r="O33" i="28" s="1"/>
  <c r="O31" s="1"/>
  <c r="O34" s="1"/>
  <c r="U10" i="64"/>
  <c r="V33" i="28" s="1"/>
  <c r="V31" s="1"/>
  <c r="V34" s="1"/>
  <c r="AH10" i="64"/>
  <c r="CL10"/>
  <c r="BV10"/>
  <c r="BH10"/>
  <c r="AT10"/>
  <c r="BM10"/>
  <c r="BT10"/>
  <c r="AJ10"/>
  <c r="AL10"/>
  <c r="CM10"/>
  <c r="T10"/>
  <c r="U33" i="28" s="1"/>
  <c r="U31" s="1"/>
  <c r="U34" s="1"/>
  <c r="CF10" i="64"/>
  <c r="BL10"/>
  <c r="BP10"/>
  <c r="W10"/>
  <c r="X33" i="28" s="1"/>
  <c r="X31" s="1"/>
  <c r="X34" s="1"/>
  <c r="BX10" i="64"/>
  <c r="BQ10"/>
  <c r="AV10"/>
  <c r="BZ10"/>
  <c r="BD10"/>
  <c r="Y10"/>
  <c r="Z33" i="28" s="1"/>
  <c r="Z31" s="1"/>
  <c r="Z34" s="1"/>
  <c r="CG10" i="64"/>
  <c r="BS10"/>
  <c r="AE10"/>
  <c r="BU10"/>
  <c r="AK10"/>
  <c r="CA10"/>
  <c r="BC10"/>
  <c r="BY10"/>
  <c r="Q10"/>
  <c r="R33" i="28" s="1"/>
  <c r="R31" s="1"/>
  <c r="R34" s="1"/>
  <c r="BW10" i="64"/>
  <c r="AR10"/>
  <c r="AZ10"/>
  <c r="AI10"/>
  <c r="P10"/>
  <c r="CE10"/>
  <c r="L22" i="67"/>
  <c r="L21" s="1"/>
  <c r="Z10" i="64"/>
  <c r="AA33" i="28" s="1"/>
  <c r="AA31" s="1"/>
  <c r="AA34" s="1"/>
  <c r="S10" i="64"/>
  <c r="T33" i="28" s="1"/>
  <c r="T31" s="1"/>
  <c r="T34" s="1"/>
  <c r="BR10" i="64"/>
  <c r="L17" i="67"/>
  <c r="Q33" i="28" l="1"/>
  <c r="AB10" i="64"/>
  <c r="M33" i="28"/>
  <c r="O10" i="64"/>
  <c r="R25" i="67"/>
  <c r="L11" i="64"/>
  <c r="M14" i="8"/>
  <c r="CO10" i="64"/>
  <c r="AH33" i="28" s="1"/>
  <c r="AH31" s="1"/>
  <c r="AH34" s="1"/>
  <c r="AO10" i="64"/>
  <c r="AD33" i="28" s="1"/>
  <c r="AD31" s="1"/>
  <c r="AD34" s="1"/>
  <c r="BO10" i="64"/>
  <c r="AF33" i="28" s="1"/>
  <c r="AF31" s="1"/>
  <c r="AF34" s="1"/>
  <c r="CB10" i="64"/>
  <c r="AG33" i="28" s="1"/>
  <c r="AG31" s="1"/>
  <c r="AG34" s="1"/>
  <c r="L12" i="64"/>
  <c r="BB10"/>
  <c r="AE33" i="28" s="1"/>
  <c r="AE31" s="1"/>
  <c r="AE34" s="1"/>
  <c r="M9" i="64" l="1"/>
  <c r="M12"/>
  <c r="M22" i="67"/>
  <c r="M21" s="1"/>
  <c r="M16" i="28"/>
  <c r="M31"/>
  <c r="M34" s="1"/>
  <c r="P33"/>
  <c r="Q31"/>
  <c r="Q34" s="1"/>
  <c r="AC33"/>
  <c r="AC31" s="1"/>
  <c r="AC34" s="1"/>
  <c r="M19" i="67"/>
  <c r="S25"/>
  <c r="B10" i="64"/>
  <c r="A16" s="1"/>
  <c r="M17" i="67" l="1"/>
  <c r="B33" i="28"/>
  <c r="B31" s="1"/>
  <c r="B34" s="1"/>
  <c r="P31"/>
  <c r="P34" s="1"/>
  <c r="N14" i="8"/>
  <c r="M11" i="64"/>
  <c r="T25" i="67"/>
  <c r="N9" i="64"/>
  <c r="N22" i="67"/>
  <c r="N21" s="1"/>
  <c r="N12" i="64"/>
  <c r="N16" i="28" l="1"/>
  <c r="N19" i="67" s="1"/>
  <c r="O22"/>
  <c r="O21" s="1"/>
  <c r="O12" i="64"/>
  <c r="O14" i="8"/>
  <c r="N11" i="64"/>
  <c r="O16" i="28" s="1"/>
  <c r="O9" i="64"/>
  <c r="U25" i="67"/>
  <c r="V25" l="1"/>
  <c r="P9" i="64"/>
  <c r="P12"/>
  <c r="P22" i="67"/>
  <c r="P21" s="1"/>
  <c r="O19"/>
  <c r="N17"/>
  <c r="P14" i="8"/>
  <c r="P16" i="28"/>
  <c r="O11" i="64"/>
  <c r="B7" i="61" l="1"/>
  <c r="P11" i="64"/>
  <c r="Q14" i="8"/>
  <c r="W25" i="67"/>
  <c r="P19"/>
  <c r="O17"/>
  <c r="Q12" i="64"/>
  <c r="Q22" i="67"/>
  <c r="Q21" s="1"/>
  <c r="Q9" i="64"/>
  <c r="X25" i="67" l="1"/>
  <c r="Q15" i="8"/>
  <c r="B6" i="61"/>
  <c r="Q11" i="64"/>
  <c r="R16" i="28" s="1"/>
  <c r="R14" i="8"/>
  <c r="R15" s="1"/>
  <c r="R9" i="64"/>
  <c r="R12"/>
  <c r="R22" i="67"/>
  <c r="R21" s="1"/>
  <c r="P17"/>
  <c r="P33" s="1"/>
  <c r="Q16" i="28"/>
  <c r="S14" i="8" l="1"/>
  <c r="R11" i="64"/>
  <c r="S16" i="28" s="1"/>
  <c r="S22" i="67"/>
  <c r="S21" s="1"/>
  <c r="S12" i="64"/>
  <c r="S9"/>
  <c r="Y25" i="67"/>
  <c r="Q19"/>
  <c r="T14" i="8" l="1"/>
  <c r="T15" s="1"/>
  <c r="S11" i="64"/>
  <c r="S15" i="8"/>
  <c r="Q17" i="67"/>
  <c r="R19"/>
  <c r="Z25"/>
  <c r="T12" i="64"/>
  <c r="T22" i="67"/>
  <c r="T21" s="1"/>
  <c r="T9" i="64"/>
  <c r="S19" i="67" l="1"/>
  <c r="R17"/>
  <c r="U14" i="8"/>
  <c r="T11" i="64"/>
  <c r="U16" i="28" s="1"/>
  <c r="U9" i="64"/>
  <c r="U22" i="67"/>
  <c r="U21" s="1"/>
  <c r="U12" i="64"/>
  <c r="AA25" i="67"/>
  <c r="T16" i="28"/>
  <c r="AB25" i="67" l="1"/>
  <c r="V12" i="64"/>
  <c r="V22" i="67"/>
  <c r="V21" s="1"/>
  <c r="V9" i="64"/>
  <c r="U11"/>
  <c r="V14" i="8"/>
  <c r="V15" s="1"/>
  <c r="U15"/>
  <c r="T19" i="67"/>
  <c r="S17"/>
  <c r="V16" i="28" l="1"/>
  <c r="AC25" i="67"/>
  <c r="T17"/>
  <c r="U19"/>
  <c r="V11" i="64"/>
  <c r="W16" i="28" s="1"/>
  <c r="W14" i="8"/>
  <c r="W22" i="67"/>
  <c r="W21" s="1"/>
  <c r="W9" i="64"/>
  <c r="W12"/>
  <c r="X14" i="8" l="1"/>
  <c r="X15" s="1"/>
  <c r="W11" i="64"/>
  <c r="X16" i="28" s="1"/>
  <c r="W15" i="8"/>
  <c r="AD25" i="67"/>
  <c r="X22"/>
  <c r="X21" s="1"/>
  <c r="X12" i="64"/>
  <c r="X9"/>
  <c r="V19" i="67"/>
  <c r="U17"/>
  <c r="W19" l="1"/>
  <c r="V17"/>
  <c r="Y22"/>
  <c r="Y21" s="1"/>
  <c r="Y9" i="64"/>
  <c r="Y12"/>
  <c r="X11"/>
  <c r="Y16" i="28" s="1"/>
  <c r="Y14" i="8"/>
  <c r="AE25" i="67"/>
  <c r="Z9" i="64" l="1"/>
  <c r="Z12"/>
  <c r="Z22" i="67"/>
  <c r="Z21" s="1"/>
  <c r="X19"/>
  <c r="W17"/>
  <c r="AF25"/>
  <c r="Y15" i="8"/>
  <c r="Y11" i="64"/>
  <c r="Z16" i="28" s="1"/>
  <c r="Z14" i="8"/>
  <c r="Z15" s="1"/>
  <c r="X17" i="67" l="1"/>
  <c r="Y19"/>
  <c r="AA22"/>
  <c r="AA21" s="1"/>
  <c r="AA9" i="64"/>
  <c r="AA12"/>
  <c r="AG25" i="67"/>
  <c r="AA14" i="8"/>
  <c r="AA15" s="1"/>
  <c r="Z11" i="64"/>
  <c r="AA16" i="28" s="1"/>
  <c r="AH25" i="67" l="1"/>
  <c r="AB14" i="8"/>
  <c r="AA11" i="64"/>
  <c r="AB9"/>
  <c r="Z19" i="67"/>
  <c r="Y17"/>
  <c r="AB22"/>
  <c r="AB21" s="1"/>
  <c r="AB12" i="64"/>
  <c r="AA19" i="67" l="1"/>
  <c r="Z17"/>
  <c r="AB16" i="28"/>
  <c r="AB11" i="64"/>
  <c r="AC12"/>
  <c r="AC22" i="67"/>
  <c r="AC21" s="1"/>
  <c r="AC9" i="64"/>
  <c r="AB15" i="8"/>
  <c r="AC14"/>
  <c r="C7" i="61" l="1"/>
  <c r="AC11" i="64"/>
  <c r="AD9"/>
  <c r="AD11" s="1"/>
  <c r="AD12"/>
  <c r="AC15" i="8"/>
  <c r="AC16" i="28"/>
  <c r="AA17" i="67"/>
  <c r="AB19"/>
  <c r="AC19" l="1"/>
  <c r="AB17"/>
  <c r="C11" i="61"/>
  <c r="C12" s="1"/>
  <c r="C13" s="1"/>
  <c r="C6"/>
  <c r="C5" s="1"/>
  <c r="AE9" i="64"/>
  <c r="AE11" s="1"/>
  <c r="AE12"/>
  <c r="AF9" l="1"/>
  <c r="AF12"/>
  <c r="AC17" i="67"/>
  <c r="AC33" s="1"/>
  <c r="AF11" i="64" l="1"/>
  <c r="AG9"/>
  <c r="AG11" s="1"/>
  <c r="AG12"/>
  <c r="AH9" l="1"/>
  <c r="AH11" s="1"/>
  <c r="AH12"/>
  <c r="AI12" l="1"/>
  <c r="AI9"/>
  <c r="AJ12" l="1"/>
  <c r="AJ9"/>
  <c r="AJ11" s="1"/>
  <c r="AI11"/>
  <c r="AK12" l="1"/>
  <c r="AK9"/>
  <c r="AK11" s="1"/>
  <c r="AL9" l="1"/>
  <c r="AL11" s="1"/>
  <c r="AL12"/>
  <c r="AM9" l="1"/>
  <c r="AM11" s="1"/>
  <c r="AM12"/>
  <c r="AN12" l="1"/>
  <c r="AO12" s="1"/>
  <c r="AN9"/>
  <c r="AN11" l="1"/>
  <c r="AO11" s="1"/>
  <c r="AO9"/>
  <c r="AP9"/>
  <c r="AP12"/>
  <c r="AD22" i="67"/>
  <c r="AD21" s="1"/>
  <c r="AP11" i="64" l="1"/>
  <c r="AD16" i="28"/>
  <c r="AQ12" i="64"/>
  <c r="AQ9"/>
  <c r="AQ11" s="1"/>
  <c r="AD14" i="8"/>
  <c r="AR9" i="64" l="1"/>
  <c r="AR11" s="1"/>
  <c r="AR12"/>
  <c r="D7" i="61"/>
  <c r="AD15" i="8"/>
  <c r="AD19" i="67"/>
  <c r="AD17" l="1"/>
  <c r="AD33" s="1"/>
  <c r="AS12" i="64"/>
  <c r="AS9"/>
  <c r="D6" i="61"/>
  <c r="D5" s="1"/>
  <c r="D11"/>
  <c r="D12" s="1"/>
  <c r="D13" s="1"/>
  <c r="AS11" i="64" l="1"/>
  <c r="AT9"/>
  <c r="AT11" s="1"/>
  <c r="AT12"/>
  <c r="AU12" l="1"/>
  <c r="AU9"/>
  <c r="AU11" s="1"/>
  <c r="AV9" l="1"/>
  <c r="AV12"/>
  <c r="AV11" l="1"/>
  <c r="AW9"/>
  <c r="AW11" s="1"/>
  <c r="AW12"/>
  <c r="AX9" l="1"/>
  <c r="AX11" s="1"/>
  <c r="AX12"/>
  <c r="AY9" l="1"/>
  <c r="AY11" s="1"/>
  <c r="AY12"/>
  <c r="AZ9" l="1"/>
  <c r="AZ11" s="1"/>
  <c r="AZ12"/>
  <c r="BA9" l="1"/>
  <c r="BA12"/>
  <c r="BB12" s="1"/>
  <c r="BC12" l="1"/>
  <c r="AE22" i="67"/>
  <c r="AE21" s="1"/>
  <c r="BC9" i="64"/>
  <c r="BA11"/>
  <c r="BB11" s="1"/>
  <c r="BB9"/>
  <c r="BD9" l="1"/>
  <c r="BD11" s="1"/>
  <c r="BD12"/>
  <c r="AE16" i="28"/>
  <c r="BC11" i="64"/>
  <c r="AE14" i="8"/>
  <c r="E7" i="61" l="1"/>
  <c r="AE15" i="8"/>
  <c r="AE19" i="67"/>
  <c r="BE12" i="64"/>
  <c r="BE9"/>
  <c r="BE11" s="1"/>
  <c r="BF12" l="1"/>
  <c r="BF9"/>
  <c r="E11" i="61"/>
  <c r="E12" s="1"/>
  <c r="E13" s="1"/>
  <c r="E6"/>
  <c r="E5" s="1"/>
  <c r="AE17" i="67"/>
  <c r="AE33" s="1"/>
  <c r="BG12" i="64" l="1"/>
  <c r="BG9"/>
  <c r="BG11" s="1"/>
  <c r="BF11"/>
  <c r="BH12" l="1"/>
  <c r="BH9"/>
  <c r="BH11" l="1"/>
  <c r="BI9"/>
  <c r="BI11" s="1"/>
  <c r="BI12"/>
  <c r="BJ12" l="1"/>
  <c r="BJ9"/>
  <c r="BJ11" s="1"/>
  <c r="BK9" l="1"/>
  <c r="BK11" s="1"/>
  <c r="BK12"/>
  <c r="BL12" l="1"/>
  <c r="BL9"/>
  <c r="BL11" s="1"/>
  <c r="BM12" l="1"/>
  <c r="BM9"/>
  <c r="BM11" s="1"/>
  <c r="BN12" l="1"/>
  <c r="BO12" s="1"/>
  <c r="BN9"/>
  <c r="AF22" i="67" l="1"/>
  <c r="AF21" s="1"/>
  <c r="BP9" i="64"/>
  <c r="BP12"/>
  <c r="CP12"/>
  <c r="BN11"/>
  <c r="BO11" s="1"/>
  <c r="BO9"/>
  <c r="AF16" i="28" l="1"/>
  <c r="BQ12" i="64"/>
  <c r="BQ9"/>
  <c r="BQ11" s="1"/>
  <c r="AF14" i="8"/>
  <c r="BP11" i="64"/>
  <c r="F7" i="61" l="1"/>
  <c r="AF15" i="8"/>
  <c r="AF19" i="67"/>
  <c r="BR12" i="64"/>
  <c r="BR9"/>
  <c r="BR11" s="1"/>
  <c r="BS9" l="1"/>
  <c r="BS12"/>
  <c r="F6" i="61"/>
  <c r="F5" s="1"/>
  <c r="F11"/>
  <c r="F12" s="1"/>
  <c r="F13" s="1"/>
  <c r="AF17" i="67"/>
  <c r="AF33" s="1"/>
  <c r="BS11" i="64" l="1"/>
  <c r="BT9"/>
  <c r="BT11" s="1"/>
  <c r="BT12"/>
  <c r="BU9" l="1"/>
  <c r="BU11" s="1"/>
  <c r="BU12"/>
  <c r="BV9" l="1"/>
  <c r="BV11" s="1"/>
  <c r="BV12"/>
  <c r="BW9" l="1"/>
  <c r="BW11" s="1"/>
  <c r="BW12"/>
  <c r="BX12" l="1"/>
  <c r="BX9"/>
  <c r="BX11" s="1"/>
  <c r="BY9" l="1"/>
  <c r="BY11" s="1"/>
  <c r="BY12"/>
  <c r="BZ12" l="1"/>
  <c r="BZ9"/>
  <c r="BZ11" s="1"/>
  <c r="CA12" l="1"/>
  <c r="CB12" s="1"/>
  <c r="CA9"/>
  <c r="CC12" l="1"/>
  <c r="AG22" i="67"/>
  <c r="AG21" s="1"/>
  <c r="CC9" i="64"/>
  <c r="CA11"/>
  <c r="CB11" s="1"/>
  <c r="CB9"/>
  <c r="AG14" i="8" l="1"/>
  <c r="CC11" i="64"/>
  <c r="CD9"/>
  <c r="CD11" s="1"/>
  <c r="CD12"/>
  <c r="AG16" i="28"/>
  <c r="CE9" i="64" l="1"/>
  <c r="CE12"/>
  <c r="G7" i="61"/>
  <c r="AG15" i="8"/>
  <c r="AG19" i="67"/>
  <c r="G6" i="61" l="1"/>
  <c r="G5" s="1"/>
  <c r="G11"/>
  <c r="G12" s="1"/>
  <c r="G13" s="1"/>
  <c r="CE11" i="64"/>
  <c r="AG17" i="67"/>
  <c r="AG33" s="1"/>
  <c r="CF12" i="64"/>
  <c r="CF9"/>
  <c r="CF11" s="1"/>
  <c r="CG9" l="1"/>
  <c r="CG11" s="1"/>
  <c r="CG12"/>
  <c r="CH12" l="1"/>
  <c r="CH9"/>
  <c r="CH11" l="1"/>
  <c r="CI9"/>
  <c r="CI11" s="1"/>
  <c r="CI12"/>
  <c r="CJ9" l="1"/>
  <c r="CJ12"/>
  <c r="CJ11" l="1"/>
  <c r="CK9"/>
  <c r="CK11" s="1"/>
  <c r="CK12"/>
  <c r="CL9" l="1"/>
  <c r="CL11" s="1"/>
  <c r="CL12"/>
  <c r="CM9" l="1"/>
  <c r="CM11" s="1"/>
  <c r="CM12"/>
  <c r="CN12" l="1"/>
  <c r="CO12" s="1"/>
  <c r="CN9"/>
  <c r="AH22" i="67" l="1"/>
  <c r="AH21" s="1"/>
  <c r="B12" i="64"/>
  <c r="CN11"/>
  <c r="CO11" s="1"/>
  <c r="CO9"/>
  <c r="AH16" i="28" l="1"/>
  <c r="B11" i="64"/>
  <c r="AH14" i="8"/>
  <c r="B9" i="64"/>
  <c r="A17" l="1"/>
  <c r="H7" i="61"/>
  <c r="AH15" i="8"/>
  <c r="B14"/>
  <c r="AH19" i="67"/>
  <c r="AH17" s="1"/>
  <c r="AH33" s="1"/>
  <c r="B16" i="28"/>
  <c r="H11" i="61" l="1"/>
  <c r="H12" s="1"/>
  <c r="H13" s="1"/>
  <c r="H6"/>
  <c r="H5" s="1"/>
  <c r="C7" i="62" l="1"/>
  <c r="H6" i="8"/>
  <c r="H10" i="28" s="1"/>
  <c r="H9" s="1"/>
  <c r="I6" i="8"/>
  <c r="I5" s="1"/>
  <c r="J6"/>
  <c r="J5" s="1"/>
  <c r="K6"/>
  <c r="K5" s="1"/>
  <c r="L6"/>
  <c r="L5" s="1"/>
  <c r="M6"/>
  <c r="M5" s="1"/>
  <c r="N6"/>
  <c r="N5" s="1"/>
  <c r="O6"/>
  <c r="O10" i="28" s="1"/>
  <c r="O9" s="1"/>
  <c r="G6" i="8"/>
  <c r="P6" s="1"/>
  <c r="G5" l="1"/>
  <c r="N10" i="28"/>
  <c r="N9" s="1"/>
  <c r="L10"/>
  <c r="L9" s="1"/>
  <c r="B6" i="8"/>
  <c r="P5"/>
  <c r="M26"/>
  <c r="M29" s="1"/>
  <c r="M11"/>
  <c r="M15" s="1"/>
  <c r="L11"/>
  <c r="L15" s="1"/>
  <c r="L26"/>
  <c r="L29" s="1"/>
  <c r="J26"/>
  <c r="J29" s="1"/>
  <c r="J11"/>
  <c r="J15" s="1"/>
  <c r="G10" i="28"/>
  <c r="N26" i="8"/>
  <c r="N29" s="1"/>
  <c r="N11"/>
  <c r="N15" s="1"/>
  <c r="K26"/>
  <c r="K29" s="1"/>
  <c r="K11"/>
  <c r="K15" s="1"/>
  <c r="I26"/>
  <c r="I29" s="1"/>
  <c r="I11"/>
  <c r="I15" s="1"/>
  <c r="G11"/>
  <c r="G15" s="1"/>
  <c r="G26"/>
  <c r="O5"/>
  <c r="M10" i="28"/>
  <c r="M9" s="1"/>
  <c r="J10"/>
  <c r="J9" s="1"/>
  <c r="I10"/>
  <c r="I9" s="1"/>
  <c r="K10"/>
  <c r="K9" s="1"/>
  <c r="H5" i="8"/>
  <c r="O26" l="1"/>
  <c r="O29" s="1"/>
  <c r="O11"/>
  <c r="O15" s="1"/>
  <c r="G16"/>
  <c r="H26"/>
  <c r="H29" s="1"/>
  <c r="H11"/>
  <c r="H15" s="1"/>
  <c r="P26"/>
  <c r="B26" s="1"/>
  <c r="G29"/>
  <c r="G9" i="28"/>
  <c r="P10"/>
  <c r="P11" i="8"/>
  <c r="B11" s="1"/>
  <c r="B5"/>
  <c r="B4" i="61"/>
  <c r="B10" i="28" l="1"/>
  <c r="P9"/>
  <c r="P29" i="8"/>
  <c r="B29" s="1"/>
  <c r="G31"/>
  <c r="G30"/>
  <c r="G17" i="28"/>
  <c r="P15" i="8"/>
  <c r="B15" s="1"/>
  <c r="B9" i="61"/>
  <c r="B10" s="1"/>
  <c r="B11" s="1"/>
  <c r="B12" s="1"/>
  <c r="B13" s="1"/>
  <c r="B5"/>
  <c r="G8" i="67"/>
  <c r="H8" s="1"/>
  <c r="I8" s="1"/>
  <c r="J8" s="1"/>
  <c r="K8" s="1"/>
  <c r="L8" s="1"/>
  <c r="M8" s="1"/>
  <c r="N8" s="1"/>
  <c r="O8" s="1"/>
  <c r="P8" s="1"/>
  <c r="G17" i="8"/>
  <c r="Q8" i="67" l="1"/>
  <c r="R8" s="1"/>
  <c r="S8" s="1"/>
  <c r="T8" s="1"/>
  <c r="U8" s="1"/>
  <c r="V8" s="1"/>
  <c r="W8" s="1"/>
  <c r="X8" s="1"/>
  <c r="Y8" s="1"/>
  <c r="Z8" s="1"/>
  <c r="AA8" s="1"/>
  <c r="AB8" s="1"/>
  <c r="AC8" s="1"/>
  <c r="H31" i="8"/>
  <c r="H18" i="28" s="1"/>
  <c r="G14" i="67"/>
  <c r="G11" s="1"/>
  <c r="H30" i="8"/>
  <c r="G18"/>
  <c r="G18" i="28"/>
  <c r="B9"/>
  <c r="G26" i="67" l="1"/>
  <c r="G24" s="1"/>
  <c r="G16" s="1"/>
  <c r="H16" i="8"/>
  <c r="I31"/>
  <c r="H14" i="67"/>
  <c r="H11" s="1"/>
  <c r="I30" i="8"/>
  <c r="G12" i="28"/>
  <c r="G19" s="1"/>
  <c r="AD8" i="67"/>
  <c r="AE8" l="1"/>
  <c r="H17" i="28"/>
  <c r="H17" i="8"/>
  <c r="G35" i="28"/>
  <c r="G36"/>
  <c r="I14" i="67"/>
  <c r="I11" s="1"/>
  <c r="J31" i="8"/>
  <c r="J18" i="28" s="1"/>
  <c r="J30" i="8"/>
  <c r="I18" i="28"/>
  <c r="G37" l="1"/>
  <c r="H12"/>
  <c r="H19" s="1"/>
  <c r="H35" s="1"/>
  <c r="AF8" i="67"/>
  <c r="J14"/>
  <c r="J11" s="1"/>
  <c r="K31" i="8"/>
  <c r="K30"/>
  <c r="G7" i="67"/>
  <c r="G6" s="1"/>
  <c r="G5" s="1"/>
  <c r="G28" s="1"/>
  <c r="H7" i="28"/>
  <c r="H18" i="8"/>
  <c r="K18" i="28" l="1"/>
  <c r="H26" i="67"/>
  <c r="H24" s="1"/>
  <c r="H16" s="1"/>
  <c r="I16" i="8"/>
  <c r="H36" i="28"/>
  <c r="L31" i="8"/>
  <c r="L18" i="28" s="1"/>
  <c r="K14" i="67"/>
  <c r="K11" s="1"/>
  <c r="L30" i="8"/>
  <c r="AG8" i="67"/>
  <c r="AH8" l="1"/>
  <c r="H7"/>
  <c r="H6" s="1"/>
  <c r="H5" s="1"/>
  <c r="H28" s="1"/>
  <c r="I7" i="28"/>
  <c r="I17"/>
  <c r="I17" i="8"/>
  <c r="M31"/>
  <c r="M18" i="28" s="1"/>
  <c r="L14" i="67"/>
  <c r="L11" s="1"/>
  <c r="M30" i="8"/>
  <c r="H37" i="28"/>
  <c r="N31" i="8" l="1"/>
  <c r="M14" i="67"/>
  <c r="M11" s="1"/>
  <c r="N30" i="8"/>
  <c r="I12" i="28"/>
  <c r="I19" s="1"/>
  <c r="I35" s="1"/>
  <c r="I18" i="8"/>
  <c r="I36" i="28" l="1"/>
  <c r="I37" s="1"/>
  <c r="O31" i="8"/>
  <c r="O18" i="28" s="1"/>
  <c r="N14" i="67"/>
  <c r="N11" s="1"/>
  <c r="O30" i="8"/>
  <c r="N18" i="28"/>
  <c r="P31" i="8"/>
  <c r="I26" i="67"/>
  <c r="I24" s="1"/>
  <c r="I16" s="1"/>
  <c r="J16" i="8"/>
  <c r="J7" i="28" l="1"/>
  <c r="P18"/>
  <c r="I7" i="67"/>
  <c r="I6" s="1"/>
  <c r="I5" s="1"/>
  <c r="I28" s="1"/>
  <c r="O14"/>
  <c r="P30" i="8"/>
  <c r="J17" i="28"/>
  <c r="J17" i="8"/>
  <c r="J18" l="1"/>
  <c r="O11" i="67"/>
  <c r="P14"/>
  <c r="J12" i="28"/>
  <c r="J19" s="1"/>
  <c r="Q31" i="8"/>
  <c r="Q30"/>
  <c r="Q18" i="28" l="1"/>
  <c r="J35"/>
  <c r="J36"/>
  <c r="R31" i="8"/>
  <c r="R18" i="28" s="1"/>
  <c r="Q14" i="67"/>
  <c r="Q11" s="1"/>
  <c r="R30" i="8"/>
  <c r="P11" i="67"/>
  <c r="P31"/>
  <c r="P34" s="1"/>
  <c r="J26"/>
  <c r="J24" s="1"/>
  <c r="J16" s="1"/>
  <c r="K16" i="8"/>
  <c r="J37" i="28" l="1"/>
  <c r="K17"/>
  <c r="K17" i="8"/>
  <c r="J7" i="67"/>
  <c r="J6" s="1"/>
  <c r="J5" s="1"/>
  <c r="J28" s="1"/>
  <c r="K7" i="28"/>
  <c r="S31" i="8"/>
  <c r="S18" i="28" s="1"/>
  <c r="R14" i="67"/>
  <c r="R11" s="1"/>
  <c r="S30" i="8"/>
  <c r="K12" i="28" l="1"/>
  <c r="K19" s="1"/>
  <c r="K35" s="1"/>
  <c r="T31" i="8"/>
  <c r="T18" i="28" s="1"/>
  <c r="S14" i="67"/>
  <c r="S11" s="1"/>
  <c r="T30" i="8"/>
  <c r="K18"/>
  <c r="K36" i="28" l="1"/>
  <c r="K26" i="67"/>
  <c r="K24" s="1"/>
  <c r="K16" s="1"/>
  <c r="L16" i="8"/>
  <c r="U31"/>
  <c r="U30"/>
  <c r="T14" i="67"/>
  <c r="T11" s="1"/>
  <c r="V31" i="8" l="1"/>
  <c r="V18" i="28" s="1"/>
  <c r="U14" i="67"/>
  <c r="U11" s="1"/>
  <c r="V30" i="8"/>
  <c r="U18" i="28"/>
  <c r="K7" i="67"/>
  <c r="K6" s="1"/>
  <c r="K5" s="1"/>
  <c r="K28" s="1"/>
  <c r="L7" i="28"/>
  <c r="K37"/>
  <c r="L17"/>
  <c r="L12" s="1"/>
  <c r="L19" s="1"/>
  <c r="L35" s="1"/>
  <c r="L17" i="8"/>
  <c r="L18" s="1"/>
  <c r="L26" i="67" l="1"/>
  <c r="L24" s="1"/>
  <c r="L16" s="1"/>
  <c r="M16" i="8"/>
  <c r="L36" i="28"/>
  <c r="V14" i="67"/>
  <c r="V11" s="1"/>
  <c r="W31" i="8"/>
  <c r="W30"/>
  <c r="L7" i="67" l="1"/>
  <c r="L6" s="1"/>
  <c r="L5" s="1"/>
  <c r="L28" s="1"/>
  <c r="M7" i="28"/>
  <c r="M17"/>
  <c r="M12" s="1"/>
  <c r="M19" s="1"/>
  <c r="M35" s="1"/>
  <c r="M17" i="8"/>
  <c r="M18" s="1"/>
  <c r="W18" i="28"/>
  <c r="X31" i="8"/>
  <c r="X18" i="28" s="1"/>
  <c r="W14" i="67"/>
  <c r="W11" s="1"/>
  <c r="X30" i="8"/>
  <c r="L37" i="28"/>
  <c r="Y31" i="8" l="1"/>
  <c r="Y18" i="28" s="1"/>
  <c r="X14" i="67"/>
  <c r="X11" s="1"/>
  <c r="Y30" i="8"/>
  <c r="M26" i="67"/>
  <c r="M24" s="1"/>
  <c r="M16" s="1"/>
  <c r="N16" i="8"/>
  <c r="M36" i="28"/>
  <c r="M7" i="67" l="1"/>
  <c r="M6" s="1"/>
  <c r="M5" s="1"/>
  <c r="M28" s="1"/>
  <c r="N7" i="28"/>
  <c r="Z31" i="8"/>
  <c r="Z18" i="28" s="1"/>
  <c r="Y14" i="67"/>
  <c r="Y11" s="1"/>
  <c r="Z30" i="8"/>
  <c r="M37" i="28"/>
  <c r="N17"/>
  <c r="N12" s="1"/>
  <c r="N19" s="1"/>
  <c r="N35" s="1"/>
  <c r="N17" i="8"/>
  <c r="N18" s="1"/>
  <c r="AA31" l="1"/>
  <c r="AA18" i="28" s="1"/>
  <c r="AA30" i="8"/>
  <c r="Z14" i="67"/>
  <c r="Z11" s="1"/>
  <c r="N26"/>
  <c r="N24" s="1"/>
  <c r="N16" s="1"/>
  <c r="O16" i="8"/>
  <c r="N36" i="28"/>
  <c r="N37" s="1"/>
  <c r="N7" i="67" l="1"/>
  <c r="N6" s="1"/>
  <c r="N5" s="1"/>
  <c r="N28" s="1"/>
  <c r="O7" i="28"/>
  <c r="O17"/>
  <c r="O17" i="8"/>
  <c r="P16"/>
  <c r="AB31"/>
  <c r="AA14" i="67"/>
  <c r="AA11" s="1"/>
  <c r="AB30" i="8"/>
  <c r="AB14" i="67" l="1"/>
  <c r="AC30" i="8"/>
  <c r="AB18" i="28"/>
  <c r="AC18" s="1"/>
  <c r="AC31" i="8"/>
  <c r="P17"/>
  <c r="O18"/>
  <c r="O12" i="28"/>
  <c r="O19" s="1"/>
  <c r="O35" s="1"/>
  <c r="P17"/>
  <c r="AB11" i="67" l="1"/>
  <c r="AC14"/>
  <c r="P12" i="28"/>
  <c r="O26" i="67"/>
  <c r="O24" s="1"/>
  <c r="O16" s="1"/>
  <c r="P18" i="8"/>
  <c r="AD31"/>
  <c r="AD18" i="28" s="1"/>
  <c r="AD30" i="8"/>
  <c r="O36" i="28"/>
  <c r="O7" i="67" l="1"/>
  <c r="O6" s="1"/>
  <c r="O5" s="1"/>
  <c r="O28" s="1"/>
  <c r="P36" i="28"/>
  <c r="AE31" i="8"/>
  <c r="AD33"/>
  <c r="AD34" s="1"/>
  <c r="AD14" i="67"/>
  <c r="AE30" i="8"/>
  <c r="P26" i="67"/>
  <c r="Q16" i="8"/>
  <c r="P19" i="28"/>
  <c r="P35" s="1"/>
  <c r="AC11" i="67"/>
  <c r="AC31"/>
  <c r="AC34" s="1"/>
  <c r="O37" i="28"/>
  <c r="Q17" l="1"/>
  <c r="Q17" i="8"/>
  <c r="AF31"/>
  <c r="AE14" i="67"/>
  <c r="AF30" i="8"/>
  <c r="Q7" i="28"/>
  <c r="P7" i="67"/>
  <c r="P6" s="1"/>
  <c r="P5" s="1"/>
  <c r="P39"/>
  <c r="AI38" i="28"/>
  <c r="AI39" s="1"/>
  <c r="P24" i="67"/>
  <c r="P16" s="1"/>
  <c r="P30"/>
  <c r="P37" s="1"/>
  <c r="AD11"/>
  <c r="AD31"/>
  <c r="AD34" s="1"/>
  <c r="AE33" i="8"/>
  <c r="AE34" s="1"/>
  <c r="AE18" i="28"/>
  <c r="AI45" l="1"/>
  <c r="AI41"/>
  <c r="AC7"/>
  <c r="AE11" i="67"/>
  <c r="AE31"/>
  <c r="AE34" s="1"/>
  <c r="Q18" i="8"/>
  <c r="AG31"/>
  <c r="AF14" i="67"/>
  <c r="AG30" i="8"/>
  <c r="AF33"/>
  <c r="AF34" s="1"/>
  <c r="AF18" i="28"/>
  <c r="Q12"/>
  <c r="Q19" s="1"/>
  <c r="P40" i="67"/>
  <c r="P28"/>
  <c r="Q35" i="28" l="1"/>
  <c r="Q36"/>
  <c r="AH31" i="8"/>
  <c r="AG14" i="67"/>
  <c r="AH30" i="8"/>
  <c r="AG33"/>
  <c r="AG34" s="1"/>
  <c r="AG18" i="28"/>
  <c r="Q26" i="67"/>
  <c r="Q24" s="1"/>
  <c r="Q16" s="1"/>
  <c r="R16" i="8"/>
  <c r="AF11" i="67"/>
  <c r="AF31"/>
  <c r="AF34" s="1"/>
  <c r="AI49" i="28"/>
  <c r="AG49"/>
  <c r="AI43"/>
  <c r="AI42"/>
  <c r="AI44" s="1"/>
  <c r="AI48"/>
  <c r="AI47"/>
  <c r="R17" i="8" l="1"/>
  <c r="R17" i="28"/>
  <c r="AG11" i="67"/>
  <c r="AG31"/>
  <c r="AG34" s="1"/>
  <c r="Q7"/>
  <c r="Q6" s="1"/>
  <c r="Q5" s="1"/>
  <c r="Q28" s="1"/>
  <c r="R7" i="28"/>
  <c r="B30" i="8"/>
  <c r="AH14" i="67"/>
  <c r="AH33" i="8"/>
  <c r="AH34" s="1"/>
  <c r="AH18" i="28"/>
  <c r="B31" i="8"/>
  <c r="B18" i="28"/>
  <c r="B54" i="33" s="1"/>
  <c r="Q37" i="28"/>
  <c r="R12" l="1"/>
  <c r="R19" s="1"/>
  <c r="AH11" i="67"/>
  <c r="AH31"/>
  <c r="AH34" s="1"/>
  <c r="R18" i="8"/>
  <c r="R35" i="28" l="1"/>
  <c r="R36"/>
  <c r="S16" i="8"/>
  <c r="R26" i="67"/>
  <c r="R24" s="1"/>
  <c r="R16" s="1"/>
  <c r="R37" i="28" l="1"/>
  <c r="S17" i="8"/>
  <c r="S17" i="28"/>
  <c r="R7" i="67"/>
  <c r="R6" s="1"/>
  <c r="R5" s="1"/>
  <c r="R28" s="1"/>
  <c r="S7" i="28"/>
  <c r="S18" i="8" l="1"/>
  <c r="S12" i="28"/>
  <c r="S19" s="1"/>
  <c r="S35" l="1"/>
  <c r="S36"/>
  <c r="S26" i="67"/>
  <c r="S24" s="1"/>
  <c r="S16" s="1"/>
  <c r="T16" i="8"/>
  <c r="S37" i="28" l="1"/>
  <c r="T17" i="8"/>
  <c r="T17" i="28"/>
  <c r="T7"/>
  <c r="S7" i="67"/>
  <c r="S6" s="1"/>
  <c r="S5" s="1"/>
  <c r="S28" s="1"/>
  <c r="T18" i="8" l="1"/>
  <c r="T12" i="28"/>
  <c r="T19" s="1"/>
  <c r="T35" l="1"/>
  <c r="T36"/>
  <c r="T26" i="67"/>
  <c r="T24" s="1"/>
  <c r="T16" s="1"/>
  <c r="U16" i="8"/>
  <c r="T37" i="28" l="1"/>
  <c r="U17" i="8"/>
  <c r="U17" i="28"/>
  <c r="U7"/>
  <c r="T7" i="67"/>
  <c r="T6" s="1"/>
  <c r="T5" s="1"/>
  <c r="T28" s="1"/>
  <c r="U18" i="8" l="1"/>
  <c r="U12" i="28"/>
  <c r="U19" s="1"/>
  <c r="U35" l="1"/>
  <c r="U36"/>
  <c r="U26" i="67"/>
  <c r="U24" s="1"/>
  <c r="U16" s="1"/>
  <c r="V16" i="8"/>
  <c r="U37" i="28" l="1"/>
  <c r="V17" i="8"/>
  <c r="V18" s="1"/>
  <c r="V17" i="28"/>
  <c r="V12" s="1"/>
  <c r="V19" s="1"/>
  <c r="V35" s="1"/>
  <c r="V7"/>
  <c r="U7" i="67"/>
  <c r="U6" s="1"/>
  <c r="U5" s="1"/>
  <c r="U28" s="1"/>
  <c r="V36" i="28" l="1"/>
  <c r="W7" s="1"/>
  <c r="W16" i="8"/>
  <c r="V26" i="67"/>
  <c r="V24" s="1"/>
  <c r="V16" s="1"/>
  <c r="V37" i="28" l="1"/>
  <c r="V7" i="67"/>
  <c r="V6" s="1"/>
  <c r="V5" s="1"/>
  <c r="V28" s="1"/>
  <c r="W17" i="8"/>
  <c r="W18" s="1"/>
  <c r="W17" i="28"/>
  <c r="W12" s="1"/>
  <c r="W19" s="1"/>
  <c r="W35" l="1"/>
  <c r="W36"/>
  <c r="W26" i="67"/>
  <c r="W24" s="1"/>
  <c r="W16" s="1"/>
  <c r="X16" i="8"/>
  <c r="W37" i="28" l="1"/>
  <c r="X17" i="8"/>
  <c r="X18" s="1"/>
  <c r="X17" i="28"/>
  <c r="X12" s="1"/>
  <c r="X19" s="1"/>
  <c r="X35" s="1"/>
  <c r="X7"/>
  <c r="W7" i="67"/>
  <c r="W6" s="1"/>
  <c r="W5" s="1"/>
  <c r="W28" s="1"/>
  <c r="X36" i="28" l="1"/>
  <c r="X7" i="67" s="1"/>
  <c r="X6" s="1"/>
  <c r="X5" s="1"/>
  <c r="X26"/>
  <c r="X24" s="1"/>
  <c r="X16" s="1"/>
  <c r="Y16" i="8"/>
  <c r="X37" i="28" l="1"/>
  <c r="Y7"/>
  <c r="X28" i="67"/>
  <c r="Y17" i="8"/>
  <c r="Y18" s="1"/>
  <c r="Y17" i="28"/>
  <c r="Y12" s="1"/>
  <c r="Y19" s="1"/>
  <c r="Y35" l="1"/>
  <c r="Y36"/>
  <c r="Y26" i="67"/>
  <c r="Y24" s="1"/>
  <c r="Y16" s="1"/>
  <c r="Z16" i="8"/>
  <c r="Y37" i="28" l="1"/>
  <c r="Z17" i="8"/>
  <c r="Z18" s="1"/>
  <c r="Z17" i="28"/>
  <c r="Z12" s="1"/>
  <c r="Z19" s="1"/>
  <c r="Z35" s="1"/>
  <c r="Y7" i="67"/>
  <c r="Y6" s="1"/>
  <c r="Y5" s="1"/>
  <c r="Y28" s="1"/>
  <c r="Z7" i="28"/>
  <c r="Z26" i="67" l="1"/>
  <c r="Z24" s="1"/>
  <c r="Z16" s="1"/>
  <c r="AA16" i="8"/>
  <c r="Z36" i="28"/>
  <c r="Z7" i="67" l="1"/>
  <c r="Z6" s="1"/>
  <c r="Z5" s="1"/>
  <c r="Z28" s="1"/>
  <c r="AA7" i="28"/>
  <c r="AA17"/>
  <c r="AA12" s="1"/>
  <c r="AA19" s="1"/>
  <c r="AA35" s="1"/>
  <c r="AA17" i="8"/>
  <c r="AA18" s="1"/>
  <c r="Z37" i="28"/>
  <c r="AA36" l="1"/>
  <c r="AA7" i="67" s="1"/>
  <c r="AA6" s="1"/>
  <c r="AA5" s="1"/>
  <c r="AA26"/>
  <c r="AA24" s="1"/>
  <c r="AA16" s="1"/>
  <c r="AB16" i="8"/>
  <c r="AB7" i="28"/>
  <c r="AA37" l="1"/>
  <c r="AA28" i="67"/>
  <c r="AB17" i="28"/>
  <c r="AB17" i="8"/>
  <c r="AC16"/>
  <c r="AB12" i="28" l="1"/>
  <c r="AB19" s="1"/>
  <c r="AC17"/>
  <c r="AC17" i="8"/>
  <c r="AB18"/>
  <c r="AB26" i="67" l="1"/>
  <c r="AB24" s="1"/>
  <c r="AB16" s="1"/>
  <c r="AC18" i="8"/>
  <c r="AB35" i="28"/>
  <c r="AB36"/>
  <c r="AC12"/>
  <c r="AB37" l="1"/>
  <c r="AC19"/>
  <c r="AC35" s="1"/>
  <c r="AB7" i="67"/>
  <c r="AB6" s="1"/>
  <c r="AB5" s="1"/>
  <c r="AB28" s="1"/>
  <c r="AC36" i="28"/>
  <c r="AC26" i="67"/>
  <c r="AD16" i="8"/>
  <c r="AC39" i="67" l="1"/>
  <c r="AJ38" i="28"/>
  <c r="AJ39" s="1"/>
  <c r="AD17" i="8"/>
  <c r="AD17" i="28"/>
  <c r="AC30" i="67"/>
  <c r="AC37" s="1"/>
  <c r="AC24"/>
  <c r="AC16" s="1"/>
  <c r="AD7" i="28"/>
  <c r="AC7" i="67"/>
  <c r="AC6" s="1"/>
  <c r="AC5" s="1"/>
  <c r="AC28" s="1"/>
  <c r="AD18" i="8" l="1"/>
  <c r="AC40" i="67"/>
  <c r="AD12" i="28"/>
  <c r="AJ41"/>
  <c r="AJ45"/>
  <c r="AJ42" l="1"/>
  <c r="AJ44" s="1"/>
  <c r="AJ49"/>
  <c r="AH49"/>
  <c r="AJ43"/>
  <c r="AJ48"/>
  <c r="AJ47"/>
  <c r="AD19"/>
  <c r="AD26" i="67"/>
  <c r="AE16" i="8"/>
  <c r="AD24" i="67" l="1"/>
  <c r="AD16" s="1"/>
  <c r="AD30"/>
  <c r="AD37" s="1"/>
  <c r="AE17" i="8"/>
  <c r="AE17" i="28"/>
  <c r="AD35"/>
  <c r="AD36"/>
  <c r="AE18" i="8" l="1"/>
  <c r="AE7" i="28"/>
  <c r="AD7" i="67"/>
  <c r="AD6" s="1"/>
  <c r="AD5" s="1"/>
  <c r="AD28" s="1"/>
  <c r="AD39"/>
  <c r="AD40" s="1"/>
  <c r="AK38" i="28"/>
  <c r="AK39" s="1"/>
  <c r="AD37"/>
  <c r="AE12"/>
  <c r="AE19" l="1"/>
  <c r="AK41"/>
  <c r="AK45"/>
  <c r="AE26" i="67"/>
  <c r="AF16" i="8"/>
  <c r="AF17" l="1"/>
  <c r="AF17" i="28"/>
  <c r="AK47"/>
  <c r="AK48"/>
  <c r="AK42"/>
  <c r="AK44" s="1"/>
  <c r="AK49"/>
  <c r="AK43"/>
  <c r="AE35"/>
  <c r="AE36"/>
  <c r="AE24" i="67"/>
  <c r="AE16" s="1"/>
  <c r="AE30"/>
  <c r="AE37" s="1"/>
  <c r="AF18" i="8" l="1"/>
  <c r="AE39" i="67"/>
  <c r="AE40" s="1"/>
  <c r="AL38" i="28"/>
  <c r="AL39" s="1"/>
  <c r="AE37"/>
  <c r="AE7" i="67"/>
  <c r="AE6" s="1"/>
  <c r="AE5" s="1"/>
  <c r="AE28" s="1"/>
  <c r="AF7" i="28"/>
  <c r="AF12"/>
  <c r="AF19" l="1"/>
  <c r="AL41"/>
  <c r="AL45"/>
  <c r="AF26" i="67"/>
  <c r="AG16" i="8"/>
  <c r="AF24" i="67" l="1"/>
  <c r="AF30"/>
  <c r="AF37" s="1"/>
  <c r="AF35" i="28"/>
  <c r="AF36"/>
  <c r="AG17" i="8"/>
  <c r="AG17" i="28"/>
  <c r="AL47"/>
  <c r="AL48"/>
  <c r="AL42"/>
  <c r="AL44" s="1"/>
  <c r="AL49"/>
  <c r="AL43"/>
  <c r="AG18" i="8" l="1"/>
  <c r="AM38" i="28"/>
  <c r="AM39" s="1"/>
  <c r="AF39" i="67"/>
  <c r="AF40" s="1"/>
  <c r="AF37" i="28"/>
  <c r="AF16" i="67"/>
  <c r="B24" i="33"/>
  <c r="AG12" i="28"/>
  <c r="AF7" i="67"/>
  <c r="AF6" s="1"/>
  <c r="AF5" s="1"/>
  <c r="AG7" i="28"/>
  <c r="A2"/>
  <c r="AF28" i="67" l="1"/>
  <c r="AM41" i="28"/>
  <c r="AM45"/>
  <c r="AG19"/>
  <c r="AG26" i="67"/>
  <c r="AH16" i="8"/>
  <c r="AH17" l="1"/>
  <c r="AH17" i="28"/>
  <c r="B16" i="8"/>
  <c r="AG24" i="67"/>
  <c r="AG16" s="1"/>
  <c r="AG30"/>
  <c r="AG37" s="1"/>
  <c r="AG35" i="28"/>
  <c r="AG36"/>
  <c r="AM42"/>
  <c r="AM44" s="1"/>
  <c r="AM49"/>
  <c r="AM43"/>
  <c r="AM48"/>
  <c r="AM47"/>
  <c r="AH7" l="1"/>
  <c r="AG7" i="67"/>
  <c r="AG6" s="1"/>
  <c r="AG5" s="1"/>
  <c r="AG28" s="1"/>
  <c r="B20" i="33"/>
  <c r="B17" i="8"/>
  <c r="AH18"/>
  <c r="AN38" i="28"/>
  <c r="AN39" s="1"/>
  <c r="AG39" i="67"/>
  <c r="AG40" s="1"/>
  <c r="AG37" i="28"/>
  <c r="AH12"/>
  <c r="B17"/>
  <c r="B55" i="33" s="1"/>
  <c r="B58" s="1"/>
  <c r="AN41" i="28" l="1"/>
  <c r="AN45"/>
  <c r="AH19"/>
  <c r="B12"/>
  <c r="B19" s="1"/>
  <c r="B18" i="8"/>
  <c r="AH26" i="67"/>
  <c r="AH30" l="1"/>
  <c r="AH37" s="1"/>
  <c r="AH24"/>
  <c r="AH16" s="1"/>
  <c r="B21" i="33" s="1"/>
  <c r="B35" i="28"/>
  <c r="B36"/>
  <c r="AN42"/>
  <c r="AN44" s="1"/>
  <c r="AN49"/>
  <c r="AN43"/>
  <c r="AH35"/>
  <c r="AH36"/>
  <c r="AN47"/>
  <c r="AN48"/>
  <c r="G2" i="53" l="1"/>
  <c r="M3" i="63"/>
  <c r="AH39" i="67"/>
  <c r="AH40" s="1"/>
  <c r="AO38" i="28"/>
  <c r="AH37"/>
  <c r="AH7" i="67"/>
  <c r="AH6" s="1"/>
  <c r="B37" i="28"/>
  <c r="B38" s="1"/>
  <c r="B2"/>
  <c r="O3" i="69" l="1"/>
  <c r="M4" i="65"/>
  <c r="N3" i="63"/>
  <c r="H2" i="53"/>
  <c r="B23" i="33"/>
  <c r="AH5" i="67"/>
  <c r="AH28" s="1"/>
  <c r="AO39" i="28"/>
  <c r="AP38"/>
  <c r="AO41" l="1"/>
  <c r="AO45"/>
  <c r="AP39"/>
  <c r="AQ38"/>
  <c r="AR38" l="1"/>
  <c r="AQ39"/>
  <c r="AP41"/>
  <c r="AP45"/>
  <c r="AO42"/>
  <c r="AO44" s="1"/>
  <c r="AO49"/>
  <c r="AO43"/>
  <c r="AP43" s="1"/>
  <c r="B50"/>
  <c r="B28" i="33" s="1"/>
  <c r="AO47" i="28"/>
  <c r="AO48"/>
  <c r="AP42" l="1"/>
  <c r="AP49"/>
  <c r="AR39"/>
  <c r="AS38"/>
  <c r="AS39" s="1"/>
  <c r="AP44"/>
  <c r="AP48"/>
  <c r="AP47"/>
  <c r="AQ41"/>
  <c r="AQ45"/>
  <c r="AQ48" l="1"/>
  <c r="AQ47"/>
  <c r="AS41"/>
  <c r="AS45"/>
  <c r="AQ42"/>
  <c r="AQ49"/>
  <c r="AR41"/>
  <c r="AR45"/>
  <c r="AQ44"/>
  <c r="AQ43"/>
  <c r="AR43" l="1"/>
  <c r="AS43" s="1"/>
  <c r="AR48"/>
  <c r="AR47"/>
  <c r="AR42"/>
  <c r="B51" s="1"/>
  <c r="B29" i="33" s="1"/>
  <c r="AR49" i="28"/>
  <c r="AS42"/>
  <c r="AS49"/>
  <c r="B26" i="33" s="1"/>
  <c r="AS47" i="28"/>
  <c r="B27" i="33" s="1"/>
  <c r="AS48" i="28"/>
  <c r="AR44" l="1"/>
  <c r="AS44" s="1"/>
</calcChain>
</file>

<file path=xl/sharedStrings.xml><?xml version="1.0" encoding="utf-8"?>
<sst xmlns="http://schemas.openxmlformats.org/spreadsheetml/2006/main" count="544" uniqueCount="387">
  <si>
    <t>Итого</t>
  </si>
  <si>
    <t>ВСЕГО</t>
  </si>
  <si>
    <t>Налог на имущество</t>
  </si>
  <si>
    <t xml:space="preserve">Наименование          </t>
  </si>
  <si>
    <t>Чистый доход</t>
  </si>
  <si>
    <t>Остаток денежных средств на начало отчетного периода</t>
  </si>
  <si>
    <t>Выбытие</t>
  </si>
  <si>
    <t xml:space="preserve">Поступление </t>
  </si>
  <si>
    <t xml:space="preserve">Выбытие </t>
  </si>
  <si>
    <t>Значение</t>
  </si>
  <si>
    <t>Период</t>
  </si>
  <si>
    <t>Операционная деятельность</t>
  </si>
  <si>
    <t>Вознаграждение</t>
  </si>
  <si>
    <t>итого</t>
  </si>
  <si>
    <t>начисление %</t>
  </si>
  <si>
    <t>Погашено ОД</t>
  </si>
  <si>
    <t>Погашено %</t>
  </si>
  <si>
    <t>Остаток ОД</t>
  </si>
  <si>
    <t>Валовая прибыль</t>
  </si>
  <si>
    <t xml:space="preserve">    Поступление</t>
  </si>
  <si>
    <t xml:space="preserve">Подоходный налог </t>
  </si>
  <si>
    <t>Результат операционной деятельности</t>
  </si>
  <si>
    <t>Инвестиционная деятельность</t>
  </si>
  <si>
    <t xml:space="preserve">Приобретение ОС и НА </t>
  </si>
  <si>
    <t>Результат инвестиционной деятельности</t>
  </si>
  <si>
    <t>недостача избыток ден средств</t>
  </si>
  <si>
    <t>Финансовая деятельность</t>
  </si>
  <si>
    <t>Результат финансовой деятельности</t>
  </si>
  <si>
    <t>Чистые потоки денежных средств</t>
  </si>
  <si>
    <t>Расходы по процентам за кредиты</t>
  </si>
  <si>
    <t>Корпоративный подоходный налог</t>
  </si>
  <si>
    <t>Показатель</t>
  </si>
  <si>
    <t>Период окупаемости (дисконтированный)</t>
  </si>
  <si>
    <t>Сальдо по НДС</t>
  </si>
  <si>
    <t>Капитализ-я %</t>
  </si>
  <si>
    <t>Кумулятивный чистый доход</t>
  </si>
  <si>
    <t>Выплаты по дивидендам учредителям</t>
  </si>
  <si>
    <t>Доход облагаемый КПН</t>
  </si>
  <si>
    <t>Выплата НДС</t>
  </si>
  <si>
    <t xml:space="preserve">Период окупаемости   </t>
  </si>
  <si>
    <t>№</t>
  </si>
  <si>
    <t>Должность</t>
  </si>
  <si>
    <t>Количество</t>
  </si>
  <si>
    <t>Исходные данные по проекту</t>
  </si>
  <si>
    <t>Ед. изм.</t>
  </si>
  <si>
    <t>НДС</t>
  </si>
  <si>
    <t>%</t>
  </si>
  <si>
    <t>без НДС</t>
  </si>
  <si>
    <t>Затраты</t>
  </si>
  <si>
    <t>ФОТ</t>
  </si>
  <si>
    <t>Канцтовары</t>
  </si>
  <si>
    <t>Прочие непредвиденные расходы</t>
  </si>
  <si>
    <t>Пенсионные отчисления</t>
  </si>
  <si>
    <t>Подоходный налог</t>
  </si>
  <si>
    <t>Социальные отчисления</t>
  </si>
  <si>
    <t>Социальный налог</t>
  </si>
  <si>
    <t>К выдаче</t>
  </si>
  <si>
    <t>Соц.отчисления</t>
  </si>
  <si>
    <t>Расчет НДС</t>
  </si>
  <si>
    <t>Проценты за кредит</t>
  </si>
  <si>
    <t>Остаток на конец отчетного периода</t>
  </si>
  <si>
    <t xml:space="preserve">Поступления по вкладам учредителей </t>
  </si>
  <si>
    <t>Ставка по кредиту</t>
  </si>
  <si>
    <t>max</t>
  </si>
  <si>
    <t>Ставка КПН</t>
  </si>
  <si>
    <t>тыс.тг.</t>
  </si>
  <si>
    <t>Первоначальные инвестиции с НДС, тыс.тг.</t>
  </si>
  <si>
    <t>Коэффициент НДС</t>
  </si>
  <si>
    <t>Net CF (all)</t>
  </si>
  <si>
    <t>CF before int. and loans</t>
  </si>
  <si>
    <t>CF inv</t>
  </si>
  <si>
    <t>NCF (Чистые денежные потоки)</t>
  </si>
  <si>
    <t>d NCF</t>
  </si>
  <si>
    <t>CCF</t>
  </si>
  <si>
    <t>dCCF</t>
  </si>
  <si>
    <t>PV (CCF)</t>
  </si>
  <si>
    <t>PV (CCF inv)</t>
  </si>
  <si>
    <t>NPV</t>
  </si>
  <si>
    <t>PI</t>
  </si>
  <si>
    <t>IRR</t>
  </si>
  <si>
    <t>Ставка дисконтирования</t>
  </si>
  <si>
    <t>Анализ безубыточности проекта</t>
  </si>
  <si>
    <t>Доля предельного дохода в выручке</t>
  </si>
  <si>
    <t>Запас финансовой устойчивости предприятия (%)</t>
  </si>
  <si>
    <t>Амортизация</t>
  </si>
  <si>
    <t>Кол-во периодов</t>
  </si>
  <si>
    <t>Расходы на рекламу</t>
  </si>
  <si>
    <t>Страхование</t>
  </si>
  <si>
    <t>Стр-е гражданско-правовой ответ-ти работодателя</t>
  </si>
  <si>
    <t>Налоги (кроме налогов на ФЗП)</t>
  </si>
  <si>
    <t>Расчет амортизационных отчислений</t>
  </si>
  <si>
    <t>Норма амортизации</t>
  </si>
  <si>
    <t>Основные средства на начало</t>
  </si>
  <si>
    <t>Приход ОС</t>
  </si>
  <si>
    <t>Амортизационные отчисления, год</t>
  </si>
  <si>
    <t>Остаточная стоимость ОС</t>
  </si>
  <si>
    <t>Всего</t>
  </si>
  <si>
    <t>Балансовая прибыль</t>
  </si>
  <si>
    <t>Постоянные издержки</t>
  </si>
  <si>
    <t>Переменные издержки</t>
  </si>
  <si>
    <t>Сумма предельного дохода</t>
  </si>
  <si>
    <t>Предел безубыточности</t>
  </si>
  <si>
    <t>Адм.-управленческий персонал</t>
  </si>
  <si>
    <t>оклад</t>
  </si>
  <si>
    <t>Итого ЗП к начислению</t>
  </si>
  <si>
    <t>Статья доходов</t>
  </si>
  <si>
    <t>$ тыс.</t>
  </si>
  <si>
    <t>Доход от реализации продукции, услуг</t>
  </si>
  <si>
    <t>Себестоимость реализ. товаров, услуг</t>
  </si>
  <si>
    <t>Освоение и погашение кредитных ресурсов, тыс.тг.</t>
  </si>
  <si>
    <t>Производственный персонал</t>
  </si>
  <si>
    <t>Обслуживающий персонал</t>
  </si>
  <si>
    <t>Обслуживание и ремонт ОС</t>
  </si>
  <si>
    <t>Услуги банка</t>
  </si>
  <si>
    <t>Налог на транспорт</t>
  </si>
  <si>
    <t>Курс доллар/тенге</t>
  </si>
  <si>
    <t>Безубыточность</t>
  </si>
  <si>
    <t>Заемные средства</t>
  </si>
  <si>
    <t>Оборудование</t>
  </si>
  <si>
    <t>Освоение</t>
  </si>
  <si>
    <t>значение</t>
  </si>
  <si>
    <t>Вспомогательный персонал</t>
  </si>
  <si>
    <t>Всего по персоналу</t>
  </si>
  <si>
    <t>Услуги связи</t>
  </si>
  <si>
    <t>Здание</t>
  </si>
  <si>
    <t>Отчет о доходах и расходах</t>
  </si>
  <si>
    <t>год</t>
  </si>
  <si>
    <t>Доход от реализации услуг</t>
  </si>
  <si>
    <t>МЗП</t>
  </si>
  <si>
    <t>Директор</t>
  </si>
  <si>
    <t>Охранник</t>
  </si>
  <si>
    <t>Завхоз</t>
  </si>
  <si>
    <t>Интернет</t>
  </si>
  <si>
    <t>Полная себестоимость услуг</t>
  </si>
  <si>
    <t>Баланс</t>
  </si>
  <si>
    <t>Активы</t>
  </si>
  <si>
    <t>Текущие активы</t>
  </si>
  <si>
    <t>Денежные средства</t>
  </si>
  <si>
    <t>Дебиторская задолженность</t>
  </si>
  <si>
    <t>Запасы</t>
  </si>
  <si>
    <t>Прочие краткосрочные активы</t>
  </si>
  <si>
    <t>Долгосрочные активы</t>
  </si>
  <si>
    <t>Основные средства</t>
  </si>
  <si>
    <t>Долгосрочная дебиторская задолженность</t>
  </si>
  <si>
    <t>Прочие долгосрочные активы</t>
  </si>
  <si>
    <t>Пассивы</t>
  </si>
  <si>
    <t>Краткосрочные обязательства</t>
  </si>
  <si>
    <t>Обязательства по налогам</t>
  </si>
  <si>
    <t>Краткосрочная кредиторская задолженность</t>
  </si>
  <si>
    <t>Обязательства по кредитам</t>
  </si>
  <si>
    <t>Прочие краткосрочные обязательства</t>
  </si>
  <si>
    <t>Долгосрочные обязательства</t>
  </si>
  <si>
    <t>Прочие долгосрочные обязательства</t>
  </si>
  <si>
    <t>Капитал</t>
  </si>
  <si>
    <t>Уставный капитал</t>
  </si>
  <si>
    <t>Прибыль</t>
  </si>
  <si>
    <t>проверочная строка</t>
  </si>
  <si>
    <t>Изменение ДТ</t>
  </si>
  <si>
    <t>Изменение запасов</t>
  </si>
  <si>
    <t>Изменение КТ</t>
  </si>
  <si>
    <t>Итого изменение оборотного капитала</t>
  </si>
  <si>
    <t>Кап.затраты</t>
  </si>
  <si>
    <t>Чистый денежный поток</t>
  </si>
  <si>
    <t>Единица расчетов</t>
  </si>
  <si>
    <t>Налоговые ставки</t>
  </si>
  <si>
    <t>Расчет заработной платы</t>
  </si>
  <si>
    <t>Расходы периода</t>
  </si>
  <si>
    <t>Административные расходы</t>
  </si>
  <si>
    <t>ЧДП по Ф3</t>
  </si>
  <si>
    <t>Постоянные расходы в месяц</t>
  </si>
  <si>
    <t>Доходы-расходы</t>
  </si>
  <si>
    <t>Общие</t>
  </si>
  <si>
    <t>Параметры кредита</t>
  </si>
  <si>
    <t>Срок кредита</t>
  </si>
  <si>
    <t>лет</t>
  </si>
  <si>
    <t>Льготный период по выплате ОД</t>
  </si>
  <si>
    <t>Льготный период по выплате %</t>
  </si>
  <si>
    <t>мес</t>
  </si>
  <si>
    <t>Сумма</t>
  </si>
  <si>
    <t>Кол-во</t>
  </si>
  <si>
    <t>Цена</t>
  </si>
  <si>
    <t>Курс рос.рубль/тенге</t>
  </si>
  <si>
    <t>метод WACC</t>
  </si>
  <si>
    <t>Выплаты по кредитам</t>
  </si>
  <si>
    <t>Поступления по кредитам</t>
  </si>
  <si>
    <t>Прогноз движения денежных средств (Cash Flow)</t>
  </si>
  <si>
    <t>НДС к начислению</t>
  </si>
  <si>
    <t>НДС к зачету</t>
  </si>
  <si>
    <t>НДС к зачету по инвестициям</t>
  </si>
  <si>
    <t>Сальдо нарастающим итогом</t>
  </si>
  <si>
    <t>НДС к выплате</t>
  </si>
  <si>
    <t>Оборотный капитал</t>
  </si>
  <si>
    <t>Инвестиции в основной капитал</t>
  </si>
  <si>
    <t>Собственные средств</t>
  </si>
  <si>
    <t>Доля</t>
  </si>
  <si>
    <t>Валюта кредита</t>
  </si>
  <si>
    <t>тенге</t>
  </si>
  <si>
    <t>Процентная ставка, годовых</t>
  </si>
  <si>
    <t>Выплата процентов и основного долга</t>
  </si>
  <si>
    <t>ежемесячно</t>
  </si>
  <si>
    <t>равными долями</t>
  </si>
  <si>
    <t>Льготный период погашения процентов, мес.</t>
  </si>
  <si>
    <t>Льготный период погашения основного долга, мес.</t>
  </si>
  <si>
    <t>период</t>
  </si>
  <si>
    <t>Рентабельность активов</t>
  </si>
  <si>
    <t>Внутренняя норма доходности (IRR)</t>
  </si>
  <si>
    <t>Чистая текущая стоимость (NPV), тыс.тг.</t>
  </si>
  <si>
    <t>Окупаемость проекта (простая), лет</t>
  </si>
  <si>
    <t>Окупаемость проекта (дисконтированная), лет</t>
  </si>
  <si>
    <t>Календарный план реализации проекта</t>
  </si>
  <si>
    <t>Мероприятия\Месяц</t>
  </si>
  <si>
    <t>Проведение маркетингового исследования и разработка ТЭО</t>
  </si>
  <si>
    <t>Решение вопроса финансирования</t>
  </si>
  <si>
    <t>Получение кредита</t>
  </si>
  <si>
    <t>Здания и сооружения</t>
  </si>
  <si>
    <t>Коэффициент покрытия обязательств собственным капиталом</t>
  </si>
  <si>
    <t>Наименование</t>
  </si>
  <si>
    <t>Мегалайн</t>
  </si>
  <si>
    <t>Текущая ликвидность</t>
  </si>
  <si>
    <t>Величина налоговых поступлений за 7 лет, тыс.тг.</t>
  </si>
  <si>
    <t>Налог на прибыль</t>
  </si>
  <si>
    <t>Налоги и обязательные платежи от ФОТ</t>
  </si>
  <si>
    <t>Вид налога</t>
  </si>
  <si>
    <t>Сумма, тыс.тг.</t>
  </si>
  <si>
    <t>Водитель</t>
  </si>
  <si>
    <t>Техника</t>
  </si>
  <si>
    <t>ед.изм.</t>
  </si>
  <si>
    <t>ГСМ</t>
  </si>
  <si>
    <t>из расчета 20 л.на 1 машину в день</t>
  </si>
  <si>
    <t>НК РК (10 584 тг/1 машина)</t>
  </si>
  <si>
    <t>Срок погашения, лет</t>
  </si>
  <si>
    <t>Планируемая программа производства по годам проекта</t>
  </si>
  <si>
    <t>Поставка оборудования, монтаж</t>
  </si>
  <si>
    <t>Поиск персонала</t>
  </si>
  <si>
    <t>Размещение рекламы</t>
  </si>
  <si>
    <t>Цены на продукцию</t>
  </si>
  <si>
    <t>Глав.бухгалтер</t>
  </si>
  <si>
    <t>Инженер</t>
  </si>
  <si>
    <t>Уборщик помещений</t>
  </si>
  <si>
    <t>Разнорабочий</t>
  </si>
  <si>
    <t>Слесарь</t>
  </si>
  <si>
    <t>Электрик</t>
  </si>
  <si>
    <t>Ед.изм.</t>
  </si>
  <si>
    <t>2 машины</t>
  </si>
  <si>
    <t>Годовая прибыль (7 год), тыс.тг.</t>
  </si>
  <si>
    <t>на 7 год проекта</t>
  </si>
  <si>
    <t>на 5 год проекта, т.к. к 7 году происходит полное погашение обязательств</t>
  </si>
  <si>
    <t>на 11 год реализации проекта</t>
  </si>
  <si>
    <t>Налог на имущество и транспорт</t>
  </si>
  <si>
    <t>Примечание</t>
  </si>
  <si>
    <t>Земельный участок берется в безвозмездную аренду у государства согласно Закона об инвестициях</t>
  </si>
  <si>
    <t>коэф-т</t>
  </si>
  <si>
    <t>Выбраковка по болезни и забой по старости (начиная с 3-го года)</t>
  </si>
  <si>
    <t>Дополнительный забой</t>
  </si>
  <si>
    <t>Кол-во полученного приплода</t>
  </si>
  <si>
    <t>1 отел</t>
  </si>
  <si>
    <t>Выбраковка</t>
  </si>
  <si>
    <t>2 отел</t>
  </si>
  <si>
    <t>3 отел</t>
  </si>
  <si>
    <t>4 отел</t>
  </si>
  <si>
    <t>5 отел</t>
  </si>
  <si>
    <t>6 отел</t>
  </si>
  <si>
    <t>вес туши</t>
  </si>
  <si>
    <t>уб.вес</t>
  </si>
  <si>
    <t>вместительность холодильника</t>
  </si>
  <si>
    <t>кг.</t>
  </si>
  <si>
    <t xml:space="preserve"> 2 тонны</t>
  </si>
  <si>
    <t>м3</t>
  </si>
  <si>
    <t>1 м3 холодильной камеры - 0,3-0,45 тн.</t>
  </si>
  <si>
    <t>Производственные расходы</t>
  </si>
  <si>
    <t>Сено</t>
  </si>
  <si>
    <t>нормы расхода - Справочник фермера, Агротехнический университет</t>
  </si>
  <si>
    <t>Солома</t>
  </si>
  <si>
    <t>Зерновые</t>
  </si>
  <si>
    <t>max поголовье, гол.</t>
  </si>
  <si>
    <t>Масса 1 головы</t>
  </si>
  <si>
    <t>кг</t>
  </si>
  <si>
    <t>Соотношение живой/убойный вес</t>
  </si>
  <si>
    <t>л/год</t>
  </si>
  <si>
    <t>гол.</t>
  </si>
  <si>
    <t>Получаемый приплод</t>
  </si>
  <si>
    <t>забиваются на следующий год</t>
  </si>
  <si>
    <t>переводятся по происшествии 2-х лет</t>
  </si>
  <si>
    <t>Среднее поголовье взрослое стадо</t>
  </si>
  <si>
    <t>Среднее поголовье молодняк</t>
  </si>
  <si>
    <t>Эксплуатационные расходы</t>
  </si>
  <si>
    <t>Мясо</t>
  </si>
  <si>
    <t>Удой</t>
  </si>
  <si>
    <t>литр</t>
  </si>
  <si>
    <t>удой</t>
  </si>
  <si>
    <t>% отелов</t>
  </si>
  <si>
    <t>Взрослое стадо</t>
  </si>
  <si>
    <t>Молодняк</t>
  </si>
  <si>
    <t>тг./литр без НДС</t>
  </si>
  <si>
    <t>тг./кг. без НДС</t>
  </si>
  <si>
    <t>Реализация мяса</t>
  </si>
  <si>
    <t>Заведующий</t>
  </si>
  <si>
    <t>Зоотехник</t>
  </si>
  <si>
    <t>Скотник</t>
  </si>
  <si>
    <t>Доярка</t>
  </si>
  <si>
    <t>Ветврач</t>
  </si>
  <si>
    <t>Мясник</t>
  </si>
  <si>
    <t>Вет.препараты</t>
  </si>
  <si>
    <t>Холодильная установка на базе компрессоров Copeland</t>
  </si>
  <si>
    <t>МТЗ</t>
  </si>
  <si>
    <t>Животные</t>
  </si>
  <si>
    <t>Корма</t>
  </si>
  <si>
    <t>Дата начала реализации</t>
  </si>
  <si>
    <t>Доля собственного участия</t>
  </si>
  <si>
    <t>с НДС</t>
  </si>
  <si>
    <t>сдельно</t>
  </si>
  <si>
    <t>Производство мяса, тн.</t>
  </si>
  <si>
    <t>Показатель (годовой)</t>
  </si>
  <si>
    <t>Сдельная заработная плата</t>
  </si>
  <si>
    <t>ФОТ на 1 голову</t>
  </si>
  <si>
    <t>Поголовье общее</t>
  </si>
  <si>
    <t>ФОТ первоначальный (в месяц)</t>
  </si>
  <si>
    <t>Кол-во голов (первоначальное, взрослое стадо)</t>
  </si>
  <si>
    <t>Кол-во голов (первоначальное, молодняк)</t>
  </si>
  <si>
    <t>Среднее кол-во голов</t>
  </si>
  <si>
    <t>Установка ангара</t>
  </si>
  <si>
    <t>Выплата аванса за оборудование</t>
  </si>
  <si>
    <t>Закуп КРС</t>
  </si>
  <si>
    <t>Доходы в год, тыс.тг.</t>
  </si>
  <si>
    <t>исходя из рыночных цен (сайт АО "Казагромаркетинг")</t>
  </si>
  <si>
    <t>Минеральные добавки</t>
  </si>
  <si>
    <t>Цена, тыс.тг.</t>
  </si>
  <si>
    <t>Норма          (тн. в год)</t>
  </si>
  <si>
    <t>Корнеплоды</t>
  </si>
  <si>
    <t>Витаминно-минеральные добавки</t>
  </si>
  <si>
    <t>Сайт tehnika.apkonline.ru</t>
  </si>
  <si>
    <t>в т.ч. взрослое поголовье</t>
  </si>
  <si>
    <t xml:space="preserve">        молодняк</t>
  </si>
  <si>
    <t>норма площади на 1 голову (взр), м2</t>
  </si>
  <si>
    <t>норма площади на 1 голову (мол), м3</t>
  </si>
  <si>
    <t>Помещение для доильного станка, м2</t>
  </si>
  <si>
    <t>Помещение для кормов, м2</t>
  </si>
  <si>
    <t>компания Ruukki Construction</t>
  </si>
  <si>
    <t>www.holodim.ru</t>
  </si>
  <si>
    <t>Объем мяса</t>
  </si>
  <si>
    <t>Прайс ОАО "Гомельагрокомплект" (Беларусь)</t>
  </si>
  <si>
    <t>Аппарат доильный попарного доения</t>
  </si>
  <si>
    <t>Движение поголовья, гол.</t>
  </si>
  <si>
    <t>Расходы, тыс.тг.</t>
  </si>
  <si>
    <t>Источник финансирования, тыс.тг.</t>
  </si>
  <si>
    <t>Тип погашения основного долга</t>
  </si>
  <si>
    <t>уменьшен на 70% согласно НК РК</t>
  </si>
  <si>
    <t>Мясо конины</t>
  </si>
  <si>
    <t>Кол-во жеребцов от общего приплода</t>
  </si>
  <si>
    <t>Средний удой на 1 кобылу</t>
  </si>
  <si>
    <t>исходя из среднемолочных маток (240 дней)</t>
  </si>
  <si>
    <t>Кол-во первоначально приобретаемых жеребцов</t>
  </si>
  <si>
    <t>Максимальное поголовье лошадей</t>
  </si>
  <si>
    <t>Кумыс</t>
  </si>
  <si>
    <t>исходя из закупочных цен (рыночная цена  кумыса - 600-700 тг./литр)</t>
  </si>
  <si>
    <t>в т.ч. поголовье жеребцов</t>
  </si>
  <si>
    <t>поголовье кобыл</t>
  </si>
  <si>
    <t>Поголовье лошадей</t>
  </si>
  <si>
    <t>Поголовье жеребцов</t>
  </si>
  <si>
    <t>Поголовье кобыл</t>
  </si>
  <si>
    <t>Мясо от жеребцов</t>
  </si>
  <si>
    <t>Мясо от кобыл</t>
  </si>
  <si>
    <t>Расчет площади хлева</t>
  </si>
  <si>
    <t>Помещение для хранения кумыса, м2</t>
  </si>
  <si>
    <t>Необходимая площадь хлева, м2</t>
  </si>
  <si>
    <t>с 01.14</t>
  </si>
  <si>
    <t>с 04.13</t>
  </si>
  <si>
    <t>Утепленное здание системы “СПАЙДЕР-В”  (хлев)</t>
  </si>
  <si>
    <t>кобылы</t>
  </si>
  <si>
    <t>жеребцы</t>
  </si>
  <si>
    <t>01-06.2013</t>
  </si>
  <si>
    <t>Удой кумыса, л.</t>
  </si>
  <si>
    <t>Поголовье кобыл, гол.</t>
  </si>
  <si>
    <t>Средний удой на 1 кобылу, л/год</t>
  </si>
  <si>
    <t>Кол-во кобыл от общего приплода</t>
  </si>
  <si>
    <t>Реализация кумыса</t>
  </si>
  <si>
    <t>Лошади</t>
  </si>
  <si>
    <t>Кол-во первоначально приобретаемых кобыл</t>
  </si>
  <si>
    <t>Приобретено кобыл</t>
  </si>
  <si>
    <t>Забой кобыл (выбраковка)</t>
  </si>
  <si>
    <t>Забой кобыл (дополнительно)</t>
  </si>
  <si>
    <t>Перевод кобылок во взрослое стадо</t>
  </si>
  <si>
    <t>Рефрежиратор ГАЗель</t>
  </si>
  <si>
    <t>Комлект оборудования для бойни</t>
  </si>
  <si>
    <t>Оборудование для хлева</t>
  </si>
  <si>
    <t>Забой жеребцов</t>
  </si>
  <si>
    <t>Проведение коммуникации</t>
  </si>
</sst>
</file>

<file path=xl/styles.xml><?xml version="1.0" encoding="utf-8"?>
<styleSheet xmlns="http://schemas.openxmlformats.org/spreadsheetml/2006/main">
  <numFmts count="18">
    <numFmt numFmtId="41" formatCode="_-* #,##0_р_._-;\-* #,##0_р_._-;_-* &quot;-&quot;_р_._-;_-@_-"/>
    <numFmt numFmtId="43" formatCode="_-* #,##0.00_р_._-;\-* #,##0.00_р_._-;_-* &quot;-&quot;??_р_._-;_-@_-"/>
    <numFmt numFmtId="164" formatCode="#,##0_ ;[Red]\-#,##0\ "/>
    <numFmt numFmtId="165" formatCode="0.0%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0.0"/>
    <numFmt numFmtId="169" formatCode="#,##0.0"/>
    <numFmt numFmtId="170" formatCode="&quot;\&quot;#,##0;[Red]&quot;\&quot;\-#,##0"/>
    <numFmt numFmtId="171" formatCode="&quot;\&quot;#,##0.00;[Red]&quot;\&quot;\-#,##0.00"/>
    <numFmt numFmtId="172" formatCode="&quot;See Note &quot;\ #"/>
    <numFmt numFmtId="173" formatCode="\$\ #,##0"/>
    <numFmt numFmtId="174" formatCode="_-* #,##0.00[$€]_-;\-* #,##0.00[$€]_-;_-* &quot;-&quot;??[$€]_-;_-@_-"/>
    <numFmt numFmtId="175" formatCode="#,##0.000"/>
    <numFmt numFmtId="176" formatCode="0.000"/>
    <numFmt numFmtId="177" formatCode="_-* #,##0_р_._-;\-* #,##0_р_._-;_-* &quot;-&quot;??_р_._-;_-@_-"/>
    <numFmt numFmtId="178" formatCode="#,##0_ ;\-#,##0\ "/>
    <numFmt numFmtId="179" formatCode="#,##0.0_ ;\-#,##0.0\ "/>
  </numFmts>
  <fonts count="3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</font>
    <font>
      <sz val="10"/>
      <name val="Helv"/>
      <family val="2"/>
    </font>
    <font>
      <b/>
      <sz val="8"/>
      <name val="Times New Roman"/>
      <family val="1"/>
    </font>
    <font>
      <sz val="10"/>
      <name val="ЏрЯмой Џроп"/>
    </font>
    <font>
      <sz val="8"/>
      <name val="Helv"/>
      <family val="2"/>
    </font>
    <font>
      <sz val="8"/>
      <name val="Times New Roman"/>
      <family val="1"/>
    </font>
    <font>
      <sz val="10"/>
      <name val="Arial"/>
      <family val="2"/>
      <charset val="204"/>
    </font>
    <font>
      <sz val="12"/>
      <name val="Times New Roman Cyr"/>
      <charset val="204"/>
    </font>
    <font>
      <sz val="10"/>
      <name val="Geneva"/>
      <charset val="204"/>
    </font>
    <font>
      <sz val="11"/>
      <name val="lr oSVbN"/>
      <family val="3"/>
    </font>
    <font>
      <sz val="8"/>
      <name val="Arial"/>
      <family val="2"/>
      <charset val="204"/>
    </font>
    <font>
      <sz val="10"/>
      <name val="Arial Cyr"/>
      <charset val="204"/>
    </font>
    <font>
      <sz val="9"/>
      <color indexed="8"/>
      <name val="Futuris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9"/>
      <name val="Arial"/>
      <family val="2"/>
      <charset val="204"/>
    </font>
    <font>
      <i/>
      <sz val="10"/>
      <color theme="3" tint="0.39997558519241921"/>
      <name val="Arial"/>
      <family val="2"/>
      <charset val="204"/>
    </font>
    <font>
      <i/>
      <sz val="10"/>
      <color theme="0" tint="-0.499984740745262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i/>
      <sz val="8"/>
      <color theme="0" tint="-0.499984740745262"/>
      <name val="Arial"/>
      <family val="2"/>
      <charset val="204"/>
    </font>
    <font>
      <u/>
      <sz val="10"/>
      <color theme="10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1">
    <xf numFmtId="0" fontId="0" fillId="0" borderId="0"/>
    <xf numFmtId="0" fontId="16" fillId="0" borderId="0">
      <alignment vertical="top" wrapText="1"/>
    </xf>
    <xf numFmtId="174" fontId="1" fillId="0" borderId="0" applyFont="0" applyFill="0" applyBorder="0" applyAlignment="0" applyProtection="0"/>
    <xf numFmtId="0" fontId="6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7" fillId="0" borderId="0"/>
    <xf numFmtId="172" fontId="8" fillId="0" borderId="0">
      <alignment horizontal="left"/>
    </xf>
    <xf numFmtId="173" fontId="9" fillId="0" borderId="0"/>
    <xf numFmtId="172" fontId="8" fillId="0" borderId="0">
      <alignment horizontal="left"/>
    </xf>
    <xf numFmtId="0" fontId="1" fillId="0" borderId="0"/>
    <xf numFmtId="0" fontId="15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/>
    <xf numFmtId="17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</cellStyleXfs>
  <cellXfs count="387">
    <xf numFmtId="0" fontId="0" fillId="0" borderId="0" xfId="0"/>
    <xf numFmtId="0" fontId="17" fillId="0" borderId="0" xfId="18" applyFont="1" applyFill="1" applyBorder="1" applyAlignment="1"/>
    <xf numFmtId="0" fontId="10" fillId="0" borderId="0" xfId="18" applyFont="1" applyFill="1" applyBorder="1"/>
    <xf numFmtId="0" fontId="10" fillId="0" borderId="0" xfId="18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center"/>
    </xf>
    <xf numFmtId="0" fontId="18" fillId="0" borderId="0" xfId="16" applyFont="1" applyFill="1" applyBorder="1" applyAlignment="1">
      <alignment horizontal="left"/>
    </xf>
    <xf numFmtId="0" fontId="10" fillId="0" borderId="0" xfId="0" applyFont="1" applyFill="1" applyBorder="1"/>
    <xf numFmtId="0" fontId="17" fillId="0" borderId="0" xfId="0" applyFont="1" applyFill="1" applyBorder="1"/>
    <xf numFmtId="0" fontId="10" fillId="0" borderId="0" xfId="0" applyFont="1" applyFill="1"/>
    <xf numFmtId="164" fontId="10" fillId="0" borderId="0" xfId="0" applyNumberFormat="1" applyFont="1" applyFill="1" applyAlignment="1"/>
    <xf numFmtId="164" fontId="10" fillId="0" borderId="0" xfId="0" applyNumberFormat="1" applyFont="1" applyFill="1" applyAlignment="1">
      <alignment horizontal="center"/>
    </xf>
    <xf numFmtId="0" fontId="10" fillId="0" borderId="0" xfId="18" applyFont="1" applyFill="1" applyBorder="1" applyAlignment="1"/>
    <xf numFmtId="0" fontId="17" fillId="0" borderId="0" xfId="18" applyFont="1" applyFill="1" applyBorder="1" applyAlignment="1">
      <alignment horizontal="center"/>
    </xf>
    <xf numFmtId="0" fontId="19" fillId="0" borderId="0" xfId="18" applyFont="1" applyFill="1" applyBorder="1"/>
    <xf numFmtId="14" fontId="10" fillId="0" borderId="0" xfId="18" applyNumberFormat="1" applyFont="1" applyFill="1" applyBorder="1"/>
    <xf numFmtId="0" fontId="17" fillId="0" borderId="1" xfId="18" applyFont="1" applyFill="1" applyBorder="1" applyAlignment="1">
      <alignment horizontal="center" vertical="center" wrapText="1"/>
    </xf>
    <xf numFmtId="0" fontId="10" fillId="0" borderId="1" xfId="18" applyFont="1" applyFill="1" applyBorder="1" applyAlignment="1">
      <alignment horizontal="center" vertical="center" wrapText="1"/>
    </xf>
    <xf numFmtId="2" fontId="17" fillId="2" borderId="1" xfId="18" applyNumberFormat="1" applyFont="1" applyFill="1" applyBorder="1" applyAlignment="1">
      <alignment wrapText="1"/>
    </xf>
    <xf numFmtId="3" fontId="17" fillId="2" borderId="1" xfId="18" applyNumberFormat="1" applyFont="1" applyFill="1" applyBorder="1" applyAlignment="1">
      <alignment horizontal="right" wrapText="1"/>
    </xf>
    <xf numFmtId="0" fontId="17" fillId="2" borderId="1" xfId="18" applyFont="1" applyFill="1" applyBorder="1" applyAlignment="1">
      <alignment horizontal="left" wrapText="1"/>
    </xf>
    <xf numFmtId="3" fontId="17" fillId="2" borderId="1" xfId="18" applyNumberFormat="1" applyFont="1" applyFill="1" applyBorder="1" applyAlignment="1"/>
    <xf numFmtId="0" fontId="17" fillId="0" borderId="0" xfId="0" applyFont="1" applyFill="1"/>
    <xf numFmtId="0" fontId="17" fillId="3" borderId="2" xfId="18" applyFont="1" applyFill="1" applyBorder="1" applyAlignment="1">
      <alignment vertical="center"/>
    </xf>
    <xf numFmtId="0" fontId="17" fillId="3" borderId="3" xfId="18" applyFont="1" applyFill="1" applyBorder="1" applyAlignment="1">
      <alignment vertical="center"/>
    </xf>
    <xf numFmtId="3" fontId="17" fillId="3" borderId="1" xfId="18" applyNumberFormat="1" applyFont="1" applyFill="1" applyBorder="1" applyAlignment="1">
      <alignment vertical="center"/>
    </xf>
    <xf numFmtId="3" fontId="17" fillId="3" borderId="1" xfId="18" applyNumberFormat="1" applyFont="1" applyFill="1" applyBorder="1" applyAlignment="1">
      <alignment horizontal="right" vertical="center"/>
    </xf>
    <xf numFmtId="0" fontId="17" fillId="0" borderId="1" xfId="18" applyFont="1" applyFill="1" applyBorder="1" applyAlignment="1">
      <alignment vertical="center" wrapText="1"/>
    </xf>
    <xf numFmtId="3" fontId="17" fillId="0" borderId="1" xfId="18" applyNumberFormat="1" applyFont="1" applyFill="1" applyBorder="1" applyAlignment="1">
      <alignment horizontal="right" wrapText="1"/>
    </xf>
    <xf numFmtId="0" fontId="10" fillId="0" borderId="1" xfId="18" applyFont="1" applyFill="1" applyBorder="1" applyAlignment="1">
      <alignment vertical="center" wrapText="1"/>
    </xf>
    <xf numFmtId="3" fontId="10" fillId="0" borderId="1" xfId="18" applyNumberFormat="1" applyFont="1" applyFill="1" applyBorder="1" applyAlignment="1">
      <alignment horizontal="right"/>
    </xf>
    <xf numFmtId="0" fontId="17" fillId="0" borderId="1" xfId="18" applyFont="1" applyFill="1" applyBorder="1" applyAlignment="1">
      <alignment horizontal="left" vertical="center" wrapText="1" indent="1"/>
    </xf>
    <xf numFmtId="3" fontId="17" fillId="0" borderId="1" xfId="18" applyNumberFormat="1" applyFont="1" applyFill="1" applyBorder="1" applyAlignment="1">
      <alignment vertical="center" wrapText="1"/>
    </xf>
    <xf numFmtId="9" fontId="17" fillId="0" borderId="1" xfId="18" applyNumberFormat="1" applyFont="1" applyFill="1" applyBorder="1" applyAlignment="1">
      <alignment horizontal="right" wrapText="1"/>
    </xf>
    <xf numFmtId="3" fontId="10" fillId="7" borderId="1" xfId="18" applyNumberFormat="1" applyFont="1" applyFill="1" applyBorder="1" applyAlignment="1">
      <alignment horizontal="right"/>
    </xf>
    <xf numFmtId="3" fontId="10" fillId="0" borderId="1" xfId="18" applyNumberFormat="1" applyFont="1" applyFill="1" applyBorder="1" applyAlignment="1">
      <alignment horizontal="right" wrapText="1"/>
    </xf>
    <xf numFmtId="0" fontId="17" fillId="2" borderId="1" xfId="18" applyFont="1" applyFill="1" applyBorder="1" applyAlignment="1">
      <alignment vertical="center" wrapText="1"/>
    </xf>
    <xf numFmtId="3" fontId="17" fillId="3" borderId="1" xfId="18" applyNumberFormat="1" applyFont="1" applyFill="1" applyBorder="1" applyAlignment="1">
      <alignment horizontal="right" wrapText="1"/>
    </xf>
    <xf numFmtId="3" fontId="17" fillId="0" borderId="1" xfId="18" applyNumberFormat="1" applyFont="1" applyFill="1" applyBorder="1" applyAlignment="1">
      <alignment horizontal="right"/>
    </xf>
    <xf numFmtId="0" fontId="10" fillId="0" borderId="1" xfId="18" applyFont="1" applyFill="1" applyBorder="1" applyAlignment="1">
      <alignment wrapText="1"/>
    </xf>
    <xf numFmtId="0" fontId="17" fillId="2" borderId="1" xfId="18" applyFont="1" applyFill="1" applyBorder="1" applyAlignment="1">
      <alignment wrapText="1"/>
    </xf>
    <xf numFmtId="1" fontId="20" fillId="0" borderId="2" xfId="18" applyNumberFormat="1" applyFont="1" applyFill="1" applyBorder="1" applyAlignment="1">
      <alignment wrapText="1"/>
    </xf>
    <xf numFmtId="3" fontId="21" fillId="0" borderId="1" xfId="18" applyNumberFormat="1" applyFont="1" applyFill="1" applyBorder="1" applyAlignment="1">
      <alignment horizontal="right" wrapText="1"/>
    </xf>
    <xf numFmtId="3" fontId="20" fillId="0" borderId="1" xfId="18" applyNumberFormat="1" applyFont="1" applyFill="1" applyBorder="1" applyAlignment="1">
      <alignment horizontal="right" wrapText="1"/>
    </xf>
    <xf numFmtId="1" fontId="21" fillId="0" borderId="0" xfId="0" applyNumberFormat="1" applyFont="1" applyFill="1"/>
    <xf numFmtId="0" fontId="10" fillId="0" borderId="1" xfId="18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right"/>
    </xf>
    <xf numFmtId="164" fontId="10" fillId="0" borderId="2" xfId="12" applyNumberFormat="1" applyFont="1" applyFill="1" applyBorder="1" applyAlignment="1">
      <alignment vertical="center" wrapText="1"/>
    </xf>
    <xf numFmtId="164" fontId="10" fillId="0" borderId="1" xfId="12" applyNumberFormat="1" applyFont="1" applyFill="1" applyBorder="1" applyAlignment="1">
      <alignment horizontal="right" vertical="center" wrapText="1"/>
    </xf>
    <xf numFmtId="0" fontId="10" fillId="0" borderId="0" xfId="16" applyFont="1" applyFill="1"/>
    <xf numFmtId="0" fontId="17" fillId="0" borderId="1" xfId="18" applyFont="1" applyFill="1" applyBorder="1" applyAlignment="1">
      <alignment vertical="center"/>
    </xf>
    <xf numFmtId="3" fontId="17" fillId="7" borderId="1" xfId="18" applyNumberFormat="1" applyFont="1" applyFill="1" applyBorder="1" applyAlignment="1">
      <alignment horizontal="right" wrapText="1"/>
    </xf>
    <xf numFmtId="164" fontId="17" fillId="0" borderId="1" xfId="18" applyNumberFormat="1" applyFont="1" applyFill="1" applyBorder="1" applyAlignment="1">
      <alignment horizontal="right" vertical="center"/>
    </xf>
    <xf numFmtId="164" fontId="17" fillId="0" borderId="1" xfId="18" applyNumberFormat="1" applyFont="1" applyFill="1" applyBorder="1" applyAlignment="1">
      <alignment horizontal="right" wrapText="1"/>
    </xf>
    <xf numFmtId="0" fontId="10" fillId="0" borderId="0" xfId="0" applyFont="1" applyFill="1" applyBorder="1" applyAlignment="1"/>
    <xf numFmtId="164" fontId="10" fillId="0" borderId="0" xfId="0" applyNumberFormat="1" applyFont="1" applyFill="1" applyBorder="1" applyAlignment="1"/>
    <xf numFmtId="0" fontId="17" fillId="0" borderId="0" xfId="0" applyFont="1" applyFill="1" applyBorder="1" applyAlignment="1"/>
    <xf numFmtId="3" fontId="17" fillId="0" borderId="0" xfId="0" applyNumberFormat="1" applyFont="1" applyFill="1" applyBorder="1"/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Fill="1" applyBorder="1"/>
    <xf numFmtId="169" fontId="17" fillId="0" borderId="0" xfId="0" applyNumberFormat="1" applyFont="1" applyFill="1" applyBorder="1" applyAlignment="1"/>
    <xf numFmtId="0" fontId="10" fillId="0" borderId="0" xfId="0" applyFont="1" applyFill="1" applyAlignment="1"/>
    <xf numFmtId="0" fontId="17" fillId="0" borderId="0" xfId="0" applyFont="1" applyFill="1" applyAlignment="1"/>
    <xf numFmtId="0" fontId="17" fillId="0" borderId="0" xfId="0" applyFont="1"/>
    <xf numFmtId="0" fontId="17" fillId="2" borderId="0" xfId="0" applyFont="1" applyFill="1" applyBorder="1" applyAlignment="1">
      <alignment horizontal="center"/>
    </xf>
    <xf numFmtId="3" fontId="26" fillId="0" borderId="0" xfId="0" applyNumberFormat="1" applyFont="1" applyFill="1" applyBorder="1" applyAlignment="1"/>
    <xf numFmtId="0" fontId="10" fillId="3" borderId="0" xfId="0" applyFont="1" applyFill="1" applyBorder="1" applyAlignment="1"/>
    <xf numFmtId="3" fontId="10" fillId="3" borderId="0" xfId="0" applyNumberFormat="1" applyFont="1" applyFill="1" applyBorder="1"/>
    <xf numFmtId="0" fontId="10" fillId="4" borderId="0" xfId="0" applyFont="1" applyFill="1" applyBorder="1" applyAlignment="1"/>
    <xf numFmtId="3" fontId="10" fillId="4" borderId="0" xfId="0" applyNumberFormat="1" applyFont="1" applyFill="1" applyBorder="1"/>
    <xf numFmtId="4" fontId="10" fillId="0" borderId="0" xfId="0" applyNumberFormat="1" applyFont="1" applyFill="1" applyBorder="1"/>
    <xf numFmtId="9" fontId="17" fillId="0" borderId="0" xfId="0" applyNumberFormat="1" applyFont="1" applyFill="1" applyBorder="1"/>
    <xf numFmtId="0" fontId="10" fillId="0" borderId="0" xfId="14" applyFont="1"/>
    <xf numFmtId="0" fontId="10" fillId="0" borderId="0" xfId="14" applyFont="1" applyAlignment="1">
      <alignment vertical="center"/>
    </xf>
    <xf numFmtId="0" fontId="10" fillId="0" borderId="0" xfId="14" applyFont="1" applyAlignment="1">
      <alignment horizontal="right" vertical="center"/>
    </xf>
    <xf numFmtId="0" fontId="10" fillId="0" borderId="0" xfId="14" applyFont="1" applyBorder="1" applyAlignment="1">
      <alignment vertical="center"/>
    </xf>
    <xf numFmtId="3" fontId="10" fillId="0" borderId="0" xfId="14" applyNumberFormat="1" applyFont="1" applyBorder="1" applyAlignment="1">
      <alignment horizontal="right" vertical="center"/>
    </xf>
    <xf numFmtId="0" fontId="10" fillId="0" borderId="0" xfId="14" applyFont="1" applyBorder="1" applyAlignment="1">
      <alignment horizontal="right" vertical="center"/>
    </xf>
    <xf numFmtId="0" fontId="10" fillId="0" borderId="0" xfId="14" applyFont="1" applyBorder="1" applyAlignment="1">
      <alignment horizontal="left" vertical="center"/>
    </xf>
    <xf numFmtId="0" fontId="10" fillId="0" borderId="0" xfId="0" applyFont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0" borderId="1" xfId="0" applyFont="1" applyBorder="1"/>
    <xf numFmtId="4" fontId="10" fillId="2" borderId="1" xfId="0" applyNumberFormat="1" applyFont="1" applyFill="1" applyBorder="1"/>
    <xf numFmtId="0" fontId="10" fillId="0" borderId="1" xfId="0" applyFont="1" applyBorder="1" applyAlignment="1">
      <alignment horizontal="center"/>
    </xf>
    <xf numFmtId="9" fontId="10" fillId="2" borderId="1" xfId="0" applyNumberFormat="1" applyFont="1" applyFill="1" applyBorder="1"/>
    <xf numFmtId="0" fontId="10" fillId="7" borderId="1" xfId="0" applyFont="1" applyFill="1" applyBorder="1" applyAlignment="1">
      <alignment horizontal="right"/>
    </xf>
    <xf numFmtId="169" fontId="10" fillId="2" borderId="1" xfId="0" applyNumberFormat="1" applyFont="1" applyFill="1" applyBorder="1"/>
    <xf numFmtId="0" fontId="17" fillId="0" borderId="0" xfId="18" applyFont="1" applyFill="1" applyBorder="1" applyAlignment="1">
      <alignment horizontal="left" wrapText="1" shrinkToFit="1"/>
    </xf>
    <xf numFmtId="0" fontId="10" fillId="0" borderId="0" xfId="18" applyFont="1" applyFill="1" applyBorder="1" applyAlignment="1">
      <alignment wrapText="1" shrinkToFit="1"/>
    </xf>
    <xf numFmtId="0" fontId="17" fillId="0" borderId="0" xfId="18" applyFont="1" applyFill="1" applyBorder="1" applyAlignment="1">
      <alignment wrapText="1" shrinkToFit="1"/>
    </xf>
    <xf numFmtId="0" fontId="27" fillId="0" borderId="0" xfId="18" applyNumberFormat="1" applyFont="1" applyFill="1" applyBorder="1" applyAlignment="1">
      <alignment horizontal="left"/>
    </xf>
    <xf numFmtId="9" fontId="27" fillId="0" borderId="0" xfId="18" applyNumberFormat="1" applyFont="1" applyFill="1" applyBorder="1" applyAlignment="1">
      <alignment wrapText="1" shrinkToFit="1"/>
    </xf>
    <xf numFmtId="0" fontId="17" fillId="3" borderId="1" xfId="18" applyFont="1" applyFill="1" applyBorder="1" applyAlignment="1">
      <alignment horizontal="center" vertical="center" wrapText="1" shrinkToFit="1"/>
    </xf>
    <xf numFmtId="0" fontId="17" fillId="3" borderId="4" xfId="18" applyFont="1" applyFill="1" applyBorder="1" applyAlignment="1">
      <alignment horizontal="center" vertical="center" wrapText="1" shrinkToFit="1"/>
    </xf>
    <xf numFmtId="164" fontId="17" fillId="3" borderId="1" xfId="18" applyNumberFormat="1" applyFont="1" applyFill="1" applyBorder="1" applyAlignment="1">
      <alignment horizontal="center" vertical="center" wrapText="1" shrinkToFit="1"/>
    </xf>
    <xf numFmtId="0" fontId="17" fillId="3" borderId="5" xfId="18" applyFont="1" applyFill="1" applyBorder="1" applyAlignment="1">
      <alignment horizontal="center" vertical="center" wrapText="1" shrinkToFit="1"/>
    </xf>
    <xf numFmtId="3" fontId="10" fillId="3" borderId="1" xfId="18" applyNumberFormat="1" applyFont="1" applyFill="1" applyBorder="1" applyAlignment="1">
      <alignment horizontal="center" vertical="center" wrapText="1" shrinkToFit="1"/>
    </xf>
    <xf numFmtId="0" fontId="17" fillId="0" borderId="2" xfId="18" applyFont="1" applyFill="1" applyBorder="1" applyAlignment="1">
      <alignment horizontal="left" vertical="top" wrapText="1" shrinkToFit="1"/>
    </xf>
    <xf numFmtId="3" fontId="17" fillId="0" borderId="1" xfId="18" applyNumberFormat="1" applyFont="1" applyFill="1" applyBorder="1" applyAlignment="1">
      <alignment horizontal="center" vertical="center"/>
    </xf>
    <xf numFmtId="3" fontId="17" fillId="0" borderId="5" xfId="18" applyNumberFormat="1" applyFont="1" applyFill="1" applyBorder="1" applyAlignment="1">
      <alignment horizontal="center" vertical="center"/>
    </xf>
    <xf numFmtId="164" fontId="17" fillId="0" borderId="0" xfId="18" applyNumberFormat="1" applyFont="1" applyFill="1" applyBorder="1" applyAlignment="1" applyProtection="1">
      <alignment wrapText="1" shrinkToFit="1"/>
      <protection locked="0"/>
    </xf>
    <xf numFmtId="0" fontId="10" fillId="0" borderId="2" xfId="18" applyFont="1" applyFill="1" applyBorder="1" applyAlignment="1">
      <alignment horizontal="left" vertical="top" wrapText="1" indent="3" shrinkToFit="1"/>
    </xf>
    <xf numFmtId="3" fontId="10" fillId="0" borderId="5" xfId="18" applyNumberFormat="1" applyFont="1" applyFill="1" applyBorder="1" applyAlignment="1">
      <alignment horizontal="center" vertical="center"/>
    </xf>
    <xf numFmtId="3" fontId="17" fillId="0" borderId="5" xfId="18" applyNumberFormat="1" applyFont="1" applyFill="1" applyBorder="1" applyAlignment="1">
      <alignment horizontal="center" vertical="top"/>
    </xf>
    <xf numFmtId="0" fontId="10" fillId="0" borderId="2" xfId="18" applyFont="1" applyFill="1" applyBorder="1" applyAlignment="1">
      <alignment horizontal="left" vertical="top" wrapText="1" shrinkToFit="1"/>
    </xf>
    <xf numFmtId="164" fontId="17" fillId="0" borderId="1" xfId="18" applyNumberFormat="1" applyFont="1" applyFill="1" applyBorder="1" applyAlignment="1">
      <alignment horizontal="center" vertical="top"/>
    </xf>
    <xf numFmtId="164" fontId="17" fillId="0" borderId="5" xfId="18" applyNumberFormat="1" applyFont="1" applyFill="1" applyBorder="1" applyAlignment="1">
      <alignment horizontal="center" vertical="top"/>
    </xf>
    <xf numFmtId="0" fontId="10" fillId="0" borderId="0" xfId="18" applyFont="1" applyFill="1" applyBorder="1" applyAlignment="1">
      <alignment horizontal="left" vertical="top" wrapText="1" shrinkToFit="1"/>
    </xf>
    <xf numFmtId="0" fontId="10" fillId="0" borderId="0" xfId="18" applyFont="1" applyFill="1" applyBorder="1" applyAlignment="1">
      <alignment horizontal="left" vertical="top"/>
    </xf>
    <xf numFmtId="0" fontId="22" fillId="0" borderId="0" xfId="18" applyFont="1" applyFill="1" applyBorder="1" applyAlignment="1">
      <alignment wrapText="1" shrinkToFit="1"/>
    </xf>
    <xf numFmtId="0" fontId="17" fillId="3" borderId="4" xfId="18" applyFont="1" applyFill="1" applyBorder="1" applyAlignment="1">
      <alignment horizontal="center" vertical="center"/>
    </xf>
    <xf numFmtId="164" fontId="17" fillId="3" borderId="3" xfId="18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 shrinkToFit="1"/>
    </xf>
    <xf numFmtId="0" fontId="10" fillId="0" borderId="0" xfId="0" applyFont="1" applyAlignment="1">
      <alignment vertical="center" wrapText="1" shrinkToFit="1"/>
    </xf>
    <xf numFmtId="0" fontId="17" fillId="3" borderId="1" xfId="18" applyFont="1" applyFill="1" applyBorder="1" applyAlignment="1">
      <alignment horizontal="right" vertical="center"/>
    </xf>
    <xf numFmtId="3" fontId="10" fillId="3" borderId="1" xfId="18" applyNumberFormat="1" applyFont="1" applyFill="1" applyBorder="1" applyAlignment="1">
      <alignment horizontal="center" vertical="center"/>
    </xf>
    <xf numFmtId="0" fontId="17" fillId="3" borderId="1" xfId="18" applyFont="1" applyFill="1" applyBorder="1" applyAlignment="1">
      <alignment horizontal="center" vertical="center"/>
    </xf>
    <xf numFmtId="164" fontId="10" fillId="0" borderId="1" xfId="15" applyNumberFormat="1" applyFont="1" applyBorder="1" applyAlignment="1">
      <alignment vertical="center" wrapText="1" shrinkToFit="1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164" fontId="28" fillId="0" borderId="0" xfId="18" applyNumberFormat="1" applyFont="1" applyFill="1" applyBorder="1" applyAlignment="1">
      <alignment wrapText="1" shrinkToFit="1"/>
    </xf>
    <xf numFmtId="0" fontId="17" fillId="0" borderId="0" xfId="19" applyFont="1" applyFill="1" applyBorder="1" applyAlignment="1">
      <alignment horizontal="left" wrapText="1" shrinkToFit="1"/>
    </xf>
    <xf numFmtId="0" fontId="10" fillId="0" borderId="0" xfId="19" applyFont="1" applyFill="1" applyBorder="1" applyAlignment="1">
      <alignment wrapText="1" shrinkToFit="1"/>
    </xf>
    <xf numFmtId="3" fontId="10" fillId="0" borderId="0" xfId="19" applyNumberFormat="1" applyFont="1" applyFill="1" applyBorder="1" applyAlignment="1">
      <alignment wrapText="1" shrinkToFit="1"/>
    </xf>
    <xf numFmtId="0" fontId="17" fillId="3" borderId="1" xfId="19" applyFont="1" applyFill="1" applyBorder="1" applyAlignment="1">
      <alignment horizontal="center" vertical="center"/>
    </xf>
    <xf numFmtId="0" fontId="17" fillId="3" borderId="4" xfId="19" applyFont="1" applyFill="1" applyBorder="1" applyAlignment="1">
      <alignment horizontal="center" vertical="center"/>
    </xf>
    <xf numFmtId="164" fontId="17" fillId="3" borderId="1" xfId="19" applyNumberFormat="1" applyFont="1" applyFill="1" applyBorder="1" applyAlignment="1">
      <alignment horizontal="center" vertical="center"/>
    </xf>
    <xf numFmtId="0" fontId="17" fillId="3" borderId="5" xfId="19" applyFont="1" applyFill="1" applyBorder="1" applyAlignment="1">
      <alignment horizontal="center" vertical="center"/>
    </xf>
    <xf numFmtId="3" fontId="10" fillId="3" borderId="1" xfId="19" applyNumberFormat="1" applyFont="1" applyFill="1" applyBorder="1" applyAlignment="1">
      <alignment horizontal="center" vertical="center"/>
    </xf>
    <xf numFmtId="0" fontId="17" fillId="0" borderId="2" xfId="19" applyFont="1" applyFill="1" applyBorder="1" applyAlignment="1">
      <alignment horizontal="left" vertical="top" wrapText="1" shrinkToFit="1"/>
    </xf>
    <xf numFmtId="3" fontId="17" fillId="0" borderId="1" xfId="19" applyNumberFormat="1" applyFont="1" applyFill="1" applyBorder="1" applyAlignment="1">
      <alignment horizontal="center" vertical="center"/>
    </xf>
    <xf numFmtId="3" fontId="17" fillId="0" borderId="5" xfId="19" applyNumberFormat="1" applyFont="1" applyFill="1" applyBorder="1" applyAlignment="1">
      <alignment horizontal="center" vertical="center"/>
    </xf>
    <xf numFmtId="164" fontId="17" fillId="0" borderId="0" xfId="19" applyNumberFormat="1" applyFont="1" applyFill="1" applyBorder="1" applyAlignment="1" applyProtection="1">
      <alignment wrapText="1" shrinkToFit="1"/>
      <protection locked="0"/>
    </xf>
    <xf numFmtId="0" fontId="17" fillId="0" borderId="0" xfId="19" applyFont="1" applyFill="1" applyBorder="1" applyAlignment="1">
      <alignment wrapText="1" shrinkToFit="1"/>
    </xf>
    <xf numFmtId="0" fontId="10" fillId="0" borderId="2" xfId="19" applyFont="1" applyFill="1" applyBorder="1" applyAlignment="1">
      <alignment horizontal="left" vertical="top" wrapText="1" indent="1" shrinkToFit="1"/>
    </xf>
    <xf numFmtId="3" fontId="10" fillId="0" borderId="5" xfId="19" applyNumberFormat="1" applyFont="1" applyFill="1" applyBorder="1" applyAlignment="1">
      <alignment horizontal="center" vertical="center"/>
    </xf>
    <xf numFmtId="3" fontId="10" fillId="0" borderId="1" xfId="19" applyNumberFormat="1" applyFont="1" applyFill="1" applyBorder="1" applyAlignment="1">
      <alignment horizontal="center" vertical="center"/>
    </xf>
    <xf numFmtId="0" fontId="10" fillId="0" borderId="0" xfId="19" applyFont="1" applyFill="1" applyBorder="1" applyAlignment="1">
      <alignment horizontal="left" vertical="top" wrapText="1" shrinkToFit="1"/>
    </xf>
    <xf numFmtId="0" fontId="10" fillId="0" borderId="0" xfId="19" applyFont="1" applyFill="1" applyBorder="1" applyAlignment="1">
      <alignment horizontal="left" vertical="top"/>
    </xf>
    <xf numFmtId="0" fontId="18" fillId="0" borderId="6" xfId="19" applyFont="1" applyFill="1" applyBorder="1" applyAlignment="1">
      <alignment wrapText="1" shrinkToFit="1"/>
    </xf>
    <xf numFmtId="0" fontId="10" fillId="0" borderId="6" xfId="19" applyFont="1" applyFill="1" applyBorder="1" applyAlignment="1">
      <alignment wrapText="1" shrinkToFit="1"/>
    </xf>
    <xf numFmtId="4" fontId="10" fillId="0" borderId="6" xfId="19" applyNumberFormat="1" applyFont="1" applyFill="1" applyBorder="1" applyAlignment="1">
      <alignment wrapText="1" shrinkToFit="1"/>
    </xf>
    <xf numFmtId="3" fontId="10" fillId="0" borderId="6" xfId="19" applyNumberFormat="1" applyFont="1" applyFill="1" applyBorder="1" applyAlignment="1">
      <alignment wrapText="1" shrinkToFit="1"/>
    </xf>
    <xf numFmtId="0" fontId="17" fillId="0" borderId="0" xfId="0" applyFont="1" applyAlignment="1">
      <alignment horizontal="center"/>
    </xf>
    <xf numFmtId="0" fontId="17" fillId="3" borderId="1" xfId="0" applyFont="1" applyFill="1" applyBorder="1"/>
    <xf numFmtId="0" fontId="17" fillId="3" borderId="1" xfId="0" applyFont="1" applyFill="1" applyBorder="1" applyAlignment="1">
      <alignment horizontal="center"/>
    </xf>
    <xf numFmtId="0" fontId="17" fillId="5" borderId="1" xfId="0" applyFont="1" applyFill="1" applyBorder="1"/>
    <xf numFmtId="3" fontId="17" fillId="5" borderId="1" xfId="0" applyNumberFormat="1" applyFont="1" applyFill="1" applyBorder="1"/>
    <xf numFmtId="3" fontId="10" fillId="7" borderId="1" xfId="0" applyNumberFormat="1" applyFont="1" applyFill="1" applyBorder="1"/>
    <xf numFmtId="3" fontId="10" fillId="0" borderId="1" xfId="0" applyNumberFormat="1" applyFont="1" applyFill="1" applyBorder="1"/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 shrinkToFit="1"/>
    </xf>
    <xf numFmtId="0" fontId="17" fillId="5" borderId="1" xfId="0" applyFont="1" applyFill="1" applyBorder="1" applyAlignment="1">
      <alignment horizontal="left" vertical="center" wrapText="1" shrinkToFit="1"/>
    </xf>
    <xf numFmtId="3" fontId="10" fillId="0" borderId="1" xfId="0" applyNumberFormat="1" applyFont="1" applyBorder="1"/>
    <xf numFmtId="3" fontId="17" fillId="0" borderId="1" xfId="0" applyNumberFormat="1" applyFont="1" applyBorder="1"/>
    <xf numFmtId="0" fontId="17" fillId="0" borderId="1" xfId="0" applyFont="1" applyBorder="1"/>
    <xf numFmtId="0" fontId="17" fillId="0" borderId="1" xfId="0" applyFont="1" applyBorder="1" applyAlignment="1">
      <alignment horizontal="left" vertical="center" wrapText="1" shrinkToFit="1"/>
    </xf>
    <xf numFmtId="9" fontId="17" fillId="0" borderId="0" xfId="0" applyNumberFormat="1" applyFont="1"/>
    <xf numFmtId="3" fontId="17" fillId="6" borderId="1" xfId="0" applyNumberFormat="1" applyFont="1" applyFill="1" applyBorder="1"/>
    <xf numFmtId="9" fontId="10" fillId="0" borderId="1" xfId="0" applyNumberFormat="1" applyFont="1" applyFill="1" applyBorder="1"/>
    <xf numFmtId="0" fontId="10" fillId="0" borderId="0" xfId="0" applyFont="1" applyBorder="1"/>
    <xf numFmtId="3" fontId="10" fillId="0" borderId="0" xfId="0" applyNumberFormat="1" applyFont="1" applyBorder="1"/>
    <xf numFmtId="9" fontId="10" fillId="0" borderId="0" xfId="0" applyNumberFormat="1" applyFont="1" applyBorder="1"/>
    <xf numFmtId="168" fontId="10" fillId="0" borderId="0" xfId="0" applyNumberFormat="1" applyFont="1" applyBorder="1"/>
    <xf numFmtId="1" fontId="10" fillId="0" borderId="1" xfId="0" applyNumberFormat="1" applyFont="1" applyFill="1" applyBorder="1"/>
    <xf numFmtId="0" fontId="22" fillId="0" borderId="0" xfId="0" applyFont="1" applyAlignment="1"/>
    <xf numFmtId="0" fontId="10" fillId="0" borderId="1" xfId="0" applyFont="1" applyBorder="1" applyAlignment="1">
      <alignment wrapText="1"/>
    </xf>
    <xf numFmtId="3" fontId="17" fillId="3" borderId="1" xfId="0" applyNumberFormat="1" applyFont="1" applyFill="1" applyBorder="1"/>
    <xf numFmtId="169" fontId="10" fillId="0" borderId="0" xfId="0" applyNumberFormat="1" applyFont="1"/>
    <xf numFmtId="165" fontId="10" fillId="2" borderId="1" xfId="20" applyNumberFormat="1" applyFont="1" applyFill="1" applyBorder="1"/>
    <xf numFmtId="169" fontId="10" fillId="0" borderId="1" xfId="0" applyNumberFormat="1" applyFont="1" applyBorder="1"/>
    <xf numFmtId="178" fontId="10" fillId="0" borderId="0" xfId="0" applyNumberFormat="1" applyFont="1"/>
    <xf numFmtId="165" fontId="10" fillId="0" borderId="1" xfId="20" applyNumberFormat="1" applyFont="1" applyFill="1" applyBorder="1"/>
    <xf numFmtId="3" fontId="10" fillId="0" borderId="0" xfId="0" applyNumberFormat="1" applyFont="1" applyFill="1"/>
    <xf numFmtId="9" fontId="10" fillId="0" borderId="1" xfId="20" applyFont="1" applyFill="1" applyBorder="1"/>
    <xf numFmtId="177" fontId="10" fillId="0" borderId="1" xfId="24" applyNumberFormat="1" applyFont="1" applyBorder="1"/>
    <xf numFmtId="9" fontId="10" fillId="2" borderId="1" xfId="20" applyFont="1" applyFill="1" applyBorder="1"/>
    <xf numFmtId="0" fontId="10" fillId="0" borderId="2" xfId="0" applyFont="1" applyBorder="1"/>
    <xf numFmtId="0" fontId="17" fillId="3" borderId="5" xfId="0" applyFont="1" applyFill="1" applyBorder="1" applyAlignment="1">
      <alignment horizontal="center"/>
    </xf>
    <xf numFmtId="0" fontId="10" fillId="0" borderId="0" xfId="13" applyFont="1" applyFill="1" applyProtection="1">
      <protection locked="0"/>
    </xf>
    <xf numFmtId="0" fontId="17" fillId="0" borderId="0" xfId="13" applyFont="1" applyFill="1" applyProtection="1">
      <protection locked="0"/>
    </xf>
    <xf numFmtId="9" fontId="18" fillId="0" borderId="0" xfId="13" applyNumberFormat="1" applyFont="1" applyFill="1" applyProtection="1">
      <protection locked="0"/>
    </xf>
    <xf numFmtId="164" fontId="10" fillId="0" borderId="0" xfId="13" applyNumberFormat="1" applyFont="1" applyFill="1" applyProtection="1">
      <protection locked="0"/>
    </xf>
    <xf numFmtId="164" fontId="18" fillId="0" borderId="0" xfId="13" applyNumberFormat="1" applyFont="1" applyFill="1" applyProtection="1">
      <protection locked="0"/>
    </xf>
    <xf numFmtId="9" fontId="17" fillId="0" borderId="0" xfId="13" applyNumberFormat="1" applyFont="1" applyFill="1" applyProtection="1">
      <protection locked="0"/>
    </xf>
    <xf numFmtId="0" fontId="22" fillId="0" borderId="0" xfId="13" applyFont="1" applyFill="1" applyProtection="1">
      <protection locked="0"/>
    </xf>
    <xf numFmtId="0" fontId="17" fillId="0" borderId="1" xfId="13" applyFont="1" applyFill="1" applyBorder="1" applyProtection="1">
      <protection locked="0"/>
    </xf>
    <xf numFmtId="3" fontId="10" fillId="0" borderId="1" xfId="13" applyNumberFormat="1" applyFont="1" applyFill="1" applyBorder="1" applyAlignment="1" applyProtection="1">
      <alignment horizontal="center"/>
      <protection locked="0"/>
    </xf>
    <xf numFmtId="0" fontId="10" fillId="0" borderId="1" xfId="13" applyFont="1" applyFill="1" applyBorder="1" applyAlignment="1" applyProtection="1">
      <alignment vertical="top"/>
      <protection locked="0"/>
    </xf>
    <xf numFmtId="165" fontId="18" fillId="0" borderId="0" xfId="13" applyNumberFormat="1" applyFont="1" applyFill="1" applyProtection="1">
      <protection locked="0"/>
    </xf>
    <xf numFmtId="0" fontId="10" fillId="0" borderId="1" xfId="17" applyFont="1" applyFill="1" applyBorder="1" applyAlignment="1">
      <alignment horizontal="left" vertical="center" wrapText="1"/>
    </xf>
    <xf numFmtId="0" fontId="17" fillId="0" borderId="1" xfId="17" applyFont="1" applyFill="1" applyBorder="1" applyAlignment="1">
      <alignment horizontal="center" vertical="center"/>
    </xf>
    <xf numFmtId="0" fontId="10" fillId="0" borderId="1" xfId="19" applyFont="1" applyFill="1" applyBorder="1" applyAlignment="1">
      <alignment horizontal="center" vertical="center"/>
    </xf>
    <xf numFmtId="0" fontId="17" fillId="0" borderId="1" xfId="19" applyFont="1" applyFill="1" applyBorder="1" applyAlignment="1">
      <alignment horizontal="center" vertical="center"/>
    </xf>
    <xf numFmtId="0" fontId="10" fillId="0" borderId="0" xfId="13" applyFont="1" applyFill="1" applyAlignment="1" applyProtection="1">
      <alignment horizontal="center"/>
      <protection locked="0"/>
    </xf>
    <xf numFmtId="164" fontId="10" fillId="0" borderId="1" xfId="17" applyNumberFormat="1" applyFont="1" applyFill="1" applyBorder="1" applyAlignment="1">
      <alignment horizontal="right" vertical="center"/>
    </xf>
    <xf numFmtId="164" fontId="10" fillId="0" borderId="1" xfId="13" applyNumberFormat="1" applyFont="1" applyFill="1" applyBorder="1" applyAlignment="1" applyProtection="1">
      <protection locked="0"/>
    </xf>
    <xf numFmtId="164" fontId="17" fillId="0" borderId="1" xfId="13" applyNumberFormat="1" applyFont="1" applyFill="1" applyBorder="1" applyAlignment="1" applyProtection="1">
      <protection locked="0"/>
    </xf>
    <xf numFmtId="0" fontId="10" fillId="0" borderId="0" xfId="13" applyFont="1" applyFill="1" applyAlignment="1" applyProtection="1">
      <protection locked="0"/>
    </xf>
    <xf numFmtId="0" fontId="10" fillId="0" borderId="0" xfId="13" applyFont="1" applyFill="1" applyAlignment="1" applyProtection="1">
      <alignment vertical="center"/>
      <protection locked="0"/>
    </xf>
    <xf numFmtId="0" fontId="10" fillId="4" borderId="1" xfId="17" applyFont="1" applyFill="1" applyBorder="1" applyAlignment="1">
      <alignment horizontal="left" vertical="center" wrapText="1" indent="2"/>
    </xf>
    <xf numFmtId="164" fontId="10" fillId="8" borderId="1" xfId="13" applyNumberFormat="1" applyFont="1" applyFill="1" applyBorder="1" applyAlignment="1" applyProtection="1">
      <protection locked="0"/>
    </xf>
    <xf numFmtId="164" fontId="10" fillId="0" borderId="0" xfId="13" applyNumberFormat="1" applyFont="1" applyFill="1" applyAlignment="1" applyProtection="1">
      <protection locked="0"/>
    </xf>
    <xf numFmtId="164" fontId="28" fillId="0" borderId="0" xfId="13" applyNumberFormat="1" applyFont="1" applyFill="1" applyProtection="1">
      <protection locked="0"/>
    </xf>
    <xf numFmtId="3" fontId="10" fillId="0" borderId="0" xfId="0" applyNumberFormat="1" applyFont="1"/>
    <xf numFmtId="179" fontId="10" fillId="0" borderId="0" xfId="0" applyNumberFormat="1" applyFont="1"/>
    <xf numFmtId="0" fontId="17" fillId="3" borderId="1" xfId="0" applyFont="1" applyFill="1" applyBorder="1" applyAlignment="1">
      <alignment horizontal="center" vertical="center" wrapText="1" shrinkToFit="1"/>
    </xf>
    <xf numFmtId="1" fontId="10" fillId="3" borderId="5" xfId="18" applyNumberFormat="1" applyFont="1" applyFill="1" applyBorder="1" applyAlignment="1">
      <alignment horizontal="center" vertical="center" wrapText="1" shrinkToFit="1"/>
    </xf>
    <xf numFmtId="0" fontId="17" fillId="5" borderId="1" xfId="0" applyFont="1" applyFill="1" applyBorder="1" applyAlignment="1">
      <alignment horizontal="left"/>
    </xf>
    <xf numFmtId="3" fontId="17" fillId="5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0" fontId="10" fillId="0" borderId="0" xfId="0" applyFont="1" applyAlignment="1">
      <alignment horizontal="right"/>
    </xf>
    <xf numFmtId="3" fontId="17" fillId="0" borderId="0" xfId="0" applyNumberFormat="1" applyFont="1"/>
    <xf numFmtId="0" fontId="17" fillId="0" borderId="6" xfId="0" applyFont="1" applyBorder="1" applyAlignment="1">
      <alignment horizontal="center"/>
    </xf>
    <xf numFmtId="0" fontId="23" fillId="0" borderId="1" xfId="0" applyFont="1" applyBorder="1" applyAlignment="1">
      <alignment horizontal="justify" vertical="top" wrapText="1"/>
    </xf>
    <xf numFmtId="3" fontId="10" fillId="0" borderId="1" xfId="0" applyNumberFormat="1" applyFont="1" applyBorder="1" applyAlignment="1">
      <alignment horizontal="right"/>
    </xf>
    <xf numFmtId="3" fontId="23" fillId="0" borderId="1" xfId="0" applyNumberFormat="1" applyFont="1" applyFill="1" applyBorder="1" applyAlignment="1">
      <alignment horizontal="right" vertical="top" wrapText="1"/>
    </xf>
    <xf numFmtId="3" fontId="23" fillId="0" borderId="1" xfId="0" applyNumberFormat="1" applyFont="1" applyBorder="1" applyAlignment="1">
      <alignment horizontal="right" vertical="top" wrapText="1"/>
    </xf>
    <xf numFmtId="176" fontId="23" fillId="0" borderId="1" xfId="0" applyNumberFormat="1" applyFont="1" applyBorder="1" applyAlignment="1">
      <alignment horizontal="right" vertical="top" wrapText="1"/>
    </xf>
    <xf numFmtId="0" fontId="24" fillId="0" borderId="1" xfId="0" applyFont="1" applyBorder="1" applyAlignment="1">
      <alignment horizontal="justify" vertical="top" wrapText="1"/>
    </xf>
    <xf numFmtId="9" fontId="24" fillId="0" borderId="1" xfId="0" applyNumberFormat="1" applyFont="1" applyBorder="1" applyAlignment="1">
      <alignment horizontal="right" vertical="top" wrapText="1"/>
    </xf>
    <xf numFmtId="9" fontId="23" fillId="0" borderId="1" xfId="0" applyNumberFormat="1" applyFont="1" applyBorder="1" applyAlignment="1">
      <alignment horizontal="right" vertical="top" wrapText="1"/>
    </xf>
    <xf numFmtId="0" fontId="17" fillId="9" borderId="1" xfId="0" applyFont="1" applyFill="1" applyBorder="1"/>
    <xf numFmtId="3" fontId="17" fillId="9" borderId="1" xfId="0" applyNumberFormat="1" applyFont="1" applyFill="1" applyBorder="1"/>
    <xf numFmtId="0" fontId="10" fillId="0" borderId="1" xfId="0" applyFont="1" applyBorder="1" applyAlignment="1">
      <alignment horizontal="center" vertical="center"/>
    </xf>
    <xf numFmtId="3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0" fillId="0" borderId="1" xfId="14" applyFont="1" applyBorder="1" applyAlignment="1">
      <alignment vertical="center"/>
    </xf>
    <xf numFmtId="3" fontId="10" fillId="0" borderId="1" xfId="14" applyNumberFormat="1" applyFont="1" applyFill="1" applyBorder="1" applyAlignment="1">
      <alignment horizontal="right" vertical="center"/>
    </xf>
    <xf numFmtId="0" fontId="17" fillId="0" borderId="1" xfId="14" applyFont="1" applyBorder="1" applyAlignment="1">
      <alignment vertical="center"/>
    </xf>
    <xf numFmtId="3" fontId="17" fillId="0" borderId="1" xfId="14" applyNumberFormat="1" applyFont="1" applyFill="1" applyBorder="1" applyAlignment="1">
      <alignment horizontal="right" vertical="center"/>
    </xf>
    <xf numFmtId="0" fontId="17" fillId="9" borderId="2" xfId="15" applyFont="1" applyFill="1" applyBorder="1" applyAlignment="1">
      <alignment vertical="center"/>
    </xf>
    <xf numFmtId="3" fontId="17" fillId="9" borderId="1" xfId="15" applyNumberFormat="1" applyFont="1" applyFill="1" applyBorder="1" applyAlignment="1">
      <alignment horizontal="center" vertical="center"/>
    </xf>
    <xf numFmtId="9" fontId="10" fillId="0" borderId="1" xfId="14" applyNumberFormat="1" applyFont="1" applyFill="1" applyBorder="1" applyAlignment="1">
      <alignment horizontal="right" vertical="center"/>
    </xf>
    <xf numFmtId="9" fontId="17" fillId="0" borderId="1" xfId="14" applyNumberFormat="1" applyFont="1" applyFill="1" applyBorder="1" applyAlignment="1">
      <alignment horizontal="right" vertical="center"/>
    </xf>
    <xf numFmtId="49" fontId="10" fillId="0" borderId="1" xfId="14" applyNumberFormat="1" applyFont="1" applyFill="1" applyBorder="1" applyAlignment="1">
      <alignment horizontal="right" vertical="center"/>
    </xf>
    <xf numFmtId="0" fontId="10" fillId="7" borderId="0" xfId="14" applyFont="1" applyFill="1"/>
    <xf numFmtId="169" fontId="10" fillId="0" borderId="1" xfId="14" applyNumberFormat="1" applyFont="1" applyFill="1" applyBorder="1" applyAlignment="1">
      <alignment horizontal="right" vertical="center"/>
    </xf>
    <xf numFmtId="0" fontId="17" fillId="0" borderId="0" xfId="14" applyFont="1" applyAlignment="1">
      <alignment vertical="center"/>
    </xf>
    <xf numFmtId="3" fontId="17" fillId="9" borderId="1" xfId="15" applyNumberFormat="1" applyFont="1" applyFill="1" applyBorder="1" applyAlignment="1">
      <alignment horizontal="center" vertical="center"/>
    </xf>
    <xf numFmtId="0" fontId="10" fillId="0" borderId="1" xfId="14" applyFont="1" applyBorder="1" applyAlignment="1">
      <alignment vertical="center" wrapText="1"/>
    </xf>
    <xf numFmtId="9" fontId="10" fillId="9" borderId="1" xfId="14" applyNumberFormat="1" applyFont="1" applyFill="1" applyBorder="1" applyAlignment="1">
      <alignment horizontal="right" vertical="center"/>
    </xf>
    <xf numFmtId="3" fontId="10" fillId="9" borderId="1" xfId="14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center"/>
    </xf>
    <xf numFmtId="168" fontId="10" fillId="0" borderId="1" xfId="14" applyNumberFormat="1" applyFont="1" applyFill="1" applyBorder="1" applyAlignment="1">
      <alignment horizontal="right" vertical="center"/>
    </xf>
    <xf numFmtId="0" fontId="17" fillId="3" borderId="1" xfId="0" applyFont="1" applyFill="1" applyBorder="1" applyAlignment="1">
      <alignment vertical="center"/>
    </xf>
    <xf numFmtId="0" fontId="17" fillId="9" borderId="1" xfId="0" applyFont="1" applyFill="1" applyBorder="1" applyAlignment="1">
      <alignment horizontal="center"/>
    </xf>
    <xf numFmtId="169" fontId="10" fillId="7" borderId="1" xfId="0" applyNumberFormat="1" applyFont="1" applyFill="1" applyBorder="1"/>
    <xf numFmtId="49" fontId="10" fillId="0" borderId="1" xfId="0" applyNumberFormat="1" applyFont="1" applyBorder="1" applyAlignment="1">
      <alignment horizontal="left" wrapText="1"/>
    </xf>
    <xf numFmtId="3" fontId="10" fillId="7" borderId="1" xfId="0" applyNumberFormat="1" applyFont="1" applyFill="1" applyBorder="1" applyAlignment="1">
      <alignment horizontal="center"/>
    </xf>
    <xf numFmtId="9" fontId="10" fillId="7" borderId="1" xfId="0" applyNumberFormat="1" applyFont="1" applyFill="1" applyBorder="1"/>
    <xf numFmtId="0" fontId="25" fillId="0" borderId="0" xfId="0" applyFont="1"/>
    <xf numFmtId="165" fontId="10" fillId="2" borderId="1" xfId="0" applyNumberFormat="1" applyFont="1" applyFill="1" applyBorder="1"/>
    <xf numFmtId="0" fontId="17" fillId="5" borderId="4" xfId="0" applyFont="1" applyFill="1" applyBorder="1"/>
    <xf numFmtId="0" fontId="17" fillId="5" borderId="4" xfId="0" applyFont="1" applyFill="1" applyBorder="1" applyAlignment="1">
      <alignment horizontal="center"/>
    </xf>
    <xf numFmtId="3" fontId="17" fillId="5" borderId="4" xfId="0" applyNumberFormat="1" applyFont="1" applyFill="1" applyBorder="1" applyAlignment="1">
      <alignment horizontal="center" wrapText="1" shrinkToFit="1"/>
    </xf>
    <xf numFmtId="3" fontId="17" fillId="5" borderId="4" xfId="0" applyNumberFormat="1" applyFont="1" applyFill="1" applyBorder="1"/>
    <xf numFmtId="0" fontId="10" fillId="0" borderId="7" xfId="0" applyFont="1" applyBorder="1"/>
    <xf numFmtId="0" fontId="10" fillId="0" borderId="8" xfId="0" applyFont="1" applyFill="1" applyBorder="1" applyAlignment="1">
      <alignment horizontal="center"/>
    </xf>
    <xf numFmtId="3" fontId="10" fillId="0" borderId="8" xfId="0" applyNumberFormat="1" applyFont="1" applyFill="1" applyBorder="1"/>
    <xf numFmtId="169" fontId="10" fillId="0" borderId="8" xfId="0" applyNumberFormat="1" applyFont="1" applyFill="1" applyBorder="1"/>
    <xf numFmtId="3" fontId="10" fillId="10" borderId="8" xfId="0" applyNumberFormat="1" applyFont="1" applyFill="1" applyBorder="1"/>
    <xf numFmtId="3" fontId="10" fillId="0" borderId="8" xfId="0" applyNumberFormat="1" applyFont="1" applyBorder="1"/>
    <xf numFmtId="3" fontId="10" fillId="0" borderId="9" xfId="0" applyNumberFormat="1" applyFont="1" applyBorder="1"/>
    <xf numFmtId="0" fontId="10" fillId="0" borderId="10" xfId="0" applyFont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165" fontId="10" fillId="0" borderId="1" xfId="0" applyNumberFormat="1" applyFont="1" applyFill="1" applyBorder="1"/>
    <xf numFmtId="3" fontId="10" fillId="11" borderId="1" xfId="0" applyNumberFormat="1" applyFont="1" applyFill="1" applyBorder="1"/>
    <xf numFmtId="3" fontId="10" fillId="7" borderId="11" xfId="0" applyNumberFormat="1" applyFont="1" applyFill="1" applyBorder="1"/>
    <xf numFmtId="3" fontId="10" fillId="0" borderId="11" xfId="0" applyNumberFormat="1" applyFont="1" applyFill="1" applyBorder="1"/>
    <xf numFmtId="0" fontId="10" fillId="0" borderId="10" xfId="0" applyFont="1" applyBorder="1"/>
    <xf numFmtId="0" fontId="10" fillId="0" borderId="12" xfId="0" applyFont="1" applyBorder="1"/>
    <xf numFmtId="0" fontId="10" fillId="0" borderId="13" xfId="0" applyFont="1" applyFill="1" applyBorder="1" applyAlignment="1">
      <alignment horizontal="center"/>
    </xf>
    <xf numFmtId="3" fontId="10" fillId="0" borderId="13" xfId="0" applyNumberFormat="1" applyFont="1" applyFill="1" applyBorder="1"/>
    <xf numFmtId="3" fontId="10" fillId="0" borderId="14" xfId="0" applyNumberFormat="1" applyFont="1" applyFill="1" applyBorder="1"/>
    <xf numFmtId="0" fontId="10" fillId="12" borderId="15" xfId="0" applyFont="1" applyFill="1" applyBorder="1"/>
    <xf numFmtId="0" fontId="10" fillId="12" borderId="15" xfId="0" applyFont="1" applyFill="1" applyBorder="1" applyAlignment="1">
      <alignment horizontal="center"/>
    </xf>
    <xf numFmtId="3" fontId="10" fillId="12" borderId="15" xfId="0" applyNumberFormat="1" applyFont="1" applyFill="1" applyBorder="1"/>
    <xf numFmtId="165" fontId="10" fillId="12" borderId="15" xfId="0" applyNumberFormat="1" applyFont="1" applyFill="1" applyBorder="1"/>
    <xf numFmtId="3" fontId="10" fillId="12" borderId="16" xfId="0" applyNumberFormat="1" applyFont="1" applyFill="1" applyBorder="1"/>
    <xf numFmtId="165" fontId="10" fillId="0" borderId="13" xfId="0" applyNumberFormat="1" applyFont="1" applyFill="1" applyBorder="1"/>
    <xf numFmtId="3" fontId="10" fillId="11" borderId="11" xfId="0" applyNumberFormat="1" applyFont="1" applyFill="1" applyBorder="1"/>
    <xf numFmtId="3" fontId="10" fillId="0" borderId="11" xfId="0" applyNumberFormat="1" applyFont="1" applyBorder="1"/>
    <xf numFmtId="0" fontId="10" fillId="0" borderId="17" xfId="0" applyFont="1" applyBorder="1"/>
    <xf numFmtId="0" fontId="10" fillId="0" borderId="15" xfId="0" applyFont="1" applyFill="1" applyBorder="1" applyAlignment="1">
      <alignment horizontal="center"/>
    </xf>
    <xf numFmtId="3" fontId="10" fillId="0" borderId="15" xfId="0" applyNumberFormat="1" applyFont="1" applyFill="1" applyBorder="1"/>
    <xf numFmtId="3" fontId="10" fillId="0" borderId="16" xfId="0" applyNumberFormat="1" applyFont="1" applyFill="1" applyBorder="1"/>
    <xf numFmtId="165" fontId="10" fillId="0" borderId="8" xfId="0" applyNumberFormat="1" applyFont="1" applyFill="1" applyBorder="1"/>
    <xf numFmtId="3" fontId="10" fillId="0" borderId="9" xfId="0" applyNumberFormat="1" applyFont="1" applyFill="1" applyBorder="1"/>
    <xf numFmtId="0" fontId="10" fillId="0" borderId="5" xfId="0" applyFont="1" applyBorder="1"/>
    <xf numFmtId="0" fontId="10" fillId="0" borderId="5" xfId="0" applyFont="1" applyBorder="1" applyAlignment="1">
      <alignment horizontal="center"/>
    </xf>
    <xf numFmtId="3" fontId="10" fillId="0" borderId="5" xfId="0" applyNumberFormat="1" applyFont="1" applyBorder="1"/>
    <xf numFmtId="0" fontId="10" fillId="0" borderId="0" xfId="0" quotePrefix="1" applyFont="1"/>
    <xf numFmtId="169" fontId="10" fillId="0" borderId="1" xfId="0" applyNumberFormat="1" applyFont="1" applyFill="1" applyBorder="1"/>
    <xf numFmtId="3" fontId="10" fillId="0" borderId="1" xfId="0" applyNumberFormat="1" applyFont="1" applyBorder="1" applyAlignment="1">
      <alignment horizontal="center"/>
    </xf>
    <xf numFmtId="169" fontId="10" fillId="7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10" fillId="0" borderId="18" xfId="0" applyFont="1" applyBorder="1"/>
    <xf numFmtId="0" fontId="10" fillId="0" borderId="4" xfId="0" applyFont="1" applyFill="1" applyBorder="1" applyAlignment="1">
      <alignment horizontal="center"/>
    </xf>
    <xf numFmtId="3" fontId="10" fillId="0" borderId="4" xfId="0" applyNumberFormat="1" applyFont="1" applyFill="1" applyBorder="1"/>
    <xf numFmtId="165" fontId="10" fillId="0" borderId="4" xfId="0" applyNumberFormat="1" applyFont="1" applyFill="1" applyBorder="1"/>
    <xf numFmtId="0" fontId="10" fillId="12" borderId="7" xfId="0" applyFont="1" applyFill="1" applyBorder="1"/>
    <xf numFmtId="0" fontId="10" fillId="12" borderId="8" xfId="0" applyFont="1" applyFill="1" applyBorder="1" applyAlignment="1">
      <alignment horizontal="center"/>
    </xf>
    <xf numFmtId="3" fontId="10" fillId="12" borderId="8" xfId="0" applyNumberFormat="1" applyFont="1" applyFill="1" applyBorder="1"/>
    <xf numFmtId="165" fontId="10" fillId="12" borderId="8" xfId="0" applyNumberFormat="1" applyFont="1" applyFill="1" applyBorder="1"/>
    <xf numFmtId="3" fontId="10" fillId="12" borderId="9" xfId="0" applyNumberFormat="1" applyFont="1" applyFill="1" applyBorder="1"/>
    <xf numFmtId="0" fontId="10" fillId="12" borderId="12" xfId="0" applyFont="1" applyFill="1" applyBorder="1"/>
    <xf numFmtId="0" fontId="10" fillId="12" borderId="13" xfId="0" applyFont="1" applyFill="1" applyBorder="1" applyAlignment="1">
      <alignment horizontal="center"/>
    </xf>
    <xf numFmtId="3" fontId="10" fillId="12" borderId="13" xfId="0" applyNumberFormat="1" applyFont="1" applyFill="1" applyBorder="1"/>
    <xf numFmtId="165" fontId="10" fillId="12" borderId="13" xfId="0" applyNumberFormat="1" applyFont="1" applyFill="1" applyBorder="1"/>
    <xf numFmtId="3" fontId="10" fillId="12" borderId="14" xfId="0" applyNumberFormat="1" applyFont="1" applyFill="1" applyBorder="1"/>
    <xf numFmtId="0" fontId="17" fillId="9" borderId="1" xfId="0" applyFont="1" applyFill="1" applyBorder="1" applyAlignment="1">
      <alignment horizontal="left" vertical="center"/>
    </xf>
    <xf numFmtId="3" fontId="17" fillId="9" borderId="1" xfId="0" applyNumberFormat="1" applyFont="1" applyFill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/>
    </xf>
    <xf numFmtId="0" fontId="17" fillId="9" borderId="1" xfId="0" applyFont="1" applyFill="1" applyBorder="1" applyAlignment="1">
      <alignment vertical="center"/>
    </xf>
    <xf numFmtId="0" fontId="17" fillId="9" borderId="1" xfId="0" applyFont="1" applyFill="1" applyBorder="1" applyAlignment="1">
      <alignment horizontal="center" vertical="center"/>
    </xf>
    <xf numFmtId="3" fontId="17" fillId="9" borderId="1" xfId="0" applyNumberFormat="1" applyFont="1" applyFill="1" applyBorder="1" applyAlignment="1">
      <alignment horizontal="center"/>
    </xf>
    <xf numFmtId="3" fontId="17" fillId="9" borderId="1" xfId="0" applyNumberFormat="1" applyFont="1" applyFill="1" applyBorder="1" applyAlignment="1">
      <alignment horizontal="center" wrapText="1" shrinkToFit="1"/>
    </xf>
    <xf numFmtId="3" fontId="17" fillId="0" borderId="1" xfId="0" applyNumberFormat="1" applyFont="1" applyFill="1" applyBorder="1"/>
    <xf numFmtId="165" fontId="17" fillId="0" borderId="1" xfId="0" applyNumberFormat="1" applyFont="1" applyFill="1" applyBorder="1"/>
    <xf numFmtId="0" fontId="17" fillId="0" borderId="1" xfId="0" applyFont="1" applyFill="1" applyBorder="1" applyAlignment="1">
      <alignment horizontal="left" vertical="center"/>
    </xf>
    <xf numFmtId="3" fontId="17" fillId="0" borderId="1" xfId="0" applyNumberFormat="1" applyFont="1" applyFill="1" applyBorder="1" applyAlignment="1">
      <alignment horizontal="center" vertical="center" wrapText="1" shrinkToFit="1"/>
    </xf>
    <xf numFmtId="175" fontId="17" fillId="0" borderId="1" xfId="0" applyNumberFormat="1" applyFont="1" applyFill="1" applyBorder="1"/>
    <xf numFmtId="3" fontId="10" fillId="7" borderId="1" xfId="0" applyNumberFormat="1" applyFont="1" applyFill="1" applyBorder="1" applyAlignment="1">
      <alignment horizontal="right"/>
    </xf>
    <xf numFmtId="3" fontId="17" fillId="9" borderId="1" xfId="0" applyNumberFormat="1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vertical="center"/>
    </xf>
    <xf numFmtId="0" fontId="10" fillId="9" borderId="1" xfId="0" applyFont="1" applyFill="1" applyBorder="1" applyAlignment="1">
      <alignment horizontal="center" vertical="center" wrapText="1"/>
    </xf>
    <xf numFmtId="3" fontId="29" fillId="0" borderId="0" xfId="0" applyNumberFormat="1" applyFont="1"/>
    <xf numFmtId="0" fontId="18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right"/>
    </xf>
    <xf numFmtId="3" fontId="10" fillId="0" borderId="1" xfId="0" applyNumberFormat="1" applyFont="1" applyFill="1" applyBorder="1" applyAlignment="1">
      <alignment vertical="center"/>
    </xf>
    <xf numFmtId="4" fontId="10" fillId="7" borderId="1" xfId="0" applyNumberFormat="1" applyFont="1" applyFill="1" applyBorder="1"/>
    <xf numFmtId="0" fontId="10" fillId="0" borderId="0" xfId="0" applyFont="1" applyAlignment="1">
      <alignment vertical="center"/>
    </xf>
    <xf numFmtId="169" fontId="10" fillId="0" borderId="4" xfId="0" applyNumberFormat="1" applyFont="1" applyBorder="1"/>
    <xf numFmtId="169" fontId="10" fillId="0" borderId="15" xfId="0" applyNumberFormat="1" applyFont="1" applyBorder="1"/>
    <xf numFmtId="169" fontId="10" fillId="0" borderId="5" xfId="0" applyNumberFormat="1" applyFont="1" applyBorder="1"/>
    <xf numFmtId="0" fontId="10" fillId="0" borderId="19" xfId="0" applyFont="1" applyBorder="1"/>
    <xf numFmtId="0" fontId="10" fillId="0" borderId="3" xfId="0" applyFont="1" applyBorder="1"/>
    <xf numFmtId="0" fontId="10" fillId="10" borderId="0" xfId="0" applyFont="1" applyFill="1"/>
    <xf numFmtId="3" fontId="10" fillId="7" borderId="1" xfId="0" applyNumberFormat="1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horizontal="right"/>
    </xf>
    <xf numFmtId="0" fontId="30" fillId="0" borderId="0" xfId="30" applyAlignment="1" applyProtection="1">
      <alignment vertical="center"/>
    </xf>
    <xf numFmtId="0" fontId="17" fillId="9" borderId="1" xfId="14" applyFont="1" applyFill="1" applyBorder="1" applyAlignment="1">
      <alignment vertical="center"/>
    </xf>
    <xf numFmtId="3" fontId="17" fillId="9" borderId="1" xfId="14" applyNumberFormat="1" applyFont="1" applyFill="1" applyBorder="1" applyAlignment="1">
      <alignment horizontal="right" vertical="center"/>
    </xf>
    <xf numFmtId="0" fontId="10" fillId="0" borderId="0" xfId="0" applyFont="1" applyAlignment="1">
      <alignment wrapText="1"/>
    </xf>
    <xf numFmtId="3" fontId="29" fillId="0" borderId="0" xfId="18" applyNumberFormat="1" applyFont="1" applyFill="1" applyBorder="1" applyAlignment="1">
      <alignment wrapText="1" shrinkToFit="1"/>
    </xf>
    <xf numFmtId="3" fontId="17" fillId="9" borderId="1" xfId="15" applyNumberFormat="1" applyFont="1" applyFill="1" applyBorder="1" applyAlignment="1">
      <alignment horizontal="center" vertical="center"/>
    </xf>
    <xf numFmtId="3" fontId="17" fillId="9" borderId="2" xfId="15" applyNumberFormat="1" applyFont="1" applyFill="1" applyBorder="1" applyAlignment="1">
      <alignment vertical="center"/>
    </xf>
    <xf numFmtId="3" fontId="17" fillId="9" borderId="3" xfId="15" applyNumberFormat="1" applyFont="1" applyFill="1" applyBorder="1" applyAlignment="1">
      <alignment vertical="center"/>
    </xf>
    <xf numFmtId="3" fontId="17" fillId="9" borderId="19" xfId="15" applyNumberFormat="1" applyFont="1" applyFill="1" applyBorder="1" applyAlignment="1">
      <alignment vertical="center"/>
    </xf>
    <xf numFmtId="3" fontId="17" fillId="9" borderId="5" xfId="15" applyNumberFormat="1" applyFont="1" applyFill="1" applyBorder="1" applyAlignment="1">
      <alignment horizontal="center" vertical="center"/>
    </xf>
    <xf numFmtId="3" fontId="17" fillId="9" borderId="2" xfId="15" applyNumberFormat="1" applyFont="1" applyFill="1" applyBorder="1" applyAlignment="1">
      <alignment horizontal="center" vertical="center"/>
    </xf>
    <xf numFmtId="0" fontId="17" fillId="0" borderId="4" xfId="18" applyFont="1" applyFill="1" applyBorder="1" applyAlignment="1">
      <alignment horizontal="center" vertical="center" wrapText="1"/>
    </xf>
    <xf numFmtId="0" fontId="17" fillId="0" borderId="5" xfId="18" applyFont="1" applyFill="1" applyBorder="1" applyAlignment="1">
      <alignment horizontal="center" vertical="center" wrapText="1"/>
    </xf>
    <xf numFmtId="0" fontId="17" fillId="0" borderId="1" xfId="18" applyFont="1" applyFill="1" applyBorder="1" applyAlignment="1">
      <alignment horizontal="center" vertical="center" wrapText="1"/>
    </xf>
    <xf numFmtId="164" fontId="17" fillId="3" borderId="19" xfId="18" applyNumberFormat="1" applyFont="1" applyFill="1" applyBorder="1" applyAlignment="1">
      <alignment horizontal="center" vertical="center"/>
    </xf>
    <xf numFmtId="0" fontId="17" fillId="3" borderId="19" xfId="18" applyFont="1" applyFill="1" applyBorder="1" applyAlignment="1">
      <alignment horizontal="center" vertical="center"/>
    </xf>
    <xf numFmtId="0" fontId="17" fillId="3" borderId="3" xfId="18" applyFont="1" applyFill="1" applyBorder="1" applyAlignment="1">
      <alignment horizontal="center" vertical="center"/>
    </xf>
    <xf numFmtId="164" fontId="17" fillId="3" borderId="1" xfId="18" applyNumberFormat="1" applyFont="1" applyFill="1" applyBorder="1" applyAlignment="1">
      <alignment horizontal="center" vertical="center" wrapText="1" shrinkToFit="1"/>
    </xf>
    <xf numFmtId="0" fontId="17" fillId="3" borderId="20" xfId="18" applyFont="1" applyFill="1" applyBorder="1" applyAlignment="1">
      <alignment horizontal="center" vertical="center" wrapText="1" shrinkToFit="1"/>
    </xf>
    <xf numFmtId="0" fontId="17" fillId="3" borderId="21" xfId="18" applyFont="1" applyFill="1" applyBorder="1" applyAlignment="1">
      <alignment horizontal="center" vertical="center" wrapText="1" shrinkToFit="1"/>
    </xf>
    <xf numFmtId="0" fontId="17" fillId="3" borderId="4" xfId="18" applyFont="1" applyFill="1" applyBorder="1" applyAlignment="1">
      <alignment horizontal="center" vertical="center" wrapText="1" shrinkToFit="1"/>
    </xf>
    <xf numFmtId="0" fontId="17" fillId="3" borderId="5" xfId="18" applyFont="1" applyFill="1" applyBorder="1" applyAlignment="1">
      <alignment horizontal="center" vertical="center" wrapText="1" shrinkToFit="1"/>
    </xf>
    <xf numFmtId="0" fontId="17" fillId="3" borderId="1" xfId="18" applyFont="1" applyFill="1" applyBorder="1" applyAlignment="1">
      <alignment horizontal="center" vertical="center" wrapText="1" shrinkToFit="1"/>
    </xf>
    <xf numFmtId="0" fontId="17" fillId="3" borderId="4" xfId="18" applyFont="1" applyFill="1" applyBorder="1" applyAlignment="1">
      <alignment horizontal="center" vertical="center"/>
    </xf>
    <xf numFmtId="0" fontId="17" fillId="3" borderId="5" xfId="18" applyFont="1" applyFill="1" applyBorder="1" applyAlignment="1">
      <alignment horizontal="center" vertical="center"/>
    </xf>
    <xf numFmtId="0" fontId="17" fillId="3" borderId="20" xfId="19" applyFont="1" applyFill="1" applyBorder="1" applyAlignment="1">
      <alignment horizontal="center" vertical="center" wrapText="1" shrinkToFit="1"/>
    </xf>
    <xf numFmtId="0" fontId="17" fillId="3" borderId="21" xfId="19" applyFont="1" applyFill="1" applyBorder="1" applyAlignment="1">
      <alignment horizontal="center" vertical="center" wrapText="1" shrinkToFit="1"/>
    </xf>
    <xf numFmtId="0" fontId="17" fillId="3" borderId="1" xfId="19" applyFont="1" applyFill="1" applyBorder="1" applyAlignment="1">
      <alignment horizontal="center" vertical="center"/>
    </xf>
    <xf numFmtId="164" fontId="17" fillId="3" borderId="1" xfId="19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1" xfId="19" applyFont="1" applyFill="1" applyBorder="1" applyAlignment="1">
      <alignment horizontal="center" vertical="center" wrapText="1"/>
    </xf>
    <xf numFmtId="164" fontId="17" fillId="3" borderId="2" xfId="18" applyNumberFormat="1" applyFont="1" applyFill="1" applyBorder="1" applyAlignment="1">
      <alignment horizontal="center" vertical="center" wrapText="1" shrinkToFit="1"/>
    </xf>
    <xf numFmtId="164" fontId="17" fillId="3" borderId="19" xfId="18" applyNumberFormat="1" applyFont="1" applyFill="1" applyBorder="1" applyAlignment="1">
      <alignment horizontal="center" vertical="center" wrapText="1" shrinkToFit="1"/>
    </xf>
    <xf numFmtId="164" fontId="17" fillId="3" borderId="3" xfId="18" applyNumberFormat="1" applyFont="1" applyFill="1" applyBorder="1" applyAlignment="1">
      <alignment horizontal="center" vertical="center" wrapText="1" shrinkToFit="1"/>
    </xf>
    <xf numFmtId="0" fontId="17" fillId="9" borderId="4" xfId="15" applyFont="1" applyFill="1" applyBorder="1" applyAlignment="1">
      <alignment horizontal="left" vertical="center"/>
    </xf>
    <xf numFmtId="0" fontId="17" fillId="9" borderId="5" xfId="15" applyFont="1" applyFill="1" applyBorder="1" applyAlignment="1">
      <alignment horizontal="left" vertical="center"/>
    </xf>
    <xf numFmtId="3" fontId="10" fillId="0" borderId="1" xfId="14" applyNumberFormat="1" applyFont="1" applyFill="1" applyBorder="1" applyAlignment="1">
      <alignment horizontal="center" vertical="center"/>
    </xf>
  </cellXfs>
  <cellStyles count="31">
    <cellStyle name="_Бюджет_2007_3_22,12,06 вар.после набл.совета" xfId="1"/>
    <cellStyle name="Euro" xfId="2"/>
    <cellStyle name="Flag" xfId="3"/>
    <cellStyle name="Milliers [0]_JULY97" xfId="4"/>
    <cellStyle name="Milliers_JULY97" xfId="5"/>
    <cellStyle name="Monétaire [0]_JULY97" xfId="6"/>
    <cellStyle name="Monétaire_JULY97" xfId="7"/>
    <cellStyle name="Normal_Assump." xfId="8"/>
    <cellStyle name="Option" xfId="9"/>
    <cellStyle name="Price" xfId="10"/>
    <cellStyle name="Unit" xfId="11"/>
    <cellStyle name="Гиперссылка" xfId="30" builtinId="8"/>
    <cellStyle name="Обычный" xfId="0" builtinId="0"/>
    <cellStyle name="Обычный_Алтын-ОрдаНовыйБП" xfId="12"/>
    <cellStyle name="Обычный_Алтын-ОрдаНовыйБП 2" xfId="13"/>
    <cellStyle name="Обычный_БП кир завод 3.3  (40 млн. +20 забут реал на 18.07.06 для АФ увел курс)" xfId="14"/>
    <cellStyle name="Обычный_Копия cityrus4-18 лет СМР 52 млн $" xfId="15"/>
    <cellStyle name="Обычный_НовыйМир" xfId="16"/>
    <cellStyle name="Обычный_ПереченьКЗ" xfId="17"/>
    <cellStyle name="Обычный_Формы отчетов" xfId="18"/>
    <cellStyle name="Обычный_Формы отчетов 2" xfId="19"/>
    <cellStyle name="Процентный" xfId="20" builtinId="5"/>
    <cellStyle name="Процентный 2" xfId="21"/>
    <cellStyle name="Стиль 1" xfId="22"/>
    <cellStyle name="Тысячи [0]" xfId="23"/>
    <cellStyle name="Финансовый" xfId="24" builtinId="3"/>
    <cellStyle name="桁区切り [0.00]_PERSONAL" xfId="25"/>
    <cellStyle name="桁区切り_PERSONAL" xfId="26"/>
    <cellStyle name="標準_PERSONAL" xfId="27"/>
    <cellStyle name="通貨 [0.00]_PERSONAL" xfId="28"/>
    <cellStyle name="通貨_PERSONAL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26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42" Type="http://schemas.openxmlformats.org/officeDocument/2006/relationships/externalLink" Target="externalLinks/externalLink29.xml"/><Relationship Id="rId47" Type="http://schemas.openxmlformats.org/officeDocument/2006/relationships/externalLink" Target="externalLinks/externalLink34.xml"/><Relationship Id="rId50" Type="http://schemas.openxmlformats.org/officeDocument/2006/relationships/externalLink" Target="externalLinks/externalLink37.xml"/><Relationship Id="rId55" Type="http://schemas.openxmlformats.org/officeDocument/2006/relationships/externalLink" Target="externalLinks/externalLink42.xml"/><Relationship Id="rId63" Type="http://schemas.openxmlformats.org/officeDocument/2006/relationships/externalLink" Target="externalLinks/externalLink50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externalLink" Target="externalLinks/externalLink27.xml"/><Relationship Id="rId45" Type="http://schemas.openxmlformats.org/officeDocument/2006/relationships/externalLink" Target="externalLinks/externalLink32.xml"/><Relationship Id="rId53" Type="http://schemas.openxmlformats.org/officeDocument/2006/relationships/externalLink" Target="externalLinks/externalLink40.xml"/><Relationship Id="rId58" Type="http://schemas.openxmlformats.org/officeDocument/2006/relationships/externalLink" Target="externalLinks/externalLink45.xml"/><Relationship Id="rId66" Type="http://schemas.openxmlformats.org/officeDocument/2006/relationships/externalLink" Target="externalLinks/externalLink5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externalLink" Target="externalLinks/externalLink36.xml"/><Relationship Id="rId57" Type="http://schemas.openxmlformats.org/officeDocument/2006/relationships/externalLink" Target="externalLinks/externalLink44.xml"/><Relationship Id="rId61" Type="http://schemas.openxmlformats.org/officeDocument/2006/relationships/externalLink" Target="externalLinks/externalLink4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4" Type="http://schemas.openxmlformats.org/officeDocument/2006/relationships/externalLink" Target="externalLinks/externalLink31.xml"/><Relationship Id="rId52" Type="http://schemas.openxmlformats.org/officeDocument/2006/relationships/externalLink" Target="externalLinks/externalLink39.xml"/><Relationship Id="rId60" Type="http://schemas.openxmlformats.org/officeDocument/2006/relationships/externalLink" Target="externalLinks/externalLink47.xml"/><Relationship Id="rId65" Type="http://schemas.openxmlformats.org/officeDocument/2006/relationships/externalLink" Target="externalLinks/externalLink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Relationship Id="rId48" Type="http://schemas.openxmlformats.org/officeDocument/2006/relationships/externalLink" Target="externalLinks/externalLink35.xml"/><Relationship Id="rId56" Type="http://schemas.openxmlformats.org/officeDocument/2006/relationships/externalLink" Target="externalLinks/externalLink43.xml"/><Relationship Id="rId64" Type="http://schemas.openxmlformats.org/officeDocument/2006/relationships/externalLink" Target="externalLinks/externalLink51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externalLink" Target="externalLinks/externalLink33.xml"/><Relationship Id="rId59" Type="http://schemas.openxmlformats.org/officeDocument/2006/relationships/externalLink" Target="externalLinks/externalLink46.xml"/><Relationship Id="rId67" Type="http://schemas.openxmlformats.org/officeDocument/2006/relationships/theme" Target="theme/theme1.xml"/><Relationship Id="rId20" Type="http://schemas.openxmlformats.org/officeDocument/2006/relationships/externalLink" Target="externalLinks/externalLink7.xml"/><Relationship Id="rId41" Type="http://schemas.openxmlformats.org/officeDocument/2006/relationships/externalLink" Target="externalLinks/externalLink28.xml"/><Relationship Id="rId54" Type="http://schemas.openxmlformats.org/officeDocument/2006/relationships/externalLink" Target="externalLinks/externalLink41.xml"/><Relationship Id="rId62" Type="http://schemas.openxmlformats.org/officeDocument/2006/relationships/externalLink" Target="externalLinks/externalLink49.xml"/><Relationship Id="rId7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al.Mamedov\AppData\Local\Microsoft\Windows\Temporary%20Internet%20Files\Content.Outlook\WONEYSZJ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al.Mamedov\AppData\Local\Microsoft\Windows\Temporary%20Internet%20Files\Content.Outlook\WONEYSZJ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054;&#1073;&#1097;&#1080;&#1077;%20&#1076;&#1086;&#1082;&#1091;&#1084;&#1077;&#1085;&#1090;&#1099;\Documents%20and%20Settings\k_abdrahmanov\&#1056;&#1072;&#1073;&#1086;&#1095;&#1080;&#1081;%20&#1089;&#1090;&#1086;&#1083;\&#1048;&#1085;&#1092;&#1086;%20&#1040;&#1082;&#1090;&#1086;&#1073;&#1077;\&#1085;&#1086;&#1074;&#1099;&#1081;%20&#1041;&#1055;%20%20&#1080;&#1089;&#1087;&#1088;%20&#1089;%20&#1091;&#1095;.%20&#1092;&#1080;&#1085;.%20NB%2007.02.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shpan_zh\temp\ERLAN\Zakluchenia\&#1047;&#1077;&#1088;&#1085;&#1086;&#1074;&#1072;&#1103;_&#1051;&#1050;\Proj_&#1047;&#1051;&#1050;_&#1087;&#1096;&#1077;&#1085;&#1080;&#1094;&#1072;_50%25_&#1083;&#1080;&#1079;_&#1087;&#1083;&#1072;&#109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086;&#1073;&#1097;&#1080;&#1077;%20&#1076;&#1086;&#1082;&#1091;&#1084;&#1077;&#1085;&#1090;&#1099;\&#1050;&#1091;&#1089;&#1084;&#1072;&#1085;&#1086;&#1074;%20&#1046;&#1077;&#1085;&#1080;&#1089;%20&#1050;&#1072;&#1081;&#1088;&#1073;&#1072;&#1077;&#1074;&#1080;&#1095;\&#1041;&#1055;%20&#1097;&#1077;&#1073;&#1077;&#1085;&#1100;%201.05%20&#1076;&#1083;&#1103;%20&#1041;&#1058;&#104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2;&#1051;&#1044;&#1050;%20&#1060;3+&#1060;2%20&#1073;&#1077;&#1079;%20&#1048;&#1060;&#105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6A75EE9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G_SVEC~1\LOCALS~1\Temp\bat\6A75EE9B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86;&#1089;&#1089;&#1090;&#1072;&#1085;&#1086;&#1074;&#1083;&#1077;&#1085;&#1085;&#1072;&#1103;_&#1074;&#1085;&#1077;&#1096;&#1085;&#1103;&#1103;_&#1089;&#1089;&#1099;&#1083;&#1082;&#1072;1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al.Mamedov\AppData\Local\Microsoft\Windows\Temporary%20Internet%20Files\Content.Outlook\WONEYSZJ\DOCUME~1\G_SVEC~1\LOCALS~1\Temp\bat\6A75EE9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al.Mamedov\AppData\Local\Microsoft\Windows\Temporary%20Internet%20Files\Content.Outlook\WONEYSZJ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086;&#1073;&#1097;&#1080;&#1077;%20&#1076;&#1086;&#1082;&#1091;&#1084;&#1077;&#1085;&#1090;&#1099;\&#1052;&#1086;&#1080;%20&#1076;&#1086;&#1082;&#1091;&#1084;&#1077;&#1085;&#1090;&#1099;\&#1041;%20&#1055;\&#1047;&#1072;&#1074;&#1086;&#1076;%20&#1084;&#1080;&#1085;&#1077;&#1088;&#1072;&#1083;&#1086;&#1074;&#1072;&#1090;&#1085;&#1099;&#1093;%20&#1080;&#1079;&#1076;&#1077;&#1083;&#1080;&#1081;\Proj_&#1057;&#1072;&#1088;&#1076;&#1072;&#1083;&#1072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AHMETO~1\LOCALS~1\Temp\Rar$DI00.531\&#1041;&#1102;&#1076;&#1078;&#1077;&#1090;&#1055;&#1088;&#1086;&#1076;&#1072;&#1078;&#1042;&#1085;&#1077;&#1096;&#1085;&#1080;&#1081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51;&#1044;&#1050;%20&#1060;3+&#1060;2%20&#1073;&#1077;&#1079;%20&#1048;&#1060;&#10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al.Mamedov\AppData\Local\Microsoft\Windows\Temporary%20Internet%20Files\Content.Outlook\WONEYSZJ\&#1052;&#1086;&#1080;%20&#1076;&#1086;&#1082;&#1091;&#1084;&#1077;&#1085;&#1090;&#1099;\&#1055;&#1056;&#1054;&#1045;&#1050;&#1058;&#1067;\&#1041;&#1055;%20&#1070;&#1076;&#1072;&#1096;&#1082;&#1080;&#1085;\&#1052;&#1051;&#1044;&#1050;%20&#1060;3+&#1060;2%20&#1073;&#1077;&#1079;%20&#1048;&#1060;&#105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al.Mamedov\AppData\Local\Microsoft\Windows\Temporary%20Internet%20Files\Content.Outlook\WONEYSZJ\&#1052;&#1051;&#1044;&#1050;%20&#1060;3+&#1060;2%20&#1073;&#1077;&#1079;%20&#1048;&#1060;&#105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shpan_zh\temp\ERLAN\Zakluchenia\&#1040;&#1050;&#1058;&#1048;&#1042;\Proj_&#1040;&#1050;&#1058;&#1048;&#1042;_7&#1083;&#1077;&#1090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086;&#1073;&#1097;&#1080;&#1077;%20&#1076;&#1086;&#1082;&#1091;&#1084;&#1077;&#1085;&#1090;&#1099;\WINDOWS\TEMP\Rar$DI01.712\&#1069;&#1082;&#1086;&#1090;&#1086;&#1085;%2011.03.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6;&#1072;&#1089;&#1095;&#1077;&#1090;%20&#1090;&#1077;&#1082;&#1089;&#1090;&#1080;&#1083;&#1100;_&#1089;%20&#1082;&#1086;&#1088;_01.05.1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al.Mamedov\AppData\Local\Microsoft\Windows\Temporary%20Internet%20Files\Content.Outlook\WONEYSZJ\Documents%20and%20Settings\q\&#1056;&#1072;&#1073;&#1086;&#1095;&#1080;&#1081;%20&#1089;&#1090;&#1086;&#1083;\&#1056;&#1040;&#1057;&#1063;&#1045;&#1058;&#1067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smanov\&#1052;&#1086;&#1080;%20&#1076;&#1086;&#1082;&#1091;&#1084;&#1077;&#1085;&#1090;&#1099;\Documents%20and%20Settings\kusmanov\Desktop\&#1069;&#1082;&#1086;&#1090;&#1086;&#1085;+_&#1040;&#1082;&#1090;&#1102;&#1073;&#1080;&#1085;&#1089;&#1082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50_&#1040;&#1075;&#1088;&#1086;&#1093;&#1086;&#1083;&#1076;&#1080;&#1085;&#1075;\_&#1043;&#1086;&#1090;&#1086;&#1074;&#1099;&#1077;%20&#1074;&#1072;&#1088;&#1080;&#1072;&#1085;&#1090;&#1099;\&#1085;&#1072;%2026.08.11_&#1074;&#1077;&#1090;&#1088;&#1103;&#1082;&#1080;\&#1056;&#1072;&#1089;&#1095;&#1077;&#1090;%20&#1040;&#1055;&#1050;_26.08.11%20-%20&#1082;&#1086;&#1087;&#1080;&#1103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tes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s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50_&#1040;&#1075;&#1088;&#1086;&#1093;&#1086;&#1083;&#1076;&#1080;&#1085;&#1075;\_&#1043;&#1086;&#1090;&#1086;&#1074;&#1099;&#1077;%20&#1074;&#1072;&#1088;&#1080;&#1072;&#1085;&#1090;&#1099;\&#1085;&#1072;%2026.08.11_&#1074;&#1077;&#1090;&#1088;&#1103;&#1082;&#1080;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9_&#1055;&#1088;&#1086;&#1080;&#1079;&#1074;&#1086;&#1076;&#1089;&#1090;&#1074;&#1086;%20&#1082;&#1080;&#1089;&#1083;&#1086;&#1084;&#1086;&#1083;&#1086;&#1095;&#1085;&#1099;&#1093;%20&#1085;&#1072;&#1087;&#1080;&#1090;&#1082;&#1086;&#1074;\tes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al.Mamedov\AppData\Local\Microsoft\Windows\Temporary%20Internet%20Files\Content.Outlook\WONEYSZJ\tes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086;&#1073;&#1097;&#1080;&#1077;%20&#1076;&#1086;&#1082;&#1091;&#1084;&#1077;&#1085;&#1090;&#1099;\&#1052;&#1086;&#1080;%20&#1076;&#1086;&#1082;&#1091;&#1084;&#1077;&#1085;&#1090;&#1099;\&#1064;&#1072;&#1073;&#1083;&#1086;&#1085;&#1099;\&#1064;&#1072;&#1073;&#1083;&#1086;&#1085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I_FROL~1\LOCALS~1\Temp\bat\ENKI\&#1053;&#1077;&#1088;&#1091;&#1076;%20&#1084;&#1086;&#1080;%20&#1088;&#1072;&#1089;&#1095;&#1105;&#1090;&#109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65_&#1069;&#1083;&#1077;&#1074;&#1072;&#1090;&#1086;&#1088;&#1099;\_&#1056;&#1072;&#1089;&#1095;&#1077;&#1090;&#1099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I_FROL~1\LOCALS~1\Temp\bat\ENKI\&#1053;&#1077;&#1088;&#1091;&#1076;%20&#1084;&#1086;&#1080;%20&#1088;&#1072;&#1089;&#1095;&#1105;&#1090;&#1099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al.Mamedov\AppData\Local\Microsoft\Windows\Temporary%20Internet%20Files\Content.Outlook\WONEYSZJ\DOCUME~1\I_FROL~1\LOCALS~1\Temp\bat\ENKI\&#1053;&#1077;&#1088;&#1091;&#1076;%20&#1084;&#1086;&#1080;%20&#1088;&#1072;&#1089;&#1095;&#1105;&#1090;&#1099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15E674EE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G_SVEC~1\LOCALS~1\Temp\bat\15E674E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al.Mamedov\AppData\Local\Microsoft\Windows\Temporary%20Internet%20Files\Content.Outlook\WONEYSZJ\DOCUME~1\G_SVEC~1\LOCALS~1\Temp\bat\15E674EE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al.Mamedov\AppData\Local\Microsoft\Windows\Temporary%20Internet%20Files\Content.Outlook\WONEYSZJ\&#1052;&#1086;&#1080;%20&#1076;&#1086;&#1082;&#1091;&#1084;&#1077;&#1085;&#1090;&#1099;\&#1055;&#1056;&#1054;&#1045;&#1050;&#1058;&#1067;\&#1041;&#1055;%20&#1070;&#1076;&#1072;&#1096;&#1082;&#1080;&#1085;\&#1070;&#1076;&#1072;&#1096;&#1082;&#1080;&#1085;%20&#1075;&#1086;&#1090;&#1086;&#1074;&#1099;&#1081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al.Mamedov\AppData\Local\Microsoft\Windows\Temporary%20Internet%20Files\Content.Outlook\WONEYSZJ\&#1052;&#1086;&#1080;%20&#1076;&#1086;&#1082;&#1091;&#1084;&#1077;&#1085;&#1090;&#1099;\&#1055;&#1056;&#1054;&#1045;&#1050;&#1058;&#1067;\&#1055;&#1088;&#1086;&#1095;&#1080;&#1077;%20&#1087;&#1088;&#1086;&#1077;&#1082;&#1090;&#1099;\&#1050;&#1072;&#1092;&#1077;\&#1058;&#1069;&#1054;%2010.09.08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6;&#1072;&#1089;&#1095;&#1077;&#1090;%20&#1087;&#1086;%20&#1084;&#1080;&#1085;&#1080;&#1084;&#1072;&#1088;&#1082;&#1077;&#1090;&#1091;%2011,5%25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086;&#1073;&#1097;&#1080;&#1077;%20&#1076;&#1086;&#1082;&#1091;&#1084;&#1077;&#1085;&#1090;&#1099;\Documents%20and%20Settings\m_anfinogenov\&#1056;&#1072;&#1073;&#1086;&#1095;&#1080;&#1081;%20&#1089;&#1090;&#1086;&#1083;\&#1047;&#1086;&#1083;&#1086;&#1090;&#1086;&#1081;%20&#1087;&#1088;&#1080;&#1080;&#1089;&#1082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al.Mamedov\AppData\Local\Microsoft\Windows\Temporary%20Internet%20Files\Content.Outlook\WONEYSZJ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al.Mamedov\AppData\Local\Microsoft\Windows\Temporary%20Internet%20Files\Content.Outlook\WONEYSZJ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L_&#1047;&#1077;&#1088;&#1085;&#1051;&#105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086;&#1073;&#1097;&#1080;&#1077;%20&#1076;&#1086;&#1082;&#1091;&#1084;&#1077;&#1085;&#1090;&#1099;\Documents%20and%20Settings\kusmanov\&#1052;&#1086;&#1080;%20&#1076;&#1086;&#1082;&#1091;&#1084;&#1077;&#1085;&#1090;&#1099;\&#1048;&#1085;&#1092;&#1086;&#1088;&#1084;\&#1041;&#1087;%20breton\&#1041;&#1087;%20bret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086;&#1073;&#1097;&#1080;&#1077;%20&#1076;&#1086;&#1082;&#1091;&#1084;&#1077;&#1085;&#1090;&#1099;\DOCUME~1\GH_KUS~1\LOCALS~1\Temp\bat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 refreshError="1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0.14000000000000001</v>
          </cell>
          <cell r="E42">
            <v>0.14000000000000001</v>
          </cell>
          <cell r="F42">
            <v>0.14000000000000001</v>
          </cell>
          <cell r="G42">
            <v>0.14000000000000001</v>
          </cell>
          <cell r="H42">
            <v>0.14000000000000001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3812038.8349514562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823002.24047796871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1170104.3400000001</v>
          </cell>
          <cell r="I20" t="str">
            <v>2,5</v>
          </cell>
          <cell r="L20">
            <v>0</v>
          </cell>
          <cell r="P20">
            <v>815434.58215568983</v>
          </cell>
          <cell r="Q20" t="str">
            <v>2,5</v>
          </cell>
          <cell r="T20">
            <v>0</v>
          </cell>
        </row>
        <row r="21">
          <cell r="C21" t="str">
            <v xml:space="preserve"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 xml:space="preserve"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1580858.6342494399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291262.13592233008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86826.347305389223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543485.02994011971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625748.50299401197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543485.02994011971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598802.39520958089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359281.43712574849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209580.83832335329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21916.167664670658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10958.083832335329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419161.67664670659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802091.11277072446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1143611.6504854369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627333.83121732634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309185.95967139659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89619.118745332336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87378.640776699031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246900.67214339061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 xml:space="preserve">Прочее оборудование </v>
          </cell>
          <cell r="H78">
            <v>0</v>
          </cell>
          <cell r="L78">
            <v>47904.191616766468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 xml:space="preserve"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 xml:space="preserve"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62733.383121732601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30246.452576549698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504107.54294249439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138909.63405526499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38922.155688622799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2195380.6387231951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26828350.045520891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26828350.045520891</v>
          </cell>
          <cell r="P240">
            <v>53230393.902544037</v>
          </cell>
          <cell r="T240">
            <v>0</v>
          </cell>
        </row>
      </sheetData>
      <sheetData sheetId="18" refreshError="1"/>
      <sheetData sheetId="19" refreshError="1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 xml:space="preserve"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0" refreshError="1"/>
      <sheetData sheetId="21" refreshError="1">
        <row r="125">
          <cell r="F125">
            <v>1252742.881713433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RR"/>
      <sheetName val="Ф3"/>
      <sheetName val="Ф2"/>
      <sheetName val="ПриобрОС"/>
      <sheetName val="Фин. пок-ли"/>
      <sheetName val="Пр-во сбыт"/>
      <sheetName val="Врем.смета"/>
      <sheetName val="Перем. затр"/>
      <sheetName val="Пост.затр"/>
      <sheetName val="Затр. на про-во"/>
      <sheetName val="штат"/>
      <sheetName val="АФ1"/>
      <sheetName val="АФ"/>
      <sheetName val="БВУ"/>
      <sheetName val="Доп"/>
      <sheetName val="Ф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7">
          <cell r="C17">
            <v>0.13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ИсхД+"/>
      <sheetName val="КапЗатр+"/>
      <sheetName val="Вып1+"/>
      <sheetName val="Капит_1"/>
      <sheetName val="Вып2"/>
      <sheetName val="Капит_2"/>
      <sheetName val="Вып3"/>
      <sheetName val="Капит_3"/>
      <sheetName val="Вып4"/>
      <sheetName val="Капит_4"/>
      <sheetName val="СвВып+"/>
      <sheetName val="Аморт"/>
      <sheetName val="ВырРеал+"/>
      <sheetName val="Зерно"/>
      <sheetName val="Зерно_1"/>
      <sheetName val="Себест+"/>
      <sheetName val="ОбКап+"/>
      <sheetName val="Нетто3!!!"/>
      <sheetName val="отчприб1"/>
      <sheetName val="РостАкт+"/>
      <sheetName val="Приб+"/>
      <sheetName val="ПотокНал+"/>
      <sheetName val="потокден1"/>
      <sheetName val="ФинПок+"/>
      <sheetName val="Налоги"/>
      <sheetName val="СтоимПр1+"/>
      <sheetName val="СтоимПр2"/>
      <sheetName val="ЗЛК_осн"/>
      <sheetName val="ЗЛК_%"/>
      <sheetName val="ЗЛК_цена"/>
      <sheetName val="Не_удалять!!!"/>
      <sheetName val="Графики"/>
      <sheetName val="ПрогБал"/>
      <sheetName val="КоэфЧувств-ти"/>
      <sheetName val="РезЧувств"/>
      <sheetName val="Залог"/>
      <sheetName val="РискЗалога"/>
      <sheetName val="РезЗал"/>
      <sheetName val="Чувств1"/>
      <sheetName val="Чувств1-1"/>
      <sheetName val="Чувств1-2"/>
      <sheetName val="Чувств2"/>
      <sheetName val="Чувств2-1"/>
      <sheetName val="Чувств2-2"/>
      <sheetName val="Чувств3"/>
      <sheetName val="Чувтсв3-1"/>
      <sheetName val="Чувств3-2"/>
      <sheetName val="Чувств4"/>
      <sheetName val="Чувств4-1"/>
      <sheetName val="Чувств4-2"/>
      <sheetName val="Чувств5"/>
      <sheetName val="IRR"/>
    </sheetNames>
    <sheetDataSet>
      <sheetData sheetId="0">
        <row r="2">
          <cell r="A2" t="str">
            <v>Проект "Передача с/х техники на лизинговой основе зернопроизводителям Акмолинской, Костанайской и Северо-Казахстанской областей.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">
          <cell r="A2" t="str">
            <v xml:space="preserve">Наименование предприятия 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 Свод"/>
      <sheetName val="3Ф"/>
      <sheetName val="2Ф "/>
      <sheetName val="кр"/>
      <sheetName val="Гр стр"/>
      <sheetName val="Пост"/>
      <sheetName val="оборуд"/>
      <sheetName val="Перем."/>
      <sheetName val="IRR NPV"/>
      <sheetName val="Штат до ввода"/>
      <sheetName val="Штат пос ввода"/>
      <sheetName val="карьеры"/>
      <sheetName val="Налог(имущ)"/>
      <sheetName val="Осн.пока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5">
          <cell r="D5">
            <v>1052.6315789473686</v>
          </cell>
        </row>
        <row r="8">
          <cell r="D8">
            <v>907200</v>
          </cell>
        </row>
        <row r="9">
          <cell r="D9">
            <v>388800</v>
          </cell>
        </row>
        <row r="13">
          <cell r="D13">
            <v>164</v>
          </cell>
        </row>
        <row r="15">
          <cell r="D15">
            <v>1.1399999999999999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  <row r="16">
          <cell r="C16">
            <v>25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 refreshError="1">
        <row r="18">
          <cell r="C18">
            <v>121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 refreshError="1">
        <row r="18">
          <cell r="C18">
            <v>121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Ф3"/>
      <sheetName val="ф2"/>
      <sheetName val="Пр-во кумыс"/>
      <sheetName val="Пр-во шубат"/>
      <sheetName val="Расх пост"/>
      <sheetName val="кр"/>
      <sheetName val="Инв"/>
      <sheetName val="Безубыт"/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  <sheetName val="Лист1"/>
      <sheetName val="Лист2"/>
      <sheetName val="Лист3"/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  <sheetName val="Об пр-ва"/>
      <sheetName val="Осн. пара"/>
      <sheetName val="Осн пар Свод"/>
      <sheetName val="3Ф"/>
      <sheetName val="2Ф"/>
      <sheetName val="Норм"/>
      <sheetName val="Граф строит"/>
      <sheetName val="Пост Рх"/>
      <sheetName val="Глины"/>
      <sheetName val="Рас по тр-ту"/>
      <sheetName val="ЗП"/>
      <sheetName val="Амор"/>
      <sheetName val="влиян топл"/>
      <sheetName val="Себест-ть"/>
      <sheetName val="обоснование"/>
      <sheetName val="цены"/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  <sheetName val="Главн"/>
      <sheetName val="Пояснения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  <sheetName val="пост. пар."/>
      <sheetName val="ф-ма2"/>
      <sheetName val="ф-ма3 с НДС"/>
      <sheetName val="Гр стр №"/>
      <sheetName val="КП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 refreshError="1"/>
      <sheetData sheetId="1">
        <row r="7">
          <cell r="C7">
            <v>0.12</v>
          </cell>
        </row>
      </sheetData>
      <sheetData sheetId="2"/>
      <sheetData sheetId="3" refreshError="1"/>
      <sheetData sheetId="4"/>
      <sheetData sheetId="5"/>
      <sheetData sheetId="6" refreshError="1"/>
      <sheetData sheetId="7"/>
      <sheetData sheetId="8"/>
      <sheetData sheetId="9" refreshError="1"/>
      <sheetData sheetId="10" refreshError="1"/>
      <sheetData sheetId="11" refreshError="1">
        <row r="2">
          <cell r="C2">
            <v>218700</v>
          </cell>
        </row>
        <row r="18">
          <cell r="C18">
            <v>121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367.08209105484542</v>
          </cell>
        </row>
      </sheetData>
      <sheetData sheetId="31" refreshError="1">
        <row r="27">
          <cell r="D27">
            <v>1022552.6843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/>
      <sheetData sheetId="80" refreshError="1"/>
      <sheetData sheetId="81" refreshError="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>
        <row r="9">
          <cell r="C9">
            <v>26</v>
          </cell>
        </row>
      </sheetData>
      <sheetData sheetId="108" refreshError="1"/>
      <sheetData sheetId="109" refreshError="1"/>
      <sheetData sheetId="110" refreshError="1"/>
      <sheetData sheetId="11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 refreshError="1">
        <row r="18">
          <cell r="C18">
            <v>121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 refreshError="1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0.14000000000000001</v>
          </cell>
          <cell r="E42">
            <v>0.14000000000000001</v>
          </cell>
          <cell r="F42">
            <v>0.14000000000000001</v>
          </cell>
          <cell r="G42">
            <v>0.14000000000000001</v>
          </cell>
          <cell r="H42">
            <v>0.14000000000000001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3812038.8349514562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823002.24047796871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1170104.3400000001</v>
          </cell>
          <cell r="I20" t="str">
            <v>2,5</v>
          </cell>
          <cell r="L20">
            <v>0</v>
          </cell>
          <cell r="P20">
            <v>815434.58215568983</v>
          </cell>
          <cell r="Q20" t="str">
            <v>2,5</v>
          </cell>
          <cell r="T20">
            <v>0</v>
          </cell>
        </row>
        <row r="21">
          <cell r="C21" t="str">
            <v xml:space="preserve"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 xml:space="preserve"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1580858.6342494399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291262.13592233008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86826.347305389223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543485.02994011971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625748.50299401197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543485.02994011971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598802.39520958089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359281.43712574849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209580.83832335329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21916.167664670658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10958.083832335329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419161.67664670659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802091.11277072446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1143611.6504854369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627333.83121732634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309185.95967139659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89619.118745332336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87378.640776699031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246900.67214339061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 xml:space="preserve">Прочее оборудование </v>
          </cell>
          <cell r="H78">
            <v>0</v>
          </cell>
          <cell r="L78">
            <v>47904.191616766468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 xml:space="preserve"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 xml:space="preserve"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62733.383121732601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30246.452576549698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504107.54294249439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138909.63405526499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38922.155688622799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2195380.6387231951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26828350.045520891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26828350.045520891</v>
          </cell>
          <cell r="P240">
            <v>53230393.902544037</v>
          </cell>
          <cell r="T240">
            <v>0</v>
          </cell>
        </row>
      </sheetData>
      <sheetData sheetId="18" refreshError="1"/>
      <sheetData sheetId="19" refreshError="1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 xml:space="preserve"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0" refreshError="1"/>
      <sheetData sheetId="21" refreshError="1">
        <row r="125">
          <cell r="F125">
            <v>1252742.881713433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 refreshError="1">
        <row r="8">
          <cell r="C8">
            <v>4.8150000000000004</v>
          </cell>
        </row>
        <row r="13">
          <cell r="C13">
            <v>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 refreshError="1">
        <row r="8">
          <cell r="C8">
            <v>4.8150000000000004</v>
          </cell>
        </row>
        <row r="13">
          <cell r="C13">
            <v>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 refreshError="1">
        <row r="8">
          <cell r="C8">
            <v>4.8150000000000004</v>
          </cell>
        </row>
        <row r="13">
          <cell r="C13">
            <v>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_осв"/>
      <sheetName val="L-1"/>
      <sheetName val="L-2"/>
      <sheetName val="g-1"/>
      <sheetName val="Займы"/>
      <sheetName val="АО"/>
      <sheetName val="СС"/>
      <sheetName val="Стр_СС"/>
      <sheetName val="Н"/>
      <sheetName val="Дох"/>
      <sheetName val="Стр_Дох"/>
      <sheetName val="Приб"/>
      <sheetName val="Потоки"/>
      <sheetName val="NPV "/>
      <sheetName val="Анализ"/>
      <sheetName val="Чувств"/>
      <sheetName val="Коэфф"/>
      <sheetName val="Зал"/>
      <sheetName val="Графики"/>
    </sheetNames>
    <sheetDataSet>
      <sheetData sheetId="0" refreshError="1">
        <row r="16">
          <cell r="B16">
            <v>0.98932639114871457</v>
          </cell>
        </row>
      </sheetData>
      <sheetData sheetId="1" refreshError="1"/>
      <sheetData sheetId="2" refreshError="1">
        <row r="5">
          <cell r="B5">
            <v>12450000</v>
          </cell>
        </row>
        <row r="6">
          <cell r="B6">
            <v>0.1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+осв"/>
      <sheetName val="L1"/>
      <sheetName val="L2"/>
      <sheetName val="L3"/>
      <sheetName val="Займы"/>
      <sheetName val="АО"/>
      <sheetName val="Дох"/>
      <sheetName val="СС"/>
      <sheetName val="Уд_вес_СС"/>
      <sheetName val="ОАО &quot;Актив&quot;"/>
      <sheetName val="Налоги"/>
      <sheetName val="Приб"/>
      <sheetName val="Потоки"/>
      <sheetName val="NPV"/>
      <sheetName val="Анализ"/>
      <sheetName val="Чувств"/>
      <sheetName val="Графики"/>
      <sheetName val="Коэфф"/>
      <sheetName val="Обор_кап"/>
      <sheetName val="Источн"/>
      <sheetName val="Залоги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4 год"/>
      <sheetName val="График 2005 год"/>
      <sheetName val="Баланс прибылей"/>
      <sheetName val="cash-flow"/>
      <sheetName val="Форма №1"/>
      <sheetName val="Форма №2"/>
      <sheetName val="Форма №3"/>
      <sheetName val="Врем.смета"/>
      <sheetName val="Приобретение О.С."/>
      <sheetName val="Лизинг"/>
      <sheetName val="Кредит БРК"/>
      <sheetName val="Кредит СЗБ (А-Ф)"/>
      <sheetName val="Кредит доп"/>
      <sheetName val="Кредит А-Ф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0" refreshError="1"/>
      <sheetData sheetId="1" refreshError="1">
        <row r="3">
          <cell r="K3">
            <v>126620</v>
          </cell>
        </row>
        <row r="45">
          <cell r="P45">
            <v>150</v>
          </cell>
        </row>
        <row r="46">
          <cell r="P46">
            <v>919</v>
          </cell>
        </row>
        <row r="47">
          <cell r="P47">
            <v>0.15</v>
          </cell>
        </row>
        <row r="48">
          <cell r="P48">
            <v>0.16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F3">
            <v>0.87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 refreshError="1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0.14000000000000001</v>
          </cell>
          <cell r="E42">
            <v>0.14000000000000001</v>
          </cell>
          <cell r="F42">
            <v>0.14000000000000001</v>
          </cell>
          <cell r="G42">
            <v>0.14000000000000001</v>
          </cell>
          <cell r="H42">
            <v>0.14000000000000001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3812038.8349514562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823002.24047796871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1170104.3400000001</v>
          </cell>
          <cell r="I20" t="str">
            <v>2,5</v>
          </cell>
          <cell r="L20">
            <v>0</v>
          </cell>
          <cell r="P20">
            <v>815434.58215568983</v>
          </cell>
          <cell r="Q20" t="str">
            <v>2,5</v>
          </cell>
          <cell r="T20">
            <v>0</v>
          </cell>
        </row>
        <row r="21">
          <cell r="C21" t="str">
            <v xml:space="preserve"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 xml:space="preserve"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1580858.6342494399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291262.13592233008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86826.347305389223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543485.02994011971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625748.50299401197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543485.02994011971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598802.39520958089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359281.43712574849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209580.83832335329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21916.167664670658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10958.083832335329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419161.67664670659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802091.11277072446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1143611.6504854369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627333.83121732634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309185.95967139659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89619.118745332336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87378.640776699031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246900.67214339061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 xml:space="preserve">Прочее оборудование </v>
          </cell>
          <cell r="H78">
            <v>0</v>
          </cell>
          <cell r="L78">
            <v>47904.191616766468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 xml:space="preserve"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 xml:space="preserve"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62733.383121732601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30246.452576549698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504107.54294249439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138909.63405526499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38922.155688622799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2195380.6387231951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26828350.045520891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26828350.045520891</v>
          </cell>
          <cell r="P240">
            <v>53230393.902544037</v>
          </cell>
          <cell r="T240">
            <v>0</v>
          </cell>
        </row>
      </sheetData>
      <sheetData sheetId="18" refreshError="1"/>
      <sheetData sheetId="19" refreshError="1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 xml:space="preserve"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0" refreshError="1"/>
      <sheetData sheetId="21" refreshError="1">
        <row r="125">
          <cell r="F125">
            <v>1252742.881713433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Ф3"/>
      <sheetName val="ф2"/>
      <sheetName val="Баланс"/>
      <sheetName val="Доходы"/>
      <sheetName val="Себестоимость"/>
      <sheetName val="Расх пост"/>
      <sheetName val="кр"/>
      <sheetName val="Инв"/>
      <sheetName val="Безубыт"/>
      <sheetName val="Графики"/>
    </sheetNames>
    <sheetDataSet>
      <sheetData sheetId="0"/>
      <sheetData sheetId="1">
        <row r="5">
          <cell r="C5">
            <v>148</v>
          </cell>
        </row>
        <row r="8">
          <cell r="C8">
            <v>0.12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"/>
      <sheetName val="Данные,рентаб"/>
      <sheetName val="Оценка"/>
      <sheetName val="Финпоказатели"/>
      <sheetName val="ЧП"/>
      <sheetName val="IRR NPV"/>
      <sheetName val="Ф3"/>
      <sheetName val="Ф2-баланс"/>
      <sheetName val="КРЕДИТЫ"/>
      <sheetName val="произ.моя"/>
      <sheetName val="обучение мое"/>
      <sheetName val="приобретение мое"/>
      <sheetName val="капит.мое"/>
      <sheetName val="коммун.мое"/>
      <sheetName val="себестоимость моя"/>
      <sheetName val="Лист2"/>
      <sheetName val="налоги"/>
      <sheetName val="ПриобрОС"/>
      <sheetName val="Затр. на про-во"/>
      <sheetName val="Пост.затр"/>
      <sheetName val="Пр-во сбыт"/>
      <sheetName val="Перем. затр"/>
      <sheetName val="штат"/>
      <sheetName val="Врем.смета"/>
    </sheetNames>
    <sheetDataSet>
      <sheetData sheetId="0" refreshError="1"/>
      <sheetData sheetId="1">
        <row r="23">
          <cell r="C23">
            <v>121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6 год"/>
      <sheetName val="График 2007 год"/>
      <sheetName val="Баланс прибылей"/>
      <sheetName val="cash-flow"/>
      <sheetName val="Форма №1"/>
      <sheetName val="Форма №2"/>
      <sheetName val="Врем.смета"/>
      <sheetName val="Форма №3"/>
      <sheetName val="Приобретение О.С."/>
      <sheetName val="Лист1"/>
      <sheetName val="Лизинг"/>
      <sheetName val="Кредит КБ"/>
      <sheetName val="Кредит СЗБ (А-Ф)"/>
      <sheetName val="Кредит доп"/>
      <sheetName val="Кредит доп2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0" refreshError="1"/>
      <sheetData sheetId="1" refreshError="1">
        <row r="45">
          <cell r="P45">
            <v>140</v>
          </cell>
        </row>
        <row r="47">
          <cell r="P47">
            <v>0.15</v>
          </cell>
        </row>
        <row r="48">
          <cell r="P48">
            <v>0.16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3"/>
      <sheetName val="ф2"/>
      <sheetName val="ф1"/>
      <sheetName val="1 КРС"/>
      <sheetName val="2.1 Том"/>
      <sheetName val="2.2 Огур"/>
      <sheetName val="3 Сх культ"/>
      <sheetName val="4 Хран-е"/>
      <sheetName val="5 Ветр.мел."/>
      <sheetName val="Цены"/>
      <sheetName val="Пост"/>
      <sheetName val="ФОТ"/>
      <sheetName val="кр"/>
      <sheetName val="Инв"/>
      <sheetName val="Безу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Финпоки1"/>
      <sheetName val="ф3 2"/>
      <sheetName val="ф2 3"/>
      <sheetName val="Площади 4"/>
      <sheetName val="Кап.затр 5"/>
      <sheetName val="Доходы 6"/>
      <sheetName val="кредит 7"/>
      <sheetName val="Аморт 8"/>
      <sheetName val="Пост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 refreshError="1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367.08209105484542</v>
          </cell>
        </row>
      </sheetData>
      <sheetData sheetId="1" refreshError="1">
        <row r="27">
          <cell r="D27">
            <v>1022552.6843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 refreshError="1">
        <row r="42">
          <cell r="D42">
            <v>0.14000000000000001</v>
          </cell>
          <cell r="E42">
            <v>0.14000000000000001</v>
          </cell>
          <cell r="F42">
            <v>0.14000000000000001</v>
          </cell>
          <cell r="G42">
            <v>0.14000000000000001</v>
          </cell>
          <cell r="H42">
            <v>0.14000000000000001</v>
          </cell>
          <cell r="I42">
            <v>0.12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 refreshError="1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367.08209105484542</v>
          </cell>
        </row>
      </sheetData>
      <sheetData sheetId="1" refreshError="1">
        <row r="27">
          <cell r="D27">
            <v>1022552.6843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 refreshError="1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367.08209105484542</v>
          </cell>
        </row>
      </sheetData>
      <sheetData sheetId="1" refreshError="1">
        <row r="27">
          <cell r="D27">
            <v>1022552.6843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ер"/>
      <sheetName val="Пост"/>
      <sheetName val="Инв"/>
      <sheetName val="NPV"/>
      <sheetName val="График"/>
      <sheetName val="Пост."/>
    </sheetNames>
    <sheetDataSet>
      <sheetData sheetId="0" refreshError="1"/>
      <sheetData sheetId="1">
        <row r="9">
          <cell r="C9">
            <v>0.13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ОП"/>
      <sheetName val="Ф3"/>
      <sheetName val="ф2"/>
      <sheetName val="кр"/>
      <sheetName val="График"/>
      <sheetName val="пост"/>
      <sheetName val="безубыт"/>
      <sheetName val="сметы работ"/>
      <sheetName val="исх"/>
      <sheetName val="штат"/>
      <sheetName val="дох"/>
      <sheetName val="расх матер"/>
      <sheetName val="амор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ост"/>
      <sheetName val="Инв"/>
      <sheetName val="безубыт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0" refreshError="1"/>
      <sheetData sheetId="1">
        <row r="9">
          <cell r="C9">
            <v>26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0" refreshError="1"/>
      <sheetData sheetId="1">
        <row r="9">
          <cell r="C9">
            <v>26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дание"/>
      <sheetName val="NPV"/>
      <sheetName val="IRRa"/>
      <sheetName val="IRRb"/>
    </sheetNames>
    <sheetDataSet>
      <sheetData sheetId="0"/>
      <sheetData sheetId="1">
        <row r="18">
          <cell r="F18">
            <v>-1000000</v>
          </cell>
        </row>
      </sheetData>
      <sheetData sheetId="2"/>
      <sheetData sheetId="3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0" refreshError="1"/>
      <sheetData sheetId="1">
        <row r="9">
          <cell r="C9">
            <v>26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9">
          <cell r="F9">
            <v>15.920769635750389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9">
          <cell r="F9">
            <v>15.920769635750389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9">
          <cell r="F9">
            <v>15.920769635750389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сх докум"/>
      <sheetName val="Указатель"/>
      <sheetName val="Б1"/>
      <sheetName val="О1"/>
      <sheetName val="Б2"/>
      <sheetName val="О2"/>
      <sheetName val="Б3!!!"/>
      <sheetName val="О3!!!"/>
      <sheetName val="Исх.1"/>
      <sheetName val="Исх.2"/>
      <sheetName val="Исх.3!!!"/>
      <sheetName val="Нетто1"/>
      <sheetName val="Нетто2"/>
      <sheetName val="Нетто3!!!"/>
      <sheetName val="Гориз"/>
      <sheetName val="Верт!!!"/>
      <sheetName val="К-ф!!!"/>
      <sheetName val="Активы (размещ)!!!"/>
      <sheetName val="Уровень показателей!!!"/>
      <sheetName val="Фин. ресурсы!!!"/>
      <sheetName val="Наличие об ср-в!!!"/>
      <sheetName val="Кт!!!"/>
      <sheetName val="Дин. оборотн. ср-в!!!"/>
      <sheetName val="Дт"/>
      <sheetName val="Ликв баланса!!!"/>
      <sheetName val="Самофинанс!!!"/>
      <sheetName val="Рынок сырья"/>
      <sheetName val="Вид продукции"/>
      <sheetName val="Справка_НБ"/>
      <sheetName val="Анализ"/>
      <sheetName val="Показатели"/>
      <sheetName val="Модуль2"/>
      <sheetName val="Аванс кап"/>
      <sheetName val="Текст"/>
    </sheetNames>
    <sheetDataSet>
      <sheetData sheetId="0" refreshError="1"/>
      <sheetData sheetId="1" refreshError="1"/>
      <sheetData sheetId="2" refreshError="1"/>
      <sheetData sheetId="3">
        <row r="6">
          <cell r="B6" t="str">
            <v>услуги по аренде машин оборудования без оператора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</sheetData>
      <sheetData sheetId="4" refreshError="1"/>
      <sheetData sheetId="5" refreshError="1"/>
      <sheetData sheetId="6" refreshError="1"/>
      <sheetData sheetId="7">
        <row r="58">
          <cell r="C58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8">
          <cell r="E18" t="e">
            <v>#DIV/0!</v>
          </cell>
        </row>
      </sheetData>
      <sheetData sheetId="20" refreshError="1"/>
      <sheetData sheetId="21" refreshError="1"/>
      <sheetData sheetId="22" refreshError="1"/>
      <sheetData sheetId="23">
        <row r="17">
          <cell r="B17">
            <v>0</v>
          </cell>
          <cell r="F17">
            <v>0</v>
          </cell>
        </row>
        <row r="18">
          <cell r="B18">
            <v>0</v>
          </cell>
          <cell r="F18">
            <v>26676.6</v>
          </cell>
        </row>
        <row r="19">
          <cell r="B19">
            <v>0</v>
          </cell>
          <cell r="F19">
            <v>8.1999999999999993</v>
          </cell>
        </row>
        <row r="20">
          <cell r="B20">
            <v>0</v>
          </cell>
          <cell r="F20">
            <v>0</v>
          </cell>
        </row>
        <row r="25">
          <cell r="B25">
            <v>0</v>
          </cell>
          <cell r="F25">
            <v>296249.3</v>
          </cell>
        </row>
        <row r="26">
          <cell r="B26">
            <v>0</v>
          </cell>
          <cell r="F26">
            <v>1718930</v>
          </cell>
        </row>
        <row r="27">
          <cell r="B27">
            <v>0</v>
          </cell>
          <cell r="F27">
            <v>0</v>
          </cell>
        </row>
        <row r="28">
          <cell r="B28">
            <v>0</v>
          </cell>
          <cell r="F28">
            <v>0</v>
          </cell>
        </row>
        <row r="29">
          <cell r="B29">
            <v>0</v>
          </cell>
          <cell r="F29">
            <v>11298.7</v>
          </cell>
        </row>
        <row r="30">
          <cell r="B30">
            <v>0</v>
          </cell>
          <cell r="F30">
            <v>0</v>
          </cell>
        </row>
        <row r="31">
          <cell r="B31">
            <v>0</v>
          </cell>
          <cell r="F31">
            <v>12793.8</v>
          </cell>
        </row>
        <row r="33">
          <cell r="B33">
            <v>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Коэфф"/>
      <sheetName val="Ф2"/>
      <sheetName val="Ф3"/>
      <sheetName val="Кредит"/>
      <sheetName val="Перемен"/>
      <sheetName val="Постоян"/>
      <sheetName val="Себст"/>
      <sheetName val="Безуб"/>
      <sheetName val="Смета"/>
      <sheetName val="Инвест"/>
      <sheetName val="Штат"/>
      <sheetName val="План пр-ва"/>
      <sheetName val="Продаж"/>
      <sheetName val="Налог"/>
    </sheetNames>
    <sheetDataSet>
      <sheetData sheetId="0">
        <row r="9">
          <cell r="C9">
            <v>165</v>
          </cell>
        </row>
        <row r="11">
          <cell r="C11">
            <v>1332.5</v>
          </cell>
        </row>
      </sheetData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/>
      <sheetData sheetId="9" refreshError="1"/>
      <sheetData sheetId="10"/>
      <sheetData sheetId="11" refreshError="1"/>
      <sheetData sheetId="12">
        <row r="6">
          <cell r="A6" t="str">
            <v>Мраморно-цементная плитка Bretonterastone®</v>
          </cell>
        </row>
      </sheetData>
      <sheetData sheetId="13" refreshError="1"/>
      <sheetData sheetId="1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0" refreshError="1"/>
      <sheetData sheetId="1" refreshError="1">
        <row r="2">
          <cell r="C2">
            <v>32.173913043478265</v>
          </cell>
        </row>
        <row r="4">
          <cell r="C4">
            <v>127</v>
          </cell>
        </row>
        <row r="6">
          <cell r="C6">
            <v>5000000</v>
          </cell>
        </row>
        <row r="7">
          <cell r="C7">
            <v>60000000</v>
          </cell>
        </row>
        <row r="8">
          <cell r="C8">
            <v>161</v>
          </cell>
        </row>
        <row r="13">
          <cell r="C13">
            <v>22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holodim.ru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 enableFormatConditionsCalculation="0">
    <tabColor rgb="FFFF0000"/>
  </sheetPr>
  <dimension ref="A1:AS143"/>
  <sheetViews>
    <sheetView showGridLines="0" showZeros="0" workbookViewId="0">
      <pane xSplit="3" ySplit="6" topLeftCell="D43" activePane="bottomRight" state="frozen"/>
      <selection activeCell="A34" sqref="A34"/>
      <selection pane="topRight" activeCell="A34" sqref="A34"/>
      <selection pane="bottomLeft" activeCell="A34" sqref="A34"/>
      <selection pane="bottomRight" activeCell="F23" sqref="F23"/>
    </sheetView>
  </sheetViews>
  <sheetFormatPr defaultColWidth="8.5703125" defaultRowHeight="12.75" outlineLevelRow="1" outlineLevelCol="1"/>
  <cols>
    <col min="1" max="1" width="37.28515625" style="60" customWidth="1"/>
    <col min="2" max="2" width="10.140625" style="61" customWidth="1"/>
    <col min="3" max="3" width="1.85546875" style="61" customWidth="1"/>
    <col min="4" max="6" width="7.7109375" style="6" customWidth="1" outlineLevel="1"/>
    <col min="7" max="7" width="8.140625" style="57" customWidth="1" outlineLevel="1"/>
    <col min="8" max="8" width="8.140625" style="6" customWidth="1" outlineLevel="1"/>
    <col min="9" max="12" width="7.7109375" style="6" customWidth="1" outlineLevel="1"/>
    <col min="13" max="13" width="7.85546875" style="6" customWidth="1" outlineLevel="1"/>
    <col min="14" max="14" width="7.28515625" style="6" customWidth="1" outlineLevel="1"/>
    <col min="15" max="15" width="7.5703125" style="6" customWidth="1" outlineLevel="1"/>
    <col min="16" max="16" width="8.28515625" style="7" customWidth="1"/>
    <col min="17" max="28" width="7.5703125" style="6" hidden="1" customWidth="1" outlineLevel="1"/>
    <col min="29" max="29" width="8.7109375" style="7" customWidth="1" collapsed="1"/>
    <col min="30" max="30" width="8.5703125" style="7" customWidth="1"/>
    <col min="31" max="31" width="8.7109375" style="7" customWidth="1"/>
    <col min="32" max="32" width="8.5703125" style="7" customWidth="1"/>
    <col min="33" max="34" width="7.85546875" style="8" bestFit="1" customWidth="1"/>
    <col min="35" max="41" width="8.7109375" style="8" bestFit="1" customWidth="1"/>
    <col min="42" max="16384" width="8.5703125" style="8"/>
  </cols>
  <sheetData>
    <row r="1" spans="1:34">
      <c r="A1" s="62" t="s">
        <v>185</v>
      </c>
      <c r="B1" s="1"/>
      <c r="C1" s="1"/>
      <c r="D1" s="2"/>
      <c r="E1" s="2"/>
      <c r="F1" s="2"/>
      <c r="G1" s="3"/>
      <c r="H1" s="2"/>
      <c r="I1" s="4"/>
      <c r="J1" s="4"/>
      <c r="K1" s="4"/>
      <c r="L1" s="4"/>
      <c r="M1" s="4"/>
      <c r="N1" s="5"/>
      <c r="Q1" s="2"/>
      <c r="R1" s="2"/>
      <c r="S1" s="2"/>
      <c r="T1" s="2"/>
      <c r="U1" s="2"/>
      <c r="V1" s="4"/>
      <c r="W1" s="4"/>
      <c r="X1" s="4"/>
      <c r="Y1" s="4"/>
      <c r="Z1" s="4"/>
      <c r="AA1" s="5"/>
    </row>
    <row r="2" spans="1:34" hidden="1" outlineLevel="1">
      <c r="A2" s="9">
        <f>MAX(F36:AF36)</f>
        <v>1988.2858721741723</v>
      </c>
      <c r="B2" s="10">
        <f>MIN(D36:AH36)</f>
        <v>-7067.2772696429602</v>
      </c>
      <c r="C2" s="1"/>
      <c r="D2" s="2"/>
      <c r="E2" s="2"/>
      <c r="F2" s="2"/>
      <c r="G2" s="3"/>
      <c r="H2" s="2"/>
      <c r="I2" s="4"/>
      <c r="J2" s="4"/>
      <c r="K2" s="4"/>
      <c r="L2" s="4"/>
      <c r="M2" s="4"/>
      <c r="N2" s="5"/>
      <c r="Q2" s="2"/>
      <c r="R2" s="2"/>
      <c r="S2" s="2"/>
      <c r="T2" s="2"/>
      <c r="U2" s="2"/>
      <c r="V2" s="4"/>
      <c r="W2" s="4"/>
      <c r="X2" s="4"/>
      <c r="Y2" s="4"/>
      <c r="Z2" s="4"/>
      <c r="AA2" s="5"/>
    </row>
    <row r="3" spans="1:34" collapsed="1">
      <c r="A3" s="9"/>
      <c r="B3" s="10"/>
      <c r="C3" s="1"/>
      <c r="D3" s="2"/>
      <c r="E3" s="2"/>
      <c r="F3" s="2"/>
      <c r="G3" s="3"/>
      <c r="H3" s="2"/>
      <c r="I3" s="4"/>
      <c r="J3" s="4"/>
      <c r="K3" s="4"/>
      <c r="L3" s="4"/>
      <c r="M3" s="4"/>
      <c r="N3" s="5"/>
      <c r="Q3" s="2"/>
      <c r="R3" s="2"/>
      <c r="S3" s="2"/>
      <c r="T3" s="2"/>
      <c r="U3" s="2"/>
      <c r="V3" s="4"/>
      <c r="W3" s="4"/>
      <c r="X3" s="4"/>
      <c r="Y3" s="4"/>
      <c r="Z3" s="4"/>
      <c r="AA3" s="5"/>
    </row>
    <row r="4" spans="1:34">
      <c r="A4" s="11"/>
      <c r="B4" s="12" t="str">
        <f>Исх!$C$9</f>
        <v>тыс.тг.</v>
      </c>
      <c r="C4" s="1"/>
      <c r="D4" s="2"/>
      <c r="E4" s="2"/>
      <c r="F4" s="3"/>
      <c r="G4" s="3"/>
      <c r="I4" s="13"/>
      <c r="J4" s="2"/>
      <c r="K4" s="2"/>
      <c r="L4" s="14"/>
      <c r="M4" s="2"/>
      <c r="N4" s="2"/>
      <c r="Q4" s="2"/>
      <c r="R4" s="2"/>
      <c r="S4" s="3"/>
      <c r="T4" s="2"/>
      <c r="V4" s="13"/>
      <c r="W4" s="2"/>
      <c r="X4" s="2"/>
      <c r="Y4" s="14"/>
      <c r="Z4" s="2"/>
      <c r="AA4" s="2"/>
    </row>
    <row r="5" spans="1:34" ht="15.75" customHeight="1">
      <c r="A5" s="358" t="s">
        <v>3</v>
      </c>
      <c r="B5" s="360" t="s">
        <v>1</v>
      </c>
      <c r="C5" s="15"/>
      <c r="D5" s="360">
        <v>2013</v>
      </c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>
        <v>2014</v>
      </c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15">
        <v>2015</v>
      </c>
      <c r="AE5" s="15">
        <f>AD5+1</f>
        <v>2016</v>
      </c>
      <c r="AF5" s="15">
        <f>AE5+1</f>
        <v>2017</v>
      </c>
      <c r="AG5" s="15">
        <f>AF5+1</f>
        <v>2018</v>
      </c>
      <c r="AH5" s="15">
        <f>AG5+1</f>
        <v>2019</v>
      </c>
    </row>
    <row r="6" spans="1:34">
      <c r="A6" s="359"/>
      <c r="B6" s="360"/>
      <c r="C6" s="15"/>
      <c r="D6" s="16">
        <v>1</v>
      </c>
      <c r="E6" s="16">
        <f>D6+1</f>
        <v>2</v>
      </c>
      <c r="F6" s="16">
        <f t="shared" ref="F6:O6" si="0">E6+1</f>
        <v>3</v>
      </c>
      <c r="G6" s="16">
        <f t="shared" si="0"/>
        <v>4</v>
      </c>
      <c r="H6" s="16">
        <f t="shared" si="0"/>
        <v>5</v>
      </c>
      <c r="I6" s="16">
        <f t="shared" si="0"/>
        <v>6</v>
      </c>
      <c r="J6" s="16">
        <f t="shared" si="0"/>
        <v>7</v>
      </c>
      <c r="K6" s="16">
        <f t="shared" si="0"/>
        <v>8</v>
      </c>
      <c r="L6" s="16">
        <f t="shared" si="0"/>
        <v>9</v>
      </c>
      <c r="M6" s="16">
        <f t="shared" si="0"/>
        <v>10</v>
      </c>
      <c r="N6" s="16">
        <f t="shared" si="0"/>
        <v>11</v>
      </c>
      <c r="O6" s="16">
        <f t="shared" si="0"/>
        <v>12</v>
      </c>
      <c r="P6" s="15" t="s">
        <v>1</v>
      </c>
      <c r="Q6" s="16">
        <v>1</v>
      </c>
      <c r="R6" s="16">
        <f>Q6+1</f>
        <v>2</v>
      </c>
      <c r="S6" s="16">
        <f t="shared" ref="S6:AB6" si="1">R6+1</f>
        <v>3</v>
      </c>
      <c r="T6" s="16">
        <f t="shared" si="1"/>
        <v>4</v>
      </c>
      <c r="U6" s="16">
        <f t="shared" si="1"/>
        <v>5</v>
      </c>
      <c r="V6" s="16">
        <f t="shared" si="1"/>
        <v>6</v>
      </c>
      <c r="W6" s="16">
        <f t="shared" si="1"/>
        <v>7</v>
      </c>
      <c r="X6" s="16">
        <f t="shared" si="1"/>
        <v>8</v>
      </c>
      <c r="Y6" s="16">
        <f t="shared" si="1"/>
        <v>9</v>
      </c>
      <c r="Z6" s="16">
        <f t="shared" si="1"/>
        <v>10</v>
      </c>
      <c r="AA6" s="16">
        <f t="shared" si="1"/>
        <v>11</v>
      </c>
      <c r="AB6" s="16">
        <f t="shared" si="1"/>
        <v>12</v>
      </c>
      <c r="AC6" s="15" t="s">
        <v>1</v>
      </c>
      <c r="AD6" s="15" t="s">
        <v>126</v>
      </c>
      <c r="AE6" s="15" t="s">
        <v>126</v>
      </c>
      <c r="AF6" s="15" t="s">
        <v>126</v>
      </c>
      <c r="AG6" s="15" t="s">
        <v>126</v>
      </c>
      <c r="AH6" s="15" t="s">
        <v>126</v>
      </c>
    </row>
    <row r="7" spans="1:34" s="21" customFormat="1" ht="25.5">
      <c r="A7" s="17" t="s">
        <v>5</v>
      </c>
      <c r="B7" s="18">
        <f>P7</f>
        <v>0</v>
      </c>
      <c r="C7" s="19"/>
      <c r="D7" s="20">
        <f>C36</f>
        <v>0</v>
      </c>
      <c r="E7" s="20">
        <f t="shared" ref="E7:K7" si="2">D36</f>
        <v>0</v>
      </c>
      <c r="F7" s="20">
        <f t="shared" si="2"/>
        <v>0</v>
      </c>
      <c r="G7" s="20">
        <f t="shared" si="2"/>
        <v>0</v>
      </c>
      <c r="H7" s="20">
        <f t="shared" si="2"/>
        <v>-337.23804260860925</v>
      </c>
      <c r="I7" s="20">
        <f t="shared" si="2"/>
        <v>-674.4760852172185</v>
      </c>
      <c r="J7" s="20">
        <f t="shared" si="2"/>
        <v>1988.2858721741723</v>
      </c>
      <c r="K7" s="20">
        <f t="shared" si="2"/>
        <v>1651.047829565563</v>
      </c>
      <c r="L7" s="20">
        <f>K36</f>
        <v>1313.8097869569538</v>
      </c>
      <c r="M7" s="20">
        <f>L36</f>
        <v>976.57174434834451</v>
      </c>
      <c r="N7" s="20">
        <f>M36</f>
        <v>-580.21558967762132</v>
      </c>
      <c r="O7" s="20">
        <f>N36</f>
        <v>-2132.0540280282698</v>
      </c>
      <c r="P7" s="20">
        <f>D7</f>
        <v>0</v>
      </c>
      <c r="Q7" s="20">
        <f>P36</f>
        <v>-3678.9435707036018</v>
      </c>
      <c r="R7" s="20">
        <f t="shared" ref="R7:AA7" si="3">Q36</f>
        <v>-3988.5236384961236</v>
      </c>
      <c r="S7" s="20">
        <f t="shared" si="3"/>
        <v>-4293.1548106133287</v>
      </c>
      <c r="T7" s="20">
        <f t="shared" si="3"/>
        <v>-4592.8370870552171</v>
      </c>
      <c r="U7" s="20">
        <f t="shared" si="3"/>
        <v>-4887.570467821789</v>
      </c>
      <c r="V7" s="20">
        <f t="shared" si="3"/>
        <v>-5177.3549529130441</v>
      </c>
      <c r="W7" s="20">
        <f t="shared" si="3"/>
        <v>-5462.1905423289827</v>
      </c>
      <c r="X7" s="20">
        <f t="shared" si="3"/>
        <v>-5742.0772360696046</v>
      </c>
      <c r="Y7" s="20">
        <f t="shared" si="3"/>
        <v>-6017.015034134909</v>
      </c>
      <c r="Z7" s="20">
        <f t="shared" si="3"/>
        <v>-6287.0039365248967</v>
      </c>
      <c r="AA7" s="20">
        <f t="shared" si="3"/>
        <v>-6552.0439432395679</v>
      </c>
      <c r="AB7" s="20">
        <f>AA36</f>
        <v>-6812.1350542789223</v>
      </c>
      <c r="AC7" s="20">
        <f>Q7</f>
        <v>-3678.9435707036018</v>
      </c>
      <c r="AD7" s="20">
        <f>AC36</f>
        <v>-7067.2772696429602</v>
      </c>
      <c r="AE7" s="20">
        <f>AD36</f>
        <v>-4252.5209762634568</v>
      </c>
      <c r="AF7" s="20">
        <f>AE36</f>
        <v>-2030.5981157944407</v>
      </c>
      <c r="AG7" s="20">
        <f>AF36</f>
        <v>1537.9690049976689</v>
      </c>
      <c r="AH7" s="20">
        <f>AG36</f>
        <v>7332.3006103876487</v>
      </c>
    </row>
    <row r="8" spans="1:34" s="21" customFormat="1">
      <c r="A8" s="22" t="s">
        <v>11</v>
      </c>
      <c r="B8" s="23"/>
      <c r="C8" s="23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34" s="21" customFormat="1">
      <c r="A9" s="26" t="s">
        <v>19</v>
      </c>
      <c r="B9" s="27">
        <f>P9+AC9+AD9+AE9+AF9+AG9+AH9</f>
        <v>264220.76209303708</v>
      </c>
      <c r="C9" s="27"/>
      <c r="D9" s="27">
        <f t="shared" ref="D9:AH9" si="4">SUM(D10:D11)</f>
        <v>0</v>
      </c>
      <c r="E9" s="27">
        <f t="shared" si="4"/>
        <v>0</v>
      </c>
      <c r="F9" s="27">
        <f t="shared" si="4"/>
        <v>0</v>
      </c>
      <c r="G9" s="27">
        <f t="shared" si="4"/>
        <v>1576.96</v>
      </c>
      <c r="H9" s="27">
        <f t="shared" si="4"/>
        <v>1576.96</v>
      </c>
      <c r="I9" s="27">
        <f t="shared" si="4"/>
        <v>1576.96</v>
      </c>
      <c r="J9" s="27">
        <f t="shared" si="4"/>
        <v>1576.96</v>
      </c>
      <c r="K9" s="27">
        <f t="shared" si="4"/>
        <v>1576.96</v>
      </c>
      <c r="L9" s="27">
        <f t="shared" si="4"/>
        <v>1576.96</v>
      </c>
      <c r="M9" s="27">
        <f t="shared" si="4"/>
        <v>1576.96</v>
      </c>
      <c r="N9" s="27">
        <f t="shared" si="4"/>
        <v>1576.96</v>
      </c>
      <c r="O9" s="27">
        <f t="shared" si="4"/>
        <v>1576.96</v>
      </c>
      <c r="P9" s="27">
        <f t="shared" si="4"/>
        <v>14192.64</v>
      </c>
      <c r="Q9" s="27">
        <f t="shared" si="4"/>
        <v>2858.7328000000002</v>
      </c>
      <c r="R9" s="27">
        <f t="shared" si="4"/>
        <v>2858.7328000000002</v>
      </c>
      <c r="S9" s="27">
        <f t="shared" si="4"/>
        <v>2858.7328000000002</v>
      </c>
      <c r="T9" s="27">
        <f t="shared" si="4"/>
        <v>2858.7328000000002</v>
      </c>
      <c r="U9" s="27">
        <f t="shared" si="4"/>
        <v>2858.7328000000002</v>
      </c>
      <c r="V9" s="27">
        <f t="shared" si="4"/>
        <v>2858.7328000000002</v>
      </c>
      <c r="W9" s="27">
        <f t="shared" si="4"/>
        <v>2858.7328000000002</v>
      </c>
      <c r="X9" s="27">
        <f t="shared" si="4"/>
        <v>2858.7328000000002</v>
      </c>
      <c r="Y9" s="27">
        <f t="shared" si="4"/>
        <v>2858.7328000000002</v>
      </c>
      <c r="Z9" s="27">
        <f t="shared" si="4"/>
        <v>2858.7328000000002</v>
      </c>
      <c r="AA9" s="27">
        <f t="shared" si="4"/>
        <v>2858.7328000000002</v>
      </c>
      <c r="AB9" s="27">
        <f t="shared" si="4"/>
        <v>2858.7328000000002</v>
      </c>
      <c r="AC9" s="27">
        <f t="shared" si="4"/>
        <v>34304.793599999997</v>
      </c>
      <c r="AD9" s="27">
        <f t="shared" si="4"/>
        <v>39935.854933333336</v>
      </c>
      <c r="AE9" s="27">
        <f t="shared" si="4"/>
        <v>39753.869368888903</v>
      </c>
      <c r="AF9" s="27">
        <f t="shared" si="4"/>
        <v>41913.815419259263</v>
      </c>
      <c r="AG9" s="27">
        <f t="shared" si="4"/>
        <v>44716.963299555573</v>
      </c>
      <c r="AH9" s="27">
        <f t="shared" si="4"/>
        <v>49402.825472000019</v>
      </c>
    </row>
    <row r="10" spans="1:34">
      <c r="A10" s="28" t="s">
        <v>353</v>
      </c>
      <c r="B10" s="27">
        <f t="shared" ref="B10:B18" si="5">P10+AC10+AD10+AE10+AF10+AG10+AH10</f>
        <v>202711.90016000008</v>
      </c>
      <c r="C10" s="27"/>
      <c r="D10" s="29">
        <f>'2-ф2'!D6*Исх!$C$18</f>
        <v>0</v>
      </c>
      <c r="E10" s="29">
        <f>'2-ф2'!E6*Исх!$C$18</f>
        <v>0</v>
      </c>
      <c r="F10" s="29">
        <f>'2-ф2'!F6*Исх!$C$18</f>
        <v>0</v>
      </c>
      <c r="G10" s="29">
        <f>'2-ф2'!G6*Исх!$C$18</f>
        <v>1576.96</v>
      </c>
      <c r="H10" s="29">
        <f>'2-ф2'!H6*Исх!$C$18</f>
        <v>1576.96</v>
      </c>
      <c r="I10" s="29">
        <f>'2-ф2'!I6*Исх!$C$18</f>
        <v>1576.96</v>
      </c>
      <c r="J10" s="29">
        <f>'2-ф2'!J6*Исх!$C$18</f>
        <v>1576.96</v>
      </c>
      <c r="K10" s="29">
        <f>'2-ф2'!K6*Исх!$C$18</f>
        <v>1576.96</v>
      </c>
      <c r="L10" s="29">
        <f>'2-ф2'!L6*Исх!$C$18</f>
        <v>1576.96</v>
      </c>
      <c r="M10" s="29">
        <f>'2-ф2'!M6*Исх!$C$18</f>
        <v>1576.96</v>
      </c>
      <c r="N10" s="29">
        <f>'2-ф2'!N6*Исх!$C$18</f>
        <v>1576.96</v>
      </c>
      <c r="O10" s="29">
        <f>'2-ф2'!O6*Исх!$C$18</f>
        <v>1576.96</v>
      </c>
      <c r="P10" s="27">
        <f>SUM(D10:O10)</f>
        <v>14192.64</v>
      </c>
      <c r="Q10" s="29">
        <f>'2-ф2'!Q6*Исх!$C$18</f>
        <v>2365.44</v>
      </c>
      <c r="R10" s="29">
        <f>'2-ф2'!R6*Исх!$C$18</f>
        <v>2365.44</v>
      </c>
      <c r="S10" s="29">
        <f>'2-ф2'!S6*Исх!$C$18</f>
        <v>2365.44</v>
      </c>
      <c r="T10" s="29">
        <f>'2-ф2'!T6*Исх!$C$18</f>
        <v>2365.44</v>
      </c>
      <c r="U10" s="29">
        <f>'2-ф2'!U6*Исх!$C$18</f>
        <v>2365.44</v>
      </c>
      <c r="V10" s="29">
        <f>'2-ф2'!V6*Исх!$C$18</f>
        <v>2365.44</v>
      </c>
      <c r="W10" s="29">
        <f>'2-ф2'!W6*Исх!$C$18</f>
        <v>2365.44</v>
      </c>
      <c r="X10" s="29">
        <f>'2-ф2'!X6*Исх!$C$18</f>
        <v>2365.44</v>
      </c>
      <c r="Y10" s="29">
        <f>'2-ф2'!Y6*Исх!$C$18</f>
        <v>2365.44</v>
      </c>
      <c r="Z10" s="29">
        <f>'2-ф2'!Z6*Исх!$C$18</f>
        <v>2365.44</v>
      </c>
      <c r="AA10" s="29">
        <f>'2-ф2'!AA6*Исх!$C$18</f>
        <v>2365.44</v>
      </c>
      <c r="AB10" s="29">
        <f>'2-ф2'!AB6*Исх!$C$18</f>
        <v>2365.44</v>
      </c>
      <c r="AC10" s="27">
        <f>SUM(Q10:AB10)</f>
        <v>28385.279999999995</v>
      </c>
      <c r="AD10" s="29">
        <f>'2-ф2'!AD6*Исх!$C$18</f>
        <v>27439.104000000003</v>
      </c>
      <c r="AE10" s="29">
        <f>'2-ф2'!AE6*Исх!$C$18</f>
        <v>29646.848000000009</v>
      </c>
      <c r="AF10" s="29">
        <f>'2-ф2'!AF6*Исх!$C$18</f>
        <v>30834.82453333334</v>
      </c>
      <c r="AG10" s="29">
        <f>'2-ф2'!AG6*Исх!$C$18</f>
        <v>34997.998933333351</v>
      </c>
      <c r="AH10" s="29">
        <f>'2-ф2'!AH6*Исх!$C$18</f>
        <v>37215.204693333348</v>
      </c>
    </row>
    <row r="11" spans="1:34">
      <c r="A11" s="28" t="str">
        <f>'2-ф2'!A7</f>
        <v>Мясо</v>
      </c>
      <c r="B11" s="27">
        <f t="shared" si="5"/>
        <v>61508.861933037049</v>
      </c>
      <c r="C11" s="27"/>
      <c r="D11" s="29">
        <f>'2-ф2'!D7*Исх!$C$18</f>
        <v>0</v>
      </c>
      <c r="E11" s="29">
        <f>'2-ф2'!E7*Исх!$C$18</f>
        <v>0</v>
      </c>
      <c r="F11" s="29">
        <f>'2-ф2'!F7*Исх!$C$18</f>
        <v>0</v>
      </c>
      <c r="G11" s="29">
        <f>'2-ф2'!G7*Исх!$C$18</f>
        <v>0</v>
      </c>
      <c r="H11" s="29">
        <f>'2-ф2'!H7*Исх!$C$18</f>
        <v>0</v>
      </c>
      <c r="I11" s="29">
        <f>'2-ф2'!I7*Исх!$C$18</f>
        <v>0</v>
      </c>
      <c r="J11" s="29">
        <f>'2-ф2'!J7*Исх!$C$18</f>
        <v>0</v>
      </c>
      <c r="K11" s="29">
        <f>'2-ф2'!K7*Исх!$C$18</f>
        <v>0</v>
      </c>
      <c r="L11" s="29">
        <f>'2-ф2'!L7*Исх!$C$18</f>
        <v>0</v>
      </c>
      <c r="M11" s="29">
        <f>'2-ф2'!M7*Исх!$C$18</f>
        <v>0</v>
      </c>
      <c r="N11" s="29">
        <f>'2-ф2'!N7*Исх!$C$18</f>
        <v>0</v>
      </c>
      <c r="O11" s="29">
        <f>'2-ф2'!O7*Исх!$C$18</f>
        <v>0</v>
      </c>
      <c r="P11" s="27">
        <f>SUM(D11:O11)</f>
        <v>0</v>
      </c>
      <c r="Q11" s="29">
        <f>'2-ф2'!Q7*Исх!$C$18</f>
        <v>493.29280000000011</v>
      </c>
      <c r="R11" s="29">
        <f>'2-ф2'!R7*Исх!$C$18</f>
        <v>493.29280000000011</v>
      </c>
      <c r="S11" s="29">
        <f>'2-ф2'!S7*Исх!$C$18</f>
        <v>493.29280000000011</v>
      </c>
      <c r="T11" s="29">
        <f>'2-ф2'!T7*Исх!$C$18</f>
        <v>493.29280000000011</v>
      </c>
      <c r="U11" s="29">
        <f>'2-ф2'!U7*Исх!$C$18</f>
        <v>493.29280000000011</v>
      </c>
      <c r="V11" s="29">
        <f>'2-ф2'!V7*Исх!$C$18</f>
        <v>493.29280000000011</v>
      </c>
      <c r="W11" s="29">
        <f>'2-ф2'!W7*Исх!$C$18</f>
        <v>493.29280000000011</v>
      </c>
      <c r="X11" s="29">
        <f>'2-ф2'!X7*Исх!$C$18</f>
        <v>493.29280000000011</v>
      </c>
      <c r="Y11" s="29">
        <f>'2-ф2'!Y7*Исх!$C$18</f>
        <v>493.29280000000011</v>
      </c>
      <c r="Z11" s="29">
        <f>'2-ф2'!Z7*Исх!$C$18</f>
        <v>493.29280000000011</v>
      </c>
      <c r="AA11" s="29">
        <f>'2-ф2'!AA7*Исх!$C$18</f>
        <v>493.29280000000011</v>
      </c>
      <c r="AB11" s="29">
        <f>'2-ф2'!AB7*Исх!$C$18</f>
        <v>493.29280000000011</v>
      </c>
      <c r="AC11" s="27">
        <f>SUM(Q11:AB11)</f>
        <v>5919.5136000000011</v>
      </c>
      <c r="AD11" s="29">
        <f>'2-ф2'!AD7*Исх!$C$18</f>
        <v>12496.750933333335</v>
      </c>
      <c r="AE11" s="29">
        <f>'2-ф2'!AE7*Исх!$C$18</f>
        <v>10107.021368888891</v>
      </c>
      <c r="AF11" s="29">
        <f>'2-ф2'!AF7*Исх!$C$18</f>
        <v>11078.990885925927</v>
      </c>
      <c r="AG11" s="29">
        <f>'2-ф2'!AG7*Исх!$C$18</f>
        <v>9718.9643662222225</v>
      </c>
      <c r="AH11" s="29">
        <f>'2-ф2'!AH7*Исх!$C$18</f>
        <v>12187.620778666669</v>
      </c>
    </row>
    <row r="12" spans="1:34" s="21" customFormat="1">
      <c r="A12" s="30" t="s">
        <v>6</v>
      </c>
      <c r="B12" s="27">
        <f t="shared" si="5"/>
        <v>187205.75286873089</v>
      </c>
      <c r="C12" s="27"/>
      <c r="D12" s="31">
        <f t="shared" ref="D12:AH12" si="6">SUM(D13:D18)</f>
        <v>0</v>
      </c>
      <c r="E12" s="31">
        <f t="shared" si="6"/>
        <v>0</v>
      </c>
      <c r="F12" s="31">
        <f t="shared" si="6"/>
        <v>706.36678125000003</v>
      </c>
      <c r="G12" s="31">
        <f t="shared" si="6"/>
        <v>1914.1980426086093</v>
      </c>
      <c r="H12" s="31">
        <f t="shared" si="6"/>
        <v>1914.1980426086093</v>
      </c>
      <c r="I12" s="31">
        <f t="shared" si="6"/>
        <v>1914.1980426086093</v>
      </c>
      <c r="J12" s="31">
        <f t="shared" si="6"/>
        <v>1914.1980426086093</v>
      </c>
      <c r="K12" s="31">
        <f t="shared" si="6"/>
        <v>1914.1980426086093</v>
      </c>
      <c r="L12" s="31">
        <f t="shared" si="6"/>
        <v>1914.1980426086093</v>
      </c>
      <c r="M12" s="31">
        <f t="shared" si="6"/>
        <v>2285.3652182573701</v>
      </c>
      <c r="N12" s="31">
        <f t="shared" si="6"/>
        <v>2280.416322582053</v>
      </c>
      <c r="O12" s="31">
        <f t="shared" si="6"/>
        <v>2275.4674269067364</v>
      </c>
      <c r="P12" s="31">
        <f t="shared" si="6"/>
        <v>19032.804004647813</v>
      </c>
      <c r="Q12" s="31">
        <f t="shared" si="6"/>
        <v>2319.9307520239263</v>
      </c>
      <c r="R12" s="31">
        <f t="shared" si="6"/>
        <v>2314.9818563486097</v>
      </c>
      <c r="S12" s="31">
        <f t="shared" si="6"/>
        <v>2310.032960673293</v>
      </c>
      <c r="T12" s="31">
        <f t="shared" si="6"/>
        <v>2305.0840649979759</v>
      </c>
      <c r="U12" s="31">
        <f t="shared" si="6"/>
        <v>2300.1351693226593</v>
      </c>
      <c r="V12" s="31">
        <f t="shared" si="6"/>
        <v>2295.1862736473427</v>
      </c>
      <c r="W12" s="31">
        <f t="shared" si="6"/>
        <v>2290.2373779720256</v>
      </c>
      <c r="X12" s="31">
        <f t="shared" si="6"/>
        <v>2285.2884822967089</v>
      </c>
      <c r="Y12" s="31">
        <f t="shared" si="6"/>
        <v>2280.3395866213918</v>
      </c>
      <c r="Z12" s="31">
        <f t="shared" si="6"/>
        <v>2275.3906909460752</v>
      </c>
      <c r="AA12" s="31">
        <f t="shared" si="6"/>
        <v>2270.4417952707586</v>
      </c>
      <c r="AB12" s="31">
        <f t="shared" si="6"/>
        <v>2265.4928995954415</v>
      </c>
      <c r="AC12" s="31">
        <f t="shared" si="6"/>
        <v>27512.541909716212</v>
      </c>
      <c r="AD12" s="31">
        <f t="shared" si="6"/>
        <v>26940.513250730681</v>
      </c>
      <c r="AE12" s="31">
        <f t="shared" si="6"/>
        <v>27351.361119196736</v>
      </c>
      <c r="AF12" s="31">
        <f t="shared" si="6"/>
        <v>28164.662909244002</v>
      </c>
      <c r="AG12" s="31">
        <f t="shared" si="6"/>
        <v>28742.04630494244</v>
      </c>
      <c r="AH12" s="31">
        <f t="shared" si="6"/>
        <v>29461.82337025302</v>
      </c>
    </row>
    <row r="13" spans="1:34">
      <c r="A13" s="28" t="str">
        <f>'2-ф2'!A9</f>
        <v>Корма</v>
      </c>
      <c r="B13" s="27">
        <f t="shared" si="5"/>
        <v>21992.173294289933</v>
      </c>
      <c r="C13" s="32"/>
      <c r="D13" s="29">
        <f>'2-ф2'!D9*Исх!$C$18</f>
        <v>0</v>
      </c>
      <c r="E13" s="29">
        <f>'2-ф2'!E9*Исх!$C$18</f>
        <v>0</v>
      </c>
      <c r="F13" s="33">
        <f>O13*3</f>
        <v>706.36678125000003</v>
      </c>
      <c r="G13" s="29">
        <f>'2-ф2'!G9*Исх!$C$18</f>
        <v>235.45559374999999</v>
      </c>
      <c r="H13" s="29">
        <f>'2-ф2'!H9*Исх!$C$18</f>
        <v>235.45559374999999</v>
      </c>
      <c r="I13" s="29">
        <f>'2-ф2'!I9*Исх!$C$18</f>
        <v>235.45559374999999</v>
      </c>
      <c r="J13" s="29">
        <f>'2-ф2'!J9*Исх!$C$18</f>
        <v>235.45559374999999</v>
      </c>
      <c r="K13" s="29">
        <f>'2-ф2'!K9*Исх!$C$18</f>
        <v>235.45559374999999</v>
      </c>
      <c r="L13" s="29">
        <f>'2-ф2'!L9*Исх!$C$18</f>
        <v>235.45559374999999</v>
      </c>
      <c r="M13" s="29">
        <f>'2-ф2'!M9*Исх!$C$18</f>
        <v>235.45559374999999</v>
      </c>
      <c r="N13" s="29">
        <f>'2-ф2'!N9*Исх!$C$18</f>
        <v>235.45559374999999</v>
      </c>
      <c r="O13" s="29">
        <f>'2-ф2'!O9*Исх!$C$18</f>
        <v>235.45559374999999</v>
      </c>
      <c r="P13" s="27">
        <f t="shared" ref="P13:P18" si="7">SUM(D13:O13)</f>
        <v>2825.4671249999997</v>
      </c>
      <c r="Q13" s="29">
        <f>'2-ф2'!Q9*Исх!$C$18</f>
        <v>244.51157812499997</v>
      </c>
      <c r="R13" s="29">
        <f>'2-ф2'!R9*Исх!$C$18</f>
        <v>244.51157812499997</v>
      </c>
      <c r="S13" s="29">
        <f>'2-ф2'!S9*Исх!$C$18</f>
        <v>244.51157812499997</v>
      </c>
      <c r="T13" s="29">
        <f>'2-ф2'!T9*Исх!$C$18</f>
        <v>244.51157812499997</v>
      </c>
      <c r="U13" s="29">
        <f>'2-ф2'!U9*Исх!$C$18</f>
        <v>244.51157812499997</v>
      </c>
      <c r="V13" s="29">
        <f>'2-ф2'!V9*Исх!$C$18</f>
        <v>244.51157812499997</v>
      </c>
      <c r="W13" s="29">
        <f>'2-ф2'!W9*Исх!$C$18</f>
        <v>244.51157812499997</v>
      </c>
      <c r="X13" s="29">
        <f>'2-ф2'!X9*Исх!$C$18</f>
        <v>244.51157812499997</v>
      </c>
      <c r="Y13" s="29">
        <f>'2-ф2'!Y9*Исх!$C$18</f>
        <v>244.51157812499997</v>
      </c>
      <c r="Z13" s="29">
        <f>'2-ф2'!Z9*Исх!$C$18</f>
        <v>244.51157812499997</v>
      </c>
      <c r="AA13" s="29">
        <f>'2-ф2'!AA9*Исх!$C$18</f>
        <v>244.51157812499997</v>
      </c>
      <c r="AB13" s="29">
        <f>'2-ф2'!AB9*Исх!$C$18</f>
        <v>244.51157812499997</v>
      </c>
      <c r="AC13" s="27">
        <f t="shared" ref="AC13:AC18" si="8">SUM(Q13:AB13)</f>
        <v>2934.1389374999999</v>
      </c>
      <c r="AD13" s="29">
        <f>'2-ф2'!AD9*Исх!$C$18</f>
        <v>2945.00611875</v>
      </c>
      <c r="AE13" s="29">
        <f>'2-ф2'!AE9*Исх!$C$18</f>
        <v>3048.2443406250004</v>
      </c>
      <c r="AF13" s="29">
        <f>'2-ф2'!AF9*Исх!$C$18</f>
        <v>3162.8931028124998</v>
      </c>
      <c r="AG13" s="29">
        <f>'2-ф2'!AG9*Исх!$C$18</f>
        <v>3416.0279905034727</v>
      </c>
      <c r="AH13" s="29">
        <f>'2-ф2'!AH9*Исх!$C$18</f>
        <v>3660.3956790989596</v>
      </c>
    </row>
    <row r="14" spans="1:34">
      <c r="A14" s="28" t="str">
        <f>'2-ф2'!A10</f>
        <v>Сдельная заработная плата</v>
      </c>
      <c r="B14" s="27">
        <f>P14+AC14+AD14+AE14+AF14+AG14+AH14</f>
        <v>65148.1644996389</v>
      </c>
      <c r="C14" s="32"/>
      <c r="D14" s="29">
        <f>'2-ф2'!D10</f>
        <v>0</v>
      </c>
      <c r="E14" s="29">
        <f>'2-ф2'!E10</f>
        <v>0</v>
      </c>
      <c r="F14" s="29">
        <f>'2-ф2'!F10</f>
        <v>0</v>
      </c>
      <c r="G14" s="29">
        <f>'2-ф2'!G10</f>
        <v>705.69799999999998</v>
      </c>
      <c r="H14" s="29">
        <f>'2-ф2'!H10</f>
        <v>705.69799999999998</v>
      </c>
      <c r="I14" s="29">
        <f>'2-ф2'!I10</f>
        <v>705.69799999999998</v>
      </c>
      <c r="J14" s="29">
        <f>'2-ф2'!J10</f>
        <v>705.69799999999998</v>
      </c>
      <c r="K14" s="29">
        <f>'2-ф2'!K10</f>
        <v>705.69799999999998</v>
      </c>
      <c r="L14" s="29">
        <f>'2-ф2'!L10</f>
        <v>705.69799999999998</v>
      </c>
      <c r="M14" s="29">
        <f>'2-ф2'!M10</f>
        <v>705.69799999999998</v>
      </c>
      <c r="N14" s="29">
        <f>'2-ф2'!N10</f>
        <v>705.69799999999998</v>
      </c>
      <c r="O14" s="29">
        <f>'2-ф2'!O10</f>
        <v>705.69799999999998</v>
      </c>
      <c r="P14" s="27">
        <f>SUM(D14:O14)</f>
        <v>6351.2820000000011</v>
      </c>
      <c r="Q14" s="29">
        <f>'2-ф2'!Q10</f>
        <v>743.50324999999998</v>
      </c>
      <c r="R14" s="29">
        <f>'2-ф2'!R10</f>
        <v>743.50324999999998</v>
      </c>
      <c r="S14" s="29">
        <f>'2-ф2'!S10</f>
        <v>743.50324999999998</v>
      </c>
      <c r="T14" s="29">
        <f>'2-ф2'!T10</f>
        <v>743.50324999999998</v>
      </c>
      <c r="U14" s="29">
        <f>'2-ф2'!U10</f>
        <v>743.50324999999998</v>
      </c>
      <c r="V14" s="29">
        <f>'2-ф2'!V10</f>
        <v>743.50324999999998</v>
      </c>
      <c r="W14" s="29">
        <f>'2-ф2'!W10</f>
        <v>743.50324999999998</v>
      </c>
      <c r="X14" s="29">
        <f>'2-ф2'!X10</f>
        <v>743.50324999999998</v>
      </c>
      <c r="Y14" s="29">
        <f>'2-ф2'!Y10</f>
        <v>743.50324999999998</v>
      </c>
      <c r="Z14" s="29">
        <f>'2-ф2'!Z10</f>
        <v>743.50324999999998</v>
      </c>
      <c r="AA14" s="29">
        <f>'2-ф2'!AA10</f>
        <v>743.50324999999998</v>
      </c>
      <c r="AB14" s="29">
        <f>'2-ф2'!AB10</f>
        <v>743.50324999999998</v>
      </c>
      <c r="AC14" s="27">
        <f>SUM(Q14:AB14)</f>
        <v>8922.0389999999989</v>
      </c>
      <c r="AD14" s="29">
        <f>'2-ф2'!AD10</f>
        <v>9017.8123000000014</v>
      </c>
      <c r="AE14" s="29">
        <f>'2-ф2'!AE10</f>
        <v>9356.3793166666674</v>
      </c>
      <c r="AF14" s="29">
        <f>'2-ф2'!AF10</f>
        <v>9725.4985761111129</v>
      </c>
      <c r="AG14" s="29">
        <f>'2-ф2'!AG10</f>
        <v>10505.700922500004</v>
      </c>
      <c r="AH14" s="29">
        <f>'2-ф2'!AH10</f>
        <v>11269.452384361115</v>
      </c>
    </row>
    <row r="15" spans="1:34">
      <c r="A15" s="28" t="s">
        <v>167</v>
      </c>
      <c r="B15" s="27">
        <f t="shared" si="5"/>
        <v>79589.538390759175</v>
      </c>
      <c r="C15" s="27"/>
      <c r="D15" s="29"/>
      <c r="E15" s="29"/>
      <c r="F15" s="29"/>
      <c r="G15" s="29">
        <f>(Пост!$C$16-Пост!$C$6)*Исх!$C$18+Пост!$C$6+Пост!$C$18+Пост!$C$21</f>
        <v>973.04444885860937</v>
      </c>
      <c r="H15" s="29">
        <f>(Пост!$C$16-Пост!$C$6)*Исх!$C$18+Пост!$C$6+Пост!$C$18+Пост!$C$21</f>
        <v>973.04444885860937</v>
      </c>
      <c r="I15" s="29">
        <f>(Пост!$C$16-Пост!$C$6)*Исх!$C$18+Пост!$C$6+Пост!$C$18+Пост!$C$21</f>
        <v>973.04444885860937</v>
      </c>
      <c r="J15" s="29">
        <f>(Пост!$C$16-Пост!$C$6)*Исх!$C$18+Пост!$C$6+Пост!$C$18+Пост!$C$21</f>
        <v>973.04444885860937</v>
      </c>
      <c r="K15" s="29">
        <f>(Пост!$C$16-Пост!$C$6)*Исх!$C$18+Пост!$C$6+Пост!$C$18+Пост!$C$21</f>
        <v>973.04444885860937</v>
      </c>
      <c r="L15" s="29">
        <f>(Пост!$C$16-Пост!$C$6)*Исх!$C$18+Пост!$C$6+Пост!$C$18+Пост!$C$21</f>
        <v>973.04444885860937</v>
      </c>
      <c r="M15" s="29">
        <f>(Пост!$C$16-Пост!$C$6)*Исх!$C$18+Пост!$C$6+Пост!$C$18+Пост!$C$21</f>
        <v>973.04444885860937</v>
      </c>
      <c r="N15" s="29">
        <f>(Пост!$C$16-Пост!$C$6)*Исх!$C$18+Пост!$C$6+Пост!$C$18+Пост!$C$21</f>
        <v>973.04444885860937</v>
      </c>
      <c r="O15" s="29">
        <f>(Пост!$C$16-Пост!$C$6)*Исх!$C$18+Пост!$C$6+Пост!$C$18+Пост!$C$21</f>
        <v>973.04444885860937</v>
      </c>
      <c r="P15" s="27">
        <f t="shared" si="7"/>
        <v>8757.4000397274831</v>
      </c>
      <c r="Q15" s="29">
        <f>(Пост!$D$16-Пост!$D$6)*Исх!$C$18+Пост!$D$6+Пост!$D$18+Пост!$D$21</f>
        <v>975.59543527611652</v>
      </c>
      <c r="R15" s="29">
        <f>(Пост!$D$16-Пост!$D$6)*Исх!$C$18+Пост!$D$6+Пост!$D$18+Пост!$D$21</f>
        <v>975.59543527611652</v>
      </c>
      <c r="S15" s="29">
        <f>(Пост!$D$16-Пост!$D$6)*Исх!$C$18+Пост!$D$6+Пост!$D$18+Пост!$D$21</f>
        <v>975.59543527611652</v>
      </c>
      <c r="T15" s="29">
        <f>(Пост!$D$16-Пост!$D$6)*Исх!$C$18+Пост!$D$6+Пост!$D$18+Пост!$D$21</f>
        <v>975.59543527611652</v>
      </c>
      <c r="U15" s="29">
        <f>(Пост!$D$16-Пост!$D$6)*Исх!$C$18+Пост!$D$6+Пост!$D$18+Пост!$D$21</f>
        <v>975.59543527611652</v>
      </c>
      <c r="V15" s="29">
        <f>(Пост!$D$16-Пост!$D$6)*Исх!$C$18+Пост!$D$6+Пост!$D$18+Пост!$D$21</f>
        <v>975.59543527611652</v>
      </c>
      <c r="W15" s="29">
        <f>(Пост!$D$16-Пост!$D$6)*Исх!$C$18+Пост!$D$6+Пост!$D$18+Пост!$D$21</f>
        <v>975.59543527611652</v>
      </c>
      <c r="X15" s="29">
        <f>(Пост!$D$16-Пост!$D$6)*Исх!$C$18+Пост!$D$6+Пост!$D$18+Пост!$D$21</f>
        <v>975.59543527611652</v>
      </c>
      <c r="Y15" s="29">
        <f>(Пост!$D$16-Пост!$D$6)*Исх!$C$18+Пост!$D$6+Пост!$D$18+Пост!$D$21</f>
        <v>975.59543527611652</v>
      </c>
      <c r="Z15" s="29">
        <f>(Пост!$D$16-Пост!$D$6)*Исх!$C$18+Пост!$D$6+Пост!$D$18+Пост!$D$21</f>
        <v>975.59543527611652</v>
      </c>
      <c r="AA15" s="29">
        <f>(Пост!$D$16-Пост!$D$6)*Исх!$C$18+Пост!$D$6+Пост!$D$18+Пост!$D$21</f>
        <v>975.59543527611652</v>
      </c>
      <c r="AB15" s="29">
        <f>(Пост!$D$16-Пост!$D$6)*Исх!$C$18+Пост!$D$6+Пост!$D$18+Пост!$D$21</f>
        <v>975.59543527611652</v>
      </c>
      <c r="AC15" s="27">
        <f t="shared" si="8"/>
        <v>11707.145223313399</v>
      </c>
      <c r="AD15" s="29">
        <f>((Пост!E16-Пост!E6)*Исх!$C$18+Пост!E6+Пост!E18+Пост!E21)*12</f>
        <v>11741.117060323486</v>
      </c>
      <c r="AE15" s="29">
        <f>((Пост!F16-Пост!F6)*Исх!$C$18+Пост!F6+Пост!F18+Пост!F21)*12</f>
        <v>11778.784897333571</v>
      </c>
      <c r="AF15" s="29">
        <f>((Пост!G16-Пост!G6)*Исх!$C$18+Пост!G6+Пост!G18+Пост!G21)*12</f>
        <v>11820.51833434366</v>
      </c>
      <c r="AG15" s="29">
        <f>((Пост!H16-Пост!H6)*Исх!$C$18+Пост!H6+Пост!H18+Пост!H21)*12</f>
        <v>11866.723931353745</v>
      </c>
      <c r="AH15" s="29">
        <f>((Пост!I16-Пост!I6)*Исх!$C$18+Пост!I6+Пост!I18+Пост!I21)*12</f>
        <v>11917.848904363831</v>
      </c>
    </row>
    <row r="16" spans="1:34">
      <c r="A16" s="28" t="s">
        <v>59</v>
      </c>
      <c r="B16" s="27">
        <f t="shared" si="5"/>
        <v>14104.352674652897</v>
      </c>
      <c r="C16" s="27"/>
      <c r="D16" s="29">
        <f>кр!C11</f>
        <v>0</v>
      </c>
      <c r="E16" s="29">
        <f>кр!D11</f>
        <v>0</v>
      </c>
      <c r="F16" s="29">
        <f>кр!E11</f>
        <v>0</v>
      </c>
      <c r="G16" s="29">
        <f>кр!F11</f>
        <v>0</v>
      </c>
      <c r="H16" s="29">
        <f>кр!G11</f>
        <v>0</v>
      </c>
      <c r="I16" s="29">
        <f>кр!H11</f>
        <v>0</v>
      </c>
      <c r="J16" s="29">
        <f>кр!I11</f>
        <v>0</v>
      </c>
      <c r="K16" s="29">
        <f>кр!J11</f>
        <v>0</v>
      </c>
      <c r="L16" s="29">
        <f>кр!K11</f>
        <v>0</v>
      </c>
      <c r="M16" s="29">
        <f>кр!L11</f>
        <v>371.16717564876063</v>
      </c>
      <c r="N16" s="29">
        <f>кр!M11</f>
        <v>366.21827997344388</v>
      </c>
      <c r="O16" s="29">
        <f>кр!N11</f>
        <v>361.26938429812708</v>
      </c>
      <c r="P16" s="27">
        <f t="shared" si="7"/>
        <v>1098.6548399203316</v>
      </c>
      <c r="Q16" s="29">
        <f>кр!P11</f>
        <v>356.32048862281022</v>
      </c>
      <c r="R16" s="29">
        <f>кр!Q11</f>
        <v>351.37159294749341</v>
      </c>
      <c r="S16" s="29">
        <f>кр!R11</f>
        <v>346.42269727217666</v>
      </c>
      <c r="T16" s="29">
        <f>кр!S11</f>
        <v>341.4738015968598</v>
      </c>
      <c r="U16" s="29">
        <f>кр!T11</f>
        <v>336.524905921543</v>
      </c>
      <c r="V16" s="29">
        <f>кр!U11</f>
        <v>331.57601024622619</v>
      </c>
      <c r="W16" s="29">
        <f>кр!V11</f>
        <v>326.62711457090938</v>
      </c>
      <c r="X16" s="29">
        <f>кр!W11</f>
        <v>321.67821889559258</v>
      </c>
      <c r="Y16" s="29">
        <f>кр!X11</f>
        <v>316.72932322027572</v>
      </c>
      <c r="Z16" s="29">
        <f>кр!Y11</f>
        <v>311.78042754495897</v>
      </c>
      <c r="AA16" s="29">
        <f>кр!Z11</f>
        <v>306.83153186964211</v>
      </c>
      <c r="AB16" s="29">
        <f>кр!AA11</f>
        <v>301.8826361943253</v>
      </c>
      <c r="AC16" s="27">
        <f t="shared" si="8"/>
        <v>3949.2187489028133</v>
      </c>
      <c r="AD16" s="34">
        <f>кр!AO11</f>
        <v>3236.5777716571924</v>
      </c>
      <c r="AE16" s="34">
        <f>кр!BB11</f>
        <v>2523.9367944115716</v>
      </c>
      <c r="AF16" s="34">
        <f>кр!BO11</f>
        <v>1811.2958171659509</v>
      </c>
      <c r="AG16" s="34">
        <f>кр!CB11</f>
        <v>1098.65483992033</v>
      </c>
      <c r="AH16" s="34">
        <f>кр!CO11</f>
        <v>386.01386267470923</v>
      </c>
    </row>
    <row r="17" spans="1:34">
      <c r="A17" s="28" t="s">
        <v>20</v>
      </c>
      <c r="B17" s="27">
        <f t="shared" si="5"/>
        <v>2126.164190787852</v>
      </c>
      <c r="C17" s="27"/>
      <c r="D17" s="29">
        <f>'2-ф2'!D16</f>
        <v>0</v>
      </c>
      <c r="E17" s="29">
        <f>'2-ф2'!E16</f>
        <v>0</v>
      </c>
      <c r="F17" s="29">
        <f>'2-ф2'!F16</f>
        <v>0</v>
      </c>
      <c r="G17" s="29">
        <f>'2-ф2'!G16</f>
        <v>0</v>
      </c>
      <c r="H17" s="29">
        <f>'2-ф2'!H16</f>
        <v>0</v>
      </c>
      <c r="I17" s="29">
        <f>'2-ф2'!I16</f>
        <v>0</v>
      </c>
      <c r="J17" s="29">
        <f>'2-ф2'!J16</f>
        <v>0</v>
      </c>
      <c r="K17" s="29">
        <f>'2-ф2'!K16</f>
        <v>0</v>
      </c>
      <c r="L17" s="29">
        <f>'2-ф2'!L16</f>
        <v>0</v>
      </c>
      <c r="M17" s="29">
        <f>'2-ф2'!M16</f>
        <v>0</v>
      </c>
      <c r="N17" s="29">
        <f>'2-ф2'!N16</f>
        <v>0</v>
      </c>
      <c r="O17" s="29">
        <f>'2-ф2'!O16</f>
        <v>0</v>
      </c>
      <c r="P17" s="27">
        <f t="shared" si="7"/>
        <v>0</v>
      </c>
      <c r="Q17" s="29">
        <f>'2-ф2'!Q16</f>
        <v>0</v>
      </c>
      <c r="R17" s="29">
        <f>'2-ф2'!R16</f>
        <v>0</v>
      </c>
      <c r="S17" s="29">
        <f>'2-ф2'!S16</f>
        <v>0</v>
      </c>
      <c r="T17" s="29">
        <f>'2-ф2'!T16</f>
        <v>0</v>
      </c>
      <c r="U17" s="29">
        <f>'2-ф2'!U16</f>
        <v>0</v>
      </c>
      <c r="V17" s="29">
        <f>'2-ф2'!V16</f>
        <v>0</v>
      </c>
      <c r="W17" s="29">
        <f>'2-ф2'!W16</f>
        <v>0</v>
      </c>
      <c r="X17" s="29">
        <f>'2-ф2'!X16</f>
        <v>0</v>
      </c>
      <c r="Y17" s="29">
        <f>'2-ф2'!Y16</f>
        <v>0</v>
      </c>
      <c r="Z17" s="29">
        <f>'2-ф2'!Z16</f>
        <v>0</v>
      </c>
      <c r="AA17" s="29">
        <f>'2-ф2'!AA16</f>
        <v>0</v>
      </c>
      <c r="AB17" s="29">
        <f>'2-ф2'!AB16</f>
        <v>0</v>
      </c>
      <c r="AC17" s="27">
        <f t="shared" si="8"/>
        <v>0</v>
      </c>
      <c r="AD17" s="29">
        <f>'2-ф2'!AD16</f>
        <v>0</v>
      </c>
      <c r="AE17" s="29">
        <f>'2-ф2'!AE16</f>
        <v>153.64797177777879</v>
      </c>
      <c r="AF17" s="29">
        <f>'2-ф2'!AF16</f>
        <v>493.38971292498678</v>
      </c>
      <c r="AG17" s="29">
        <f>'2-ф2'!AG16</f>
        <v>623.48777944535652</v>
      </c>
      <c r="AH17" s="29">
        <f>'2-ф2'!AH16</f>
        <v>855.63872663973007</v>
      </c>
    </row>
    <row r="18" spans="1:34">
      <c r="A18" s="28" t="s">
        <v>38</v>
      </c>
      <c r="B18" s="27">
        <f t="shared" si="5"/>
        <v>4245.3598186021391</v>
      </c>
      <c r="C18" s="27"/>
      <c r="D18" s="29">
        <f>'2-ф2'!D31</f>
        <v>0</v>
      </c>
      <c r="E18" s="29">
        <f>'2-ф2'!E31</f>
        <v>0</v>
      </c>
      <c r="F18" s="29">
        <f>'2-ф2'!F31</f>
        <v>0</v>
      </c>
      <c r="G18" s="29">
        <f>'2-ф2'!G31</f>
        <v>0</v>
      </c>
      <c r="H18" s="29">
        <f>'2-ф2'!H31</f>
        <v>0</v>
      </c>
      <c r="I18" s="29">
        <f>'2-ф2'!I31</f>
        <v>0</v>
      </c>
      <c r="J18" s="29">
        <f>'2-ф2'!J31</f>
        <v>0</v>
      </c>
      <c r="K18" s="29">
        <f>'2-ф2'!K31</f>
        <v>0</v>
      </c>
      <c r="L18" s="29">
        <f>'2-ф2'!L31</f>
        <v>0</v>
      </c>
      <c r="M18" s="29">
        <f>'2-ф2'!M31</f>
        <v>0</v>
      </c>
      <c r="N18" s="29">
        <f>'2-ф2'!N31</f>
        <v>0</v>
      </c>
      <c r="O18" s="29">
        <f>'2-ф2'!O31</f>
        <v>0</v>
      </c>
      <c r="P18" s="27">
        <f t="shared" si="7"/>
        <v>0</v>
      </c>
      <c r="Q18" s="29">
        <f>'2-ф2'!Q31</f>
        <v>0</v>
      </c>
      <c r="R18" s="29">
        <f>'2-ф2'!R31</f>
        <v>0</v>
      </c>
      <c r="S18" s="29">
        <f>'2-ф2'!S31</f>
        <v>0</v>
      </c>
      <c r="T18" s="29">
        <f>'2-ф2'!T31</f>
        <v>0</v>
      </c>
      <c r="U18" s="29">
        <f>'2-ф2'!U31</f>
        <v>0</v>
      </c>
      <c r="V18" s="29">
        <f>'2-ф2'!V31</f>
        <v>0</v>
      </c>
      <c r="W18" s="29">
        <f>'2-ф2'!W31</f>
        <v>0</v>
      </c>
      <c r="X18" s="29">
        <f>'2-ф2'!X31</f>
        <v>0</v>
      </c>
      <c r="Y18" s="29">
        <f>'2-ф2'!Y31</f>
        <v>0</v>
      </c>
      <c r="Z18" s="29">
        <f>'2-ф2'!Z31</f>
        <v>0</v>
      </c>
      <c r="AA18" s="29">
        <f>'2-ф2'!AA31</f>
        <v>0</v>
      </c>
      <c r="AB18" s="29">
        <f>'2-ф2'!AB31</f>
        <v>0</v>
      </c>
      <c r="AC18" s="27">
        <f t="shared" si="8"/>
        <v>0</v>
      </c>
      <c r="AD18" s="29">
        <f>'2-ф2'!AD31</f>
        <v>0</v>
      </c>
      <c r="AE18" s="29">
        <f>'2-ф2'!AE31</f>
        <v>490.36779838214238</v>
      </c>
      <c r="AF18" s="29">
        <f>'2-ф2'!AF31</f>
        <v>1151.0673658857888</v>
      </c>
      <c r="AG18" s="29">
        <f>'2-ф2'!AG31</f>
        <v>1231.4508412195314</v>
      </c>
      <c r="AH18" s="29">
        <f>'2-ф2'!AH31</f>
        <v>1372.4738131146767</v>
      </c>
    </row>
    <row r="19" spans="1:34" s="21" customFormat="1" ht="25.5">
      <c r="A19" s="35" t="s">
        <v>21</v>
      </c>
      <c r="B19" s="18">
        <f>B9-B12</f>
        <v>77015.009224306181</v>
      </c>
      <c r="C19" s="18"/>
      <c r="D19" s="18">
        <f t="shared" ref="D19:AH19" si="9">D9-D12</f>
        <v>0</v>
      </c>
      <c r="E19" s="18">
        <f t="shared" si="9"/>
        <v>0</v>
      </c>
      <c r="F19" s="18">
        <f t="shared" si="9"/>
        <v>-706.36678125000003</v>
      </c>
      <c r="G19" s="18">
        <f t="shared" si="9"/>
        <v>-337.23804260860925</v>
      </c>
      <c r="H19" s="18">
        <f t="shared" si="9"/>
        <v>-337.23804260860925</v>
      </c>
      <c r="I19" s="18">
        <f t="shared" si="9"/>
        <v>-337.23804260860925</v>
      </c>
      <c r="J19" s="18">
        <f t="shared" si="9"/>
        <v>-337.23804260860925</v>
      </c>
      <c r="K19" s="18">
        <f t="shared" si="9"/>
        <v>-337.23804260860925</v>
      </c>
      <c r="L19" s="18">
        <f t="shared" si="9"/>
        <v>-337.23804260860925</v>
      </c>
      <c r="M19" s="18">
        <f t="shared" si="9"/>
        <v>-708.40521825737005</v>
      </c>
      <c r="N19" s="18">
        <f t="shared" si="9"/>
        <v>-703.45632258205296</v>
      </c>
      <c r="O19" s="18">
        <f t="shared" si="9"/>
        <v>-698.50742690673633</v>
      </c>
      <c r="P19" s="18">
        <f t="shared" si="9"/>
        <v>-4840.1640046478133</v>
      </c>
      <c r="Q19" s="18">
        <f t="shared" si="9"/>
        <v>538.80204797607394</v>
      </c>
      <c r="R19" s="18">
        <f t="shared" si="9"/>
        <v>543.75094365139057</v>
      </c>
      <c r="S19" s="18">
        <f t="shared" si="9"/>
        <v>548.69983932670721</v>
      </c>
      <c r="T19" s="18">
        <f t="shared" si="9"/>
        <v>553.6487350020243</v>
      </c>
      <c r="U19" s="18">
        <f t="shared" si="9"/>
        <v>558.59763067734093</v>
      </c>
      <c r="V19" s="18">
        <f t="shared" si="9"/>
        <v>563.54652635265757</v>
      </c>
      <c r="W19" s="18">
        <f t="shared" si="9"/>
        <v>568.49542202797466</v>
      </c>
      <c r="X19" s="18">
        <f t="shared" si="9"/>
        <v>573.44431770329129</v>
      </c>
      <c r="Y19" s="18">
        <f t="shared" si="9"/>
        <v>578.39321337860838</v>
      </c>
      <c r="Z19" s="18">
        <f t="shared" si="9"/>
        <v>583.34210905392501</v>
      </c>
      <c r="AA19" s="18">
        <f t="shared" si="9"/>
        <v>588.29100472924165</v>
      </c>
      <c r="AB19" s="18">
        <f t="shared" si="9"/>
        <v>593.23990040455874</v>
      </c>
      <c r="AC19" s="18">
        <f t="shared" si="9"/>
        <v>6792.2516902837851</v>
      </c>
      <c r="AD19" s="18">
        <f t="shared" si="9"/>
        <v>12995.341682602655</v>
      </c>
      <c r="AE19" s="18">
        <f t="shared" si="9"/>
        <v>12402.508249692168</v>
      </c>
      <c r="AF19" s="18">
        <f t="shared" si="9"/>
        <v>13749.152510015261</v>
      </c>
      <c r="AG19" s="18">
        <f t="shared" si="9"/>
        <v>15974.916994613133</v>
      </c>
      <c r="AH19" s="18">
        <f t="shared" si="9"/>
        <v>19941.002101746999</v>
      </c>
    </row>
    <row r="20" spans="1:34" s="21" customFormat="1">
      <c r="A20" s="22" t="s">
        <v>22</v>
      </c>
      <c r="B20" s="23"/>
      <c r="C20" s="23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6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36"/>
      <c r="AD20" s="36"/>
      <c r="AE20" s="36"/>
      <c r="AF20" s="36"/>
      <c r="AG20" s="36"/>
      <c r="AH20" s="36"/>
    </row>
    <row r="21" spans="1:34" s="21" customFormat="1">
      <c r="A21" s="26" t="s">
        <v>7</v>
      </c>
      <c r="B21" s="27"/>
      <c r="C21" s="2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2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27"/>
      <c r="AD21" s="27"/>
      <c r="AE21" s="27"/>
      <c r="AF21" s="27"/>
      <c r="AG21" s="27"/>
      <c r="AH21" s="27"/>
    </row>
    <row r="22" spans="1:34" s="21" customFormat="1">
      <c r="A22" s="26" t="s">
        <v>8</v>
      </c>
      <c r="B22" s="27">
        <f>P22+AC22+AD22+AE22+AF22+AG22+AH22</f>
        <v>90523.038319569459</v>
      </c>
      <c r="C22" s="27"/>
      <c r="D22" s="27">
        <f>SUM(D23:D24)</f>
        <v>7549.7645310277794</v>
      </c>
      <c r="E22" s="27">
        <f t="shared" ref="D22:AC22" si="10">SUM(E23:E24)</f>
        <v>15843.697593341669</v>
      </c>
      <c r="F22" s="27">
        <f t="shared" si="10"/>
        <v>67129.576195200003</v>
      </c>
      <c r="G22" s="27">
        <f t="shared" si="10"/>
        <v>0</v>
      </c>
      <c r="H22" s="27">
        <f>SUM(H23:H24)</f>
        <v>0</v>
      </c>
      <c r="I22" s="27">
        <f t="shared" si="10"/>
        <v>0</v>
      </c>
      <c r="J22" s="27">
        <f t="shared" si="10"/>
        <v>0</v>
      </c>
      <c r="K22" s="27">
        <f t="shared" si="10"/>
        <v>0</v>
      </c>
      <c r="L22" s="27">
        <f t="shared" si="10"/>
        <v>0</v>
      </c>
      <c r="M22" s="27">
        <f t="shared" si="10"/>
        <v>0</v>
      </c>
      <c r="N22" s="27">
        <f t="shared" si="10"/>
        <v>0</v>
      </c>
      <c r="O22" s="27">
        <f t="shared" si="10"/>
        <v>0</v>
      </c>
      <c r="P22" s="27">
        <f t="shared" si="10"/>
        <v>90523.038319569459</v>
      </c>
      <c r="Q22" s="27">
        <f t="shared" si="10"/>
        <v>0</v>
      </c>
      <c r="R22" s="27">
        <f t="shared" si="10"/>
        <v>0</v>
      </c>
      <c r="S22" s="27">
        <f t="shared" si="10"/>
        <v>0</v>
      </c>
      <c r="T22" s="27">
        <f t="shared" si="10"/>
        <v>0</v>
      </c>
      <c r="U22" s="27">
        <f t="shared" si="10"/>
        <v>0</v>
      </c>
      <c r="V22" s="27">
        <f t="shared" si="10"/>
        <v>0</v>
      </c>
      <c r="W22" s="27">
        <f t="shared" si="10"/>
        <v>0</v>
      </c>
      <c r="X22" s="27">
        <f t="shared" si="10"/>
        <v>0</v>
      </c>
      <c r="Y22" s="27">
        <f t="shared" si="10"/>
        <v>0</v>
      </c>
      <c r="Z22" s="27">
        <f t="shared" si="10"/>
        <v>0</v>
      </c>
      <c r="AA22" s="27">
        <f t="shared" si="10"/>
        <v>0</v>
      </c>
      <c r="AB22" s="27">
        <f t="shared" si="10"/>
        <v>0</v>
      </c>
      <c r="AC22" s="27">
        <f t="shared" si="10"/>
        <v>0</v>
      </c>
      <c r="AD22" s="27">
        <f>SUM(AD23:AD24)</f>
        <v>0</v>
      </c>
      <c r="AE22" s="27">
        <f>SUM(AE23:AE24)</f>
        <v>0</v>
      </c>
      <c r="AF22" s="27">
        <f>SUM(AF23:AF24)</f>
        <v>0</v>
      </c>
      <c r="AG22" s="27">
        <f>SUM(AG23:AG24)</f>
        <v>0</v>
      </c>
      <c r="AH22" s="27">
        <f>SUM(AH23:AH24)</f>
        <v>0</v>
      </c>
    </row>
    <row r="23" spans="1:34">
      <c r="A23" s="38" t="s">
        <v>23</v>
      </c>
      <c r="B23" s="27">
        <f>P23+AC23+AD23+AE23+AF23+AG23+AH23</f>
        <v>90523.038319569459</v>
      </c>
      <c r="C23" s="27"/>
      <c r="D23" s="29">
        <f>Инв!E20</f>
        <v>7549.7645310277794</v>
      </c>
      <c r="E23" s="29">
        <f>Инв!F20</f>
        <v>15843.697593341669</v>
      </c>
      <c r="F23" s="29">
        <f>Инв!G20</f>
        <v>67129.576195200003</v>
      </c>
      <c r="G23" s="29">
        <f>Инв!H20</f>
        <v>0</v>
      </c>
      <c r="H23" s="29">
        <f>Инв!I20</f>
        <v>0</v>
      </c>
      <c r="I23" s="29">
        <f>Инв!J20</f>
        <v>0</v>
      </c>
      <c r="J23" s="29">
        <f>Инв!K20</f>
        <v>0</v>
      </c>
      <c r="K23" s="29"/>
      <c r="L23" s="29">
        <f>Инв!M20</f>
        <v>0</v>
      </c>
      <c r="M23" s="29">
        <f>Инв!N20</f>
        <v>0</v>
      </c>
      <c r="N23" s="29">
        <f>Инв!O20</f>
        <v>0</v>
      </c>
      <c r="O23" s="29">
        <f>Инв!P20</f>
        <v>0</v>
      </c>
      <c r="P23" s="27">
        <f>SUM(D23:O23)</f>
        <v>90523.038319569459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7">
        <f>SUM(Q23:AB23)</f>
        <v>0</v>
      </c>
      <c r="AD23" s="27"/>
      <c r="AE23" s="27"/>
      <c r="AF23" s="27"/>
      <c r="AG23" s="27"/>
      <c r="AH23" s="27"/>
    </row>
    <row r="24" spans="1:34" hidden="1" outlineLevel="1">
      <c r="A24" s="38"/>
      <c r="B24" s="27"/>
      <c r="C24" s="27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7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7"/>
      <c r="AD24" s="27"/>
      <c r="AE24" s="27"/>
      <c r="AF24" s="27"/>
      <c r="AG24" s="27"/>
      <c r="AH24" s="27"/>
    </row>
    <row r="25" spans="1:34" s="21" customFormat="1" ht="25.5" collapsed="1">
      <c r="A25" s="39" t="s">
        <v>24</v>
      </c>
      <c r="B25" s="18">
        <f>B21-B22</f>
        <v>-90523.038319569459</v>
      </c>
      <c r="C25" s="18"/>
      <c r="D25" s="18">
        <f>D21-D22</f>
        <v>-7549.7645310277794</v>
      </c>
      <c r="E25" s="18">
        <f t="shared" ref="E25:O25" si="11">E21-E22</f>
        <v>-15843.697593341669</v>
      </c>
      <c r="F25" s="18">
        <f t="shared" si="11"/>
        <v>-67129.576195200003</v>
      </c>
      <c r="G25" s="18">
        <f t="shared" si="11"/>
        <v>0</v>
      </c>
      <c r="H25" s="18">
        <f t="shared" si="11"/>
        <v>0</v>
      </c>
      <c r="I25" s="18">
        <f t="shared" si="11"/>
        <v>0</v>
      </c>
      <c r="J25" s="18">
        <f>J21-J22</f>
        <v>0</v>
      </c>
      <c r="K25" s="18">
        <f t="shared" si="11"/>
        <v>0</v>
      </c>
      <c r="L25" s="18">
        <f t="shared" si="11"/>
        <v>0</v>
      </c>
      <c r="M25" s="18">
        <f t="shared" si="11"/>
        <v>0</v>
      </c>
      <c r="N25" s="18">
        <f t="shared" si="11"/>
        <v>0</v>
      </c>
      <c r="O25" s="18">
        <f t="shared" si="11"/>
        <v>0</v>
      </c>
      <c r="P25" s="18">
        <f>SUM(D25:O25)</f>
        <v>-90523.038319569459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s="43" customFormat="1">
      <c r="A26" s="40" t="s">
        <v>25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2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2"/>
      <c r="AD26" s="42"/>
      <c r="AE26" s="42"/>
      <c r="AF26" s="42"/>
      <c r="AG26" s="42"/>
      <c r="AH26" s="42"/>
    </row>
    <row r="27" spans="1:34" s="21" customFormat="1">
      <c r="A27" s="22" t="s">
        <v>26</v>
      </c>
      <c r="B27" s="23"/>
      <c r="C27" s="23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36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36"/>
      <c r="AD27" s="36"/>
      <c r="AE27" s="36"/>
      <c r="AF27" s="36"/>
      <c r="AG27" s="36"/>
      <c r="AH27" s="36"/>
    </row>
    <row r="28" spans="1:34" s="21" customFormat="1">
      <c r="A28" s="26" t="s">
        <v>7</v>
      </c>
      <c r="B28" s="27">
        <f>SUM(B29:B30)</f>
        <v>94229.405100819466</v>
      </c>
      <c r="C28" s="27"/>
      <c r="D28" s="27">
        <f>SUM(D29:D30)</f>
        <v>7549.7645310277794</v>
      </c>
      <c r="E28" s="27">
        <f t="shared" ref="E28:O28" si="12">SUM(E29:E30)</f>
        <v>15843.697593341669</v>
      </c>
      <c r="F28" s="27">
        <f t="shared" si="12"/>
        <v>67835.942976450009</v>
      </c>
      <c r="G28" s="27">
        <f t="shared" si="12"/>
        <v>0</v>
      </c>
      <c r="H28" s="27">
        <f t="shared" si="12"/>
        <v>0</v>
      </c>
      <c r="I28" s="27">
        <f t="shared" si="12"/>
        <v>3000</v>
      </c>
      <c r="J28" s="27">
        <f t="shared" si="12"/>
        <v>0</v>
      </c>
      <c r="K28" s="27">
        <f t="shared" si="12"/>
        <v>0</v>
      </c>
      <c r="L28" s="27">
        <f t="shared" si="12"/>
        <v>0</v>
      </c>
      <c r="M28" s="27">
        <f t="shared" si="12"/>
        <v>0</v>
      </c>
      <c r="N28" s="27">
        <f t="shared" si="12"/>
        <v>0</v>
      </c>
      <c r="O28" s="27">
        <f t="shared" si="12"/>
        <v>0</v>
      </c>
      <c r="P28" s="27">
        <f t="shared" ref="P28:AD28" si="13">SUM(P29:P30)</f>
        <v>94229.405100819466</v>
      </c>
      <c r="Q28" s="27">
        <f t="shared" si="13"/>
        <v>0</v>
      </c>
      <c r="R28" s="27">
        <f t="shared" si="13"/>
        <v>0</v>
      </c>
      <c r="S28" s="27">
        <f t="shared" si="13"/>
        <v>0</v>
      </c>
      <c r="T28" s="27">
        <f t="shared" si="13"/>
        <v>0</v>
      </c>
      <c r="U28" s="27">
        <f t="shared" si="13"/>
        <v>0</v>
      </c>
      <c r="V28" s="27">
        <f t="shared" si="13"/>
        <v>0</v>
      </c>
      <c r="W28" s="27">
        <f t="shared" si="13"/>
        <v>0</v>
      </c>
      <c r="X28" s="27">
        <f t="shared" si="13"/>
        <v>0</v>
      </c>
      <c r="Y28" s="27">
        <f t="shared" si="13"/>
        <v>0</v>
      </c>
      <c r="Z28" s="27">
        <f t="shared" si="13"/>
        <v>0</v>
      </c>
      <c r="AA28" s="27">
        <f t="shared" si="13"/>
        <v>0</v>
      </c>
      <c r="AB28" s="27">
        <f t="shared" si="13"/>
        <v>0</v>
      </c>
      <c r="AC28" s="27">
        <f t="shared" si="13"/>
        <v>0</v>
      </c>
      <c r="AD28" s="27">
        <f t="shared" si="13"/>
        <v>0</v>
      </c>
      <c r="AE28" s="27">
        <f>SUM(AE29:AE30)</f>
        <v>0</v>
      </c>
      <c r="AF28" s="27">
        <f>SUM(AF29:AF30)</f>
        <v>0</v>
      </c>
      <c r="AG28" s="27">
        <f>SUM(AG29:AG30)</f>
        <v>0</v>
      </c>
      <c r="AH28" s="27">
        <f>SUM(AH29:AH30)</f>
        <v>0</v>
      </c>
    </row>
    <row r="29" spans="1:34" ht="12.75" customHeight="1">
      <c r="A29" s="38" t="s">
        <v>61</v>
      </c>
      <c r="B29" s="27">
        <f>P29+AC29+AD29+AE29+AF29+AG29+AH29</f>
        <v>32830.291785286812</v>
      </c>
      <c r="C29" s="27"/>
      <c r="D29" s="29">
        <f>(-D19-D25)*Исх!$C$8</f>
        <v>2642.4175858597227</v>
      </c>
      <c r="E29" s="29">
        <f>(-E19-E25)*Исх!$C$8</f>
        <v>5545.2941576695839</v>
      </c>
      <c r="F29" s="29">
        <f>(-F19-F25)*Исх!$C$8</f>
        <v>23742.580041757501</v>
      </c>
      <c r="G29" s="29"/>
      <c r="H29" s="29"/>
      <c r="I29" s="33">
        <v>900</v>
      </c>
      <c r="J29" s="29">
        <f>Инв!K5*Исх!$C$19</f>
        <v>0</v>
      </c>
      <c r="K29" s="29">
        <f>Инв!L5*Исх!$C$19</f>
        <v>0</v>
      </c>
      <c r="L29" s="29">
        <f>Инв!M5*Исх!$C$19</f>
        <v>0</v>
      </c>
      <c r="M29" s="29">
        <f>Инв!N5*Исх!$C$19</f>
        <v>0</v>
      </c>
      <c r="N29" s="29">
        <f>Инв!O5*Исх!$C$19</f>
        <v>0</v>
      </c>
      <c r="O29" s="29">
        <f>Инв!P5*Исх!$C$19</f>
        <v>0</v>
      </c>
      <c r="P29" s="27">
        <f>SUM(D29:O29)</f>
        <v>32830.291785286812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7">
        <f>SUM(Q29:AB29)</f>
        <v>0</v>
      </c>
      <c r="AD29" s="27"/>
      <c r="AE29" s="27"/>
      <c r="AF29" s="27"/>
      <c r="AG29" s="27"/>
      <c r="AH29" s="27"/>
    </row>
    <row r="30" spans="1:34">
      <c r="A30" s="44" t="s">
        <v>184</v>
      </c>
      <c r="B30" s="27">
        <f>P30+AC30+AD30+AE30+AF30+AG30+AH30</f>
        <v>61399.113315532653</v>
      </c>
      <c r="C30" s="27"/>
      <c r="D30" s="45">
        <f>(-D19-D25)-D29</f>
        <v>4907.3469451680567</v>
      </c>
      <c r="E30" s="45">
        <f>(-E19-E25)-E29</f>
        <v>10298.403435672084</v>
      </c>
      <c r="F30" s="45">
        <f>(-F19-F25)-F29</f>
        <v>44093.362934692508</v>
      </c>
      <c r="G30" s="45"/>
      <c r="H30" s="45"/>
      <c r="I30" s="45">
        <f>I29/0.3*0.7</f>
        <v>2100</v>
      </c>
      <c r="J30" s="45">
        <f>Инв!K20-'1-Ф3'!J29</f>
        <v>0</v>
      </c>
      <c r="K30" s="45">
        <f>Инв!L20-'1-Ф3'!K29</f>
        <v>0</v>
      </c>
      <c r="L30" s="45">
        <f>Инв!M20-'1-Ф3'!L29</f>
        <v>0</v>
      </c>
      <c r="M30" s="45">
        <f>Инв!N20-'1-Ф3'!M29</f>
        <v>0</v>
      </c>
      <c r="N30" s="45">
        <f>Инв!O20-'1-Ф3'!N29</f>
        <v>0</v>
      </c>
      <c r="O30" s="45">
        <f>Инв!P20-'1-Ф3'!O29</f>
        <v>0</v>
      </c>
      <c r="P30" s="27">
        <f>SUM(D30:O30)</f>
        <v>61399.113315532653</v>
      </c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27">
        <f>SUM(Q30:AB30)</f>
        <v>0</v>
      </c>
      <c r="AD30" s="27"/>
      <c r="AE30" s="27"/>
      <c r="AF30" s="27"/>
      <c r="AG30" s="27"/>
      <c r="AH30" s="27"/>
    </row>
    <row r="31" spans="1:34" s="21" customFormat="1">
      <c r="A31" s="26" t="s">
        <v>8</v>
      </c>
      <c r="B31" s="27">
        <f>SUM(B32:B33)</f>
        <v>63628.658682644702</v>
      </c>
      <c r="C31" s="27"/>
      <c r="D31" s="27">
        <f>SUM(D32:D33)</f>
        <v>0</v>
      </c>
      <c r="E31" s="27">
        <f t="shared" ref="E31:AF31" si="14">SUM(E32:E33)</f>
        <v>0</v>
      </c>
      <c r="F31" s="27">
        <f t="shared" si="14"/>
        <v>0</v>
      </c>
      <c r="G31" s="27">
        <f t="shared" si="14"/>
        <v>0</v>
      </c>
      <c r="H31" s="27">
        <f t="shared" si="14"/>
        <v>0</v>
      </c>
      <c r="I31" s="27">
        <f>SUM(I32:I33)</f>
        <v>0</v>
      </c>
      <c r="J31" s="27">
        <f t="shared" si="14"/>
        <v>0</v>
      </c>
      <c r="K31" s="27">
        <f t="shared" si="14"/>
        <v>0</v>
      </c>
      <c r="L31" s="27">
        <f t="shared" si="14"/>
        <v>0</v>
      </c>
      <c r="M31" s="27">
        <f t="shared" si="14"/>
        <v>848.38211576859578</v>
      </c>
      <c r="N31" s="27">
        <f t="shared" si="14"/>
        <v>848.38211576859578</v>
      </c>
      <c r="O31" s="27">
        <f t="shared" si="14"/>
        <v>848.38211576859578</v>
      </c>
      <c r="P31" s="27">
        <f t="shared" si="14"/>
        <v>2545.1463473057875</v>
      </c>
      <c r="Q31" s="27">
        <f t="shared" si="14"/>
        <v>848.38211576859578</v>
      </c>
      <c r="R31" s="27">
        <f t="shared" si="14"/>
        <v>848.38211576859578</v>
      </c>
      <c r="S31" s="27">
        <f t="shared" si="14"/>
        <v>848.38211576859578</v>
      </c>
      <c r="T31" s="27">
        <f t="shared" si="14"/>
        <v>848.38211576859578</v>
      </c>
      <c r="U31" s="27">
        <f t="shared" si="14"/>
        <v>848.38211576859578</v>
      </c>
      <c r="V31" s="27">
        <f t="shared" si="14"/>
        <v>848.38211576859578</v>
      </c>
      <c r="W31" s="27">
        <f t="shared" si="14"/>
        <v>848.38211576859578</v>
      </c>
      <c r="X31" s="27">
        <f t="shared" si="14"/>
        <v>848.38211576859578</v>
      </c>
      <c r="Y31" s="27">
        <f t="shared" si="14"/>
        <v>848.38211576859578</v>
      </c>
      <c r="Z31" s="27">
        <f t="shared" si="14"/>
        <v>848.38211576859578</v>
      </c>
      <c r="AA31" s="27">
        <f t="shared" si="14"/>
        <v>848.38211576859578</v>
      </c>
      <c r="AB31" s="27">
        <f t="shared" si="14"/>
        <v>848.38211576859578</v>
      </c>
      <c r="AC31" s="27">
        <f t="shared" si="14"/>
        <v>10180.585389223152</v>
      </c>
      <c r="AD31" s="27">
        <f t="shared" si="14"/>
        <v>10180.585389223152</v>
      </c>
      <c r="AE31" s="27">
        <f t="shared" si="14"/>
        <v>10180.585389223152</v>
      </c>
      <c r="AF31" s="27">
        <f t="shared" si="14"/>
        <v>10180.585389223152</v>
      </c>
      <c r="AG31" s="27">
        <f>SUM(AG32:AG33)</f>
        <v>10180.585389223152</v>
      </c>
      <c r="AH31" s="27">
        <f>SUM(AH32:AH33)</f>
        <v>10180.585389223152</v>
      </c>
    </row>
    <row r="32" spans="1:34">
      <c r="A32" s="28" t="s">
        <v>36</v>
      </c>
      <c r="B32" s="27">
        <f>P32+AC32+AD32+AE32+AF32+AG32+AH32</f>
        <v>0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27">
        <f>SUM(D32:O32)</f>
        <v>0</v>
      </c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27">
        <f>SUM(Q32:AB32)</f>
        <v>0</v>
      </c>
      <c r="AD32" s="27"/>
      <c r="AE32" s="27"/>
      <c r="AF32" s="27"/>
      <c r="AG32" s="27"/>
      <c r="AH32" s="27"/>
    </row>
    <row r="33" spans="1:45" ht="13.5" customHeight="1">
      <c r="A33" s="38" t="s">
        <v>183</v>
      </c>
      <c r="B33" s="27">
        <f>P33+AC33+AD33+AE33+AF33+AG33+AH33</f>
        <v>63628.658682644702</v>
      </c>
      <c r="C33" s="27"/>
      <c r="D33" s="34">
        <f>кр!C10</f>
        <v>0</v>
      </c>
      <c r="E33" s="34">
        <f>кр!D10</f>
        <v>0</v>
      </c>
      <c r="F33" s="34">
        <f>кр!E10</f>
        <v>0</v>
      </c>
      <c r="G33" s="34">
        <f>кр!F10</f>
        <v>0</v>
      </c>
      <c r="H33" s="34">
        <f>кр!G10</f>
        <v>0</v>
      </c>
      <c r="I33" s="34">
        <f>кр!H10</f>
        <v>0</v>
      </c>
      <c r="J33" s="34">
        <f>кр!I10</f>
        <v>0</v>
      </c>
      <c r="K33" s="34">
        <f>кр!J10</f>
        <v>0</v>
      </c>
      <c r="L33" s="34">
        <f>кр!K10</f>
        <v>0</v>
      </c>
      <c r="M33" s="34">
        <f>кр!L10</f>
        <v>848.38211576859578</v>
      </c>
      <c r="N33" s="34">
        <f>кр!M10</f>
        <v>848.38211576859578</v>
      </c>
      <c r="O33" s="34">
        <f>кр!N10</f>
        <v>848.38211576859578</v>
      </c>
      <c r="P33" s="27">
        <f>SUM(D33:O33)</f>
        <v>2545.1463473057875</v>
      </c>
      <c r="Q33" s="34">
        <f>кр!P10</f>
        <v>848.38211576859578</v>
      </c>
      <c r="R33" s="34">
        <f>кр!Q10</f>
        <v>848.38211576859578</v>
      </c>
      <c r="S33" s="34">
        <f>кр!R10</f>
        <v>848.38211576859578</v>
      </c>
      <c r="T33" s="34">
        <f>кр!S10</f>
        <v>848.38211576859578</v>
      </c>
      <c r="U33" s="34">
        <f>кр!T10</f>
        <v>848.38211576859578</v>
      </c>
      <c r="V33" s="34">
        <f>кр!U10</f>
        <v>848.38211576859578</v>
      </c>
      <c r="W33" s="34">
        <f>кр!V10</f>
        <v>848.38211576859578</v>
      </c>
      <c r="X33" s="34">
        <f>кр!W10</f>
        <v>848.38211576859578</v>
      </c>
      <c r="Y33" s="34">
        <f>кр!X10</f>
        <v>848.38211576859578</v>
      </c>
      <c r="Z33" s="34">
        <f>кр!Y10</f>
        <v>848.38211576859578</v>
      </c>
      <c r="AA33" s="34">
        <f>кр!Z10</f>
        <v>848.38211576859578</v>
      </c>
      <c r="AB33" s="34">
        <f>кр!AA10</f>
        <v>848.38211576859578</v>
      </c>
      <c r="AC33" s="27">
        <f>SUM(Q33:AB33)</f>
        <v>10180.585389223152</v>
      </c>
      <c r="AD33" s="34">
        <f>кр!AO10</f>
        <v>10180.585389223152</v>
      </c>
      <c r="AE33" s="34">
        <f>кр!BB10</f>
        <v>10180.585389223152</v>
      </c>
      <c r="AF33" s="34">
        <f>кр!BO10</f>
        <v>10180.585389223152</v>
      </c>
      <c r="AG33" s="34">
        <f>кр!CB10</f>
        <v>10180.585389223152</v>
      </c>
      <c r="AH33" s="34">
        <f>кр!CO10</f>
        <v>10180.585389223152</v>
      </c>
    </row>
    <row r="34" spans="1:45" s="21" customFormat="1" ht="25.5">
      <c r="A34" s="39" t="s">
        <v>27</v>
      </c>
      <c r="B34" s="18">
        <f>B28-B31</f>
        <v>30600.746418174764</v>
      </c>
      <c r="C34" s="18"/>
      <c r="D34" s="18">
        <f>D28-D31</f>
        <v>7549.7645310277794</v>
      </c>
      <c r="E34" s="18">
        <f t="shared" ref="E34:AF34" si="15">E28-E31</f>
        <v>15843.697593341669</v>
      </c>
      <c r="F34" s="18">
        <f t="shared" si="15"/>
        <v>67835.942976450009</v>
      </c>
      <c r="G34" s="18">
        <f t="shared" si="15"/>
        <v>0</v>
      </c>
      <c r="H34" s="18">
        <f t="shared" si="15"/>
        <v>0</v>
      </c>
      <c r="I34" s="18">
        <f t="shared" si="15"/>
        <v>3000</v>
      </c>
      <c r="J34" s="18">
        <f t="shared" si="15"/>
        <v>0</v>
      </c>
      <c r="K34" s="18">
        <f t="shared" si="15"/>
        <v>0</v>
      </c>
      <c r="L34" s="18">
        <f t="shared" si="15"/>
        <v>0</v>
      </c>
      <c r="M34" s="18">
        <f t="shared" si="15"/>
        <v>-848.38211576859578</v>
      </c>
      <c r="N34" s="18">
        <f t="shared" si="15"/>
        <v>-848.38211576859578</v>
      </c>
      <c r="O34" s="18">
        <f t="shared" si="15"/>
        <v>-848.38211576859578</v>
      </c>
      <c r="P34" s="18">
        <f t="shared" si="15"/>
        <v>91684.258753513684</v>
      </c>
      <c r="Q34" s="18">
        <f t="shared" si="15"/>
        <v>-848.38211576859578</v>
      </c>
      <c r="R34" s="18">
        <f t="shared" si="15"/>
        <v>-848.38211576859578</v>
      </c>
      <c r="S34" s="18">
        <f t="shared" si="15"/>
        <v>-848.38211576859578</v>
      </c>
      <c r="T34" s="18">
        <f t="shared" si="15"/>
        <v>-848.38211576859578</v>
      </c>
      <c r="U34" s="18">
        <f t="shared" si="15"/>
        <v>-848.38211576859578</v>
      </c>
      <c r="V34" s="18">
        <f t="shared" si="15"/>
        <v>-848.38211576859578</v>
      </c>
      <c r="W34" s="18">
        <f t="shared" si="15"/>
        <v>-848.38211576859578</v>
      </c>
      <c r="X34" s="18">
        <f t="shared" si="15"/>
        <v>-848.38211576859578</v>
      </c>
      <c r="Y34" s="18">
        <f t="shared" si="15"/>
        <v>-848.38211576859578</v>
      </c>
      <c r="Z34" s="18">
        <f t="shared" si="15"/>
        <v>-848.38211576859578</v>
      </c>
      <c r="AA34" s="18">
        <f t="shared" si="15"/>
        <v>-848.38211576859578</v>
      </c>
      <c r="AB34" s="18">
        <f t="shared" si="15"/>
        <v>-848.38211576859578</v>
      </c>
      <c r="AC34" s="18">
        <f t="shared" si="15"/>
        <v>-10180.585389223152</v>
      </c>
      <c r="AD34" s="18">
        <f t="shared" si="15"/>
        <v>-10180.585389223152</v>
      </c>
      <c r="AE34" s="18">
        <f t="shared" si="15"/>
        <v>-10180.585389223152</v>
      </c>
      <c r="AF34" s="18">
        <f t="shared" si="15"/>
        <v>-10180.585389223152</v>
      </c>
      <c r="AG34" s="18">
        <f>AG28-AG31</f>
        <v>-10180.585389223152</v>
      </c>
      <c r="AH34" s="18">
        <f>AH28-AH31</f>
        <v>-10180.585389223152</v>
      </c>
    </row>
    <row r="35" spans="1:45" s="48" customFormat="1">
      <c r="A35" s="46" t="s">
        <v>28</v>
      </c>
      <c r="B35" s="47">
        <f>B19+B25+B34</f>
        <v>17092.717322911485</v>
      </c>
      <c r="C35" s="27"/>
      <c r="D35" s="47">
        <f>D19+D25+D34</f>
        <v>0</v>
      </c>
      <c r="E35" s="47">
        <f t="shared" ref="E35:AF35" si="16">E19+E25+E34</f>
        <v>0</v>
      </c>
      <c r="F35" s="47">
        <f t="shared" si="16"/>
        <v>0</v>
      </c>
      <c r="G35" s="47">
        <f t="shared" si="16"/>
        <v>-337.23804260860925</v>
      </c>
      <c r="H35" s="47">
        <f t="shared" si="16"/>
        <v>-337.23804260860925</v>
      </c>
      <c r="I35" s="47">
        <f t="shared" si="16"/>
        <v>2662.7619573913908</v>
      </c>
      <c r="J35" s="47">
        <f t="shared" si="16"/>
        <v>-337.23804260860925</v>
      </c>
      <c r="K35" s="47">
        <f t="shared" si="16"/>
        <v>-337.23804260860925</v>
      </c>
      <c r="L35" s="47">
        <f t="shared" si="16"/>
        <v>-337.23804260860925</v>
      </c>
      <c r="M35" s="47">
        <f t="shared" si="16"/>
        <v>-1556.7873340259657</v>
      </c>
      <c r="N35" s="47">
        <f t="shared" si="16"/>
        <v>-1551.8384383506486</v>
      </c>
      <c r="O35" s="47">
        <f t="shared" si="16"/>
        <v>-1546.889542675332</v>
      </c>
      <c r="P35" s="47">
        <f t="shared" si="16"/>
        <v>-3678.9435707035882</v>
      </c>
      <c r="Q35" s="47">
        <f t="shared" si="16"/>
        <v>-309.58006779252185</v>
      </c>
      <c r="R35" s="47">
        <f t="shared" si="16"/>
        <v>-304.63117211720521</v>
      </c>
      <c r="S35" s="47">
        <f t="shared" si="16"/>
        <v>-299.68227644188858</v>
      </c>
      <c r="T35" s="47">
        <f t="shared" si="16"/>
        <v>-294.73338076657149</v>
      </c>
      <c r="U35" s="47">
        <f t="shared" si="16"/>
        <v>-289.78448509125485</v>
      </c>
      <c r="V35" s="47">
        <f t="shared" si="16"/>
        <v>-284.83558941593822</v>
      </c>
      <c r="W35" s="47">
        <f t="shared" si="16"/>
        <v>-279.88669374062113</v>
      </c>
      <c r="X35" s="47">
        <f t="shared" si="16"/>
        <v>-274.93779806530449</v>
      </c>
      <c r="Y35" s="47">
        <f t="shared" si="16"/>
        <v>-269.9889023899874</v>
      </c>
      <c r="Z35" s="47">
        <f t="shared" si="16"/>
        <v>-265.04000671467077</v>
      </c>
      <c r="AA35" s="47">
        <f t="shared" si="16"/>
        <v>-260.09111103935413</v>
      </c>
      <c r="AB35" s="47">
        <f t="shared" si="16"/>
        <v>-255.14221536403704</v>
      </c>
      <c r="AC35" s="47">
        <f>AC19+AC25+AC34</f>
        <v>-3388.3336989393665</v>
      </c>
      <c r="AD35" s="47">
        <f t="shared" si="16"/>
        <v>2814.7562933795034</v>
      </c>
      <c r="AE35" s="47">
        <f t="shared" si="16"/>
        <v>2221.9228604690161</v>
      </c>
      <c r="AF35" s="47">
        <f t="shared" si="16"/>
        <v>3568.5671207921096</v>
      </c>
      <c r="AG35" s="47">
        <f>AG19+AG25+AG34</f>
        <v>5794.3316053899816</v>
      </c>
      <c r="AH35" s="47">
        <f>AH19+AH25+AH34</f>
        <v>9760.4167125238473</v>
      </c>
    </row>
    <row r="36" spans="1:45" s="21" customFormat="1">
      <c r="A36" s="49" t="s">
        <v>60</v>
      </c>
      <c r="B36" s="27">
        <f>B7+B19+B25+B34</f>
        <v>17092.717322911485</v>
      </c>
      <c r="C36" s="50"/>
      <c r="D36" s="51">
        <f t="shared" ref="D36:O36" si="17">D7+D19+D25+D34</f>
        <v>0</v>
      </c>
      <c r="E36" s="51">
        <f t="shared" si="17"/>
        <v>0</v>
      </c>
      <c r="F36" s="51">
        <f t="shared" si="17"/>
        <v>0</v>
      </c>
      <c r="G36" s="51">
        <f t="shared" si="17"/>
        <v>-337.23804260860925</v>
      </c>
      <c r="H36" s="51">
        <f t="shared" si="17"/>
        <v>-674.4760852172185</v>
      </c>
      <c r="I36" s="51">
        <f t="shared" si="17"/>
        <v>1988.2858721741723</v>
      </c>
      <c r="J36" s="51">
        <f t="shared" si="17"/>
        <v>1651.047829565563</v>
      </c>
      <c r="K36" s="51">
        <f t="shared" si="17"/>
        <v>1313.8097869569538</v>
      </c>
      <c r="L36" s="51">
        <f t="shared" si="17"/>
        <v>976.57174434834451</v>
      </c>
      <c r="M36" s="51">
        <f t="shared" si="17"/>
        <v>-580.21558967762132</v>
      </c>
      <c r="N36" s="51">
        <f t="shared" si="17"/>
        <v>-2132.0540280282698</v>
      </c>
      <c r="O36" s="51">
        <f t="shared" si="17"/>
        <v>-3678.9435707036018</v>
      </c>
      <c r="P36" s="52">
        <f>O36</f>
        <v>-3678.9435707036018</v>
      </c>
      <c r="Q36" s="51">
        <f>P36+Q19+Q25+Q34</f>
        <v>-3988.5236384961236</v>
      </c>
      <c r="R36" s="51">
        <f t="shared" ref="R36:AB36" si="18">Q36+R19+R25+R34</f>
        <v>-4293.1548106133287</v>
      </c>
      <c r="S36" s="51">
        <f t="shared" si="18"/>
        <v>-4592.8370870552171</v>
      </c>
      <c r="T36" s="51">
        <f t="shared" si="18"/>
        <v>-4887.570467821789</v>
      </c>
      <c r="U36" s="51">
        <f t="shared" si="18"/>
        <v>-5177.3549529130441</v>
      </c>
      <c r="V36" s="51">
        <f t="shared" si="18"/>
        <v>-5462.1905423289827</v>
      </c>
      <c r="W36" s="51">
        <f t="shared" si="18"/>
        <v>-5742.0772360696046</v>
      </c>
      <c r="X36" s="51">
        <f t="shared" si="18"/>
        <v>-6017.015034134909</v>
      </c>
      <c r="Y36" s="51">
        <f t="shared" si="18"/>
        <v>-6287.0039365248967</v>
      </c>
      <c r="Z36" s="51">
        <f t="shared" si="18"/>
        <v>-6552.0439432395679</v>
      </c>
      <c r="AA36" s="51">
        <f t="shared" si="18"/>
        <v>-6812.1350542789223</v>
      </c>
      <c r="AB36" s="51">
        <f t="shared" si="18"/>
        <v>-7067.2772696429602</v>
      </c>
      <c r="AC36" s="51">
        <f>AB36</f>
        <v>-7067.2772696429602</v>
      </c>
      <c r="AD36" s="51">
        <f>AC36+AD19+AD25+AD34</f>
        <v>-4252.5209762634568</v>
      </c>
      <c r="AE36" s="51">
        <f>AD36+AE19+AE25+AE34</f>
        <v>-2030.5981157944407</v>
      </c>
      <c r="AF36" s="51">
        <f>AE36+AF19+AF25+AF34</f>
        <v>1537.9690049976689</v>
      </c>
      <c r="AG36" s="51">
        <f>AF36+AG19+AG25+AG34</f>
        <v>7332.3006103876487</v>
      </c>
      <c r="AH36" s="51">
        <f>AG36+AH19+AH25+AH34</f>
        <v>17092.717322911492</v>
      </c>
      <c r="AI36" s="7">
        <v>2013</v>
      </c>
      <c r="AJ36" s="7">
        <f t="shared" ref="AJ36:AM37" si="19">AI36+1</f>
        <v>2014</v>
      </c>
      <c r="AK36" s="7">
        <f t="shared" si="19"/>
        <v>2015</v>
      </c>
      <c r="AL36" s="7">
        <f t="shared" si="19"/>
        <v>2016</v>
      </c>
      <c r="AM36" s="7">
        <f t="shared" si="19"/>
        <v>2017</v>
      </c>
      <c r="AN36" s="7">
        <f t="shared" ref="AN36:AS37" si="20">AM36+1</f>
        <v>2018</v>
      </c>
      <c r="AO36" s="7">
        <f t="shared" si="20"/>
        <v>2019</v>
      </c>
      <c r="AP36" s="7">
        <f t="shared" si="20"/>
        <v>2020</v>
      </c>
      <c r="AQ36" s="7">
        <f t="shared" si="20"/>
        <v>2021</v>
      </c>
      <c r="AR36" s="7">
        <f t="shared" si="20"/>
        <v>2022</v>
      </c>
      <c r="AS36" s="7">
        <f t="shared" si="20"/>
        <v>2023</v>
      </c>
    </row>
    <row r="37" spans="1:45">
      <c r="A37" s="53"/>
      <c r="B37" s="54">
        <f>AH36</f>
        <v>17092.717322911492</v>
      </c>
      <c r="C37" s="55"/>
      <c r="D37" s="56">
        <f t="shared" ref="D37:AH37" si="21">D7+D35-D36</f>
        <v>0</v>
      </c>
      <c r="E37" s="56">
        <f t="shared" si="21"/>
        <v>0</v>
      </c>
      <c r="F37" s="56">
        <f t="shared" si="21"/>
        <v>0</v>
      </c>
      <c r="G37" s="56">
        <f t="shared" si="21"/>
        <v>0</v>
      </c>
      <c r="H37" s="56">
        <f t="shared" si="21"/>
        <v>0</v>
      </c>
      <c r="I37" s="56">
        <f t="shared" si="21"/>
        <v>0</v>
      </c>
      <c r="J37" s="56">
        <f t="shared" si="21"/>
        <v>0</v>
      </c>
      <c r="K37" s="56">
        <f t="shared" si="21"/>
        <v>0</v>
      </c>
      <c r="L37" s="56">
        <f t="shared" si="21"/>
        <v>0</v>
      </c>
      <c r="M37" s="56">
        <f t="shared" si="21"/>
        <v>0</v>
      </c>
      <c r="N37" s="56">
        <f t="shared" si="21"/>
        <v>0</v>
      </c>
      <c r="O37" s="56">
        <f t="shared" si="21"/>
        <v>0</v>
      </c>
      <c r="P37" s="56"/>
      <c r="Q37" s="56">
        <f t="shared" si="21"/>
        <v>0</v>
      </c>
      <c r="R37" s="56">
        <f t="shared" si="21"/>
        <v>0</v>
      </c>
      <c r="S37" s="56">
        <f t="shared" si="21"/>
        <v>0</v>
      </c>
      <c r="T37" s="56">
        <f t="shared" si="21"/>
        <v>0</v>
      </c>
      <c r="U37" s="56">
        <f t="shared" si="21"/>
        <v>0</v>
      </c>
      <c r="V37" s="56">
        <f t="shared" si="21"/>
        <v>0</v>
      </c>
      <c r="W37" s="56">
        <f t="shared" si="21"/>
        <v>0</v>
      </c>
      <c r="X37" s="56">
        <f t="shared" si="21"/>
        <v>0</v>
      </c>
      <c r="Y37" s="56">
        <f t="shared" si="21"/>
        <v>0</v>
      </c>
      <c r="Z37" s="56">
        <f t="shared" si="21"/>
        <v>0</v>
      </c>
      <c r="AA37" s="56">
        <f t="shared" si="21"/>
        <v>0</v>
      </c>
      <c r="AB37" s="56">
        <f t="shared" si="21"/>
        <v>0</v>
      </c>
      <c r="AC37" s="56"/>
      <c r="AD37" s="56">
        <f t="shared" si="21"/>
        <v>0</v>
      </c>
      <c r="AE37" s="56">
        <f t="shared" si="21"/>
        <v>0</v>
      </c>
      <c r="AF37" s="56">
        <f t="shared" si="21"/>
        <v>0</v>
      </c>
      <c r="AG37" s="56">
        <f t="shared" si="21"/>
        <v>0</v>
      </c>
      <c r="AH37" s="56">
        <f t="shared" si="21"/>
        <v>0</v>
      </c>
      <c r="AI37" s="63">
        <v>1</v>
      </c>
      <c r="AJ37" s="63">
        <f t="shared" si="19"/>
        <v>2</v>
      </c>
      <c r="AK37" s="63">
        <f t="shared" si="19"/>
        <v>3</v>
      </c>
      <c r="AL37" s="63">
        <f t="shared" si="19"/>
        <v>4</v>
      </c>
      <c r="AM37" s="63">
        <f t="shared" si="19"/>
        <v>5</v>
      </c>
      <c r="AN37" s="63">
        <f t="shared" si="20"/>
        <v>6</v>
      </c>
      <c r="AO37" s="63">
        <f t="shared" si="20"/>
        <v>7</v>
      </c>
      <c r="AP37" s="63">
        <f t="shared" si="20"/>
        <v>8</v>
      </c>
      <c r="AQ37" s="63">
        <f t="shared" si="20"/>
        <v>9</v>
      </c>
      <c r="AR37" s="63">
        <f t="shared" si="20"/>
        <v>10</v>
      </c>
      <c r="AS37" s="63">
        <f t="shared" si="20"/>
        <v>11</v>
      </c>
    </row>
    <row r="38" spans="1:45">
      <c r="A38" s="53" t="s">
        <v>68</v>
      </c>
      <c r="B38" s="64">
        <f>B36-B37</f>
        <v>0</v>
      </c>
      <c r="C38" s="55"/>
      <c r="Q38" s="58"/>
      <c r="AI38" s="58">
        <f>P35</f>
        <v>-3678.9435707035882</v>
      </c>
      <c r="AJ38" s="58">
        <f t="shared" ref="AJ38:AO38" si="22">AC35</f>
        <v>-3388.3336989393665</v>
      </c>
      <c r="AK38" s="58">
        <f t="shared" si="22"/>
        <v>2814.7562933795034</v>
      </c>
      <c r="AL38" s="58">
        <f t="shared" si="22"/>
        <v>2221.9228604690161</v>
      </c>
      <c r="AM38" s="58">
        <f t="shared" si="22"/>
        <v>3568.5671207921096</v>
      </c>
      <c r="AN38" s="58">
        <f t="shared" si="22"/>
        <v>5794.3316053899816</v>
      </c>
      <c r="AO38" s="58">
        <f t="shared" si="22"/>
        <v>9760.4167125238473</v>
      </c>
      <c r="AP38" s="58">
        <f>AO38+AH33+AH16</f>
        <v>20327.015964421709</v>
      </c>
      <c r="AQ38" s="58">
        <f>AP38</f>
        <v>20327.015964421709</v>
      </c>
      <c r="AR38" s="58">
        <f>AQ38</f>
        <v>20327.015964421709</v>
      </c>
      <c r="AS38" s="58">
        <f>AR38</f>
        <v>20327.015964421709</v>
      </c>
    </row>
    <row r="39" spans="1:45">
      <c r="A39" s="53" t="s">
        <v>69</v>
      </c>
      <c r="B39" s="55"/>
      <c r="C39" s="55"/>
      <c r="AI39" s="58">
        <f>AI38+P33+P32+P16</f>
        <v>-35.142383477469139</v>
      </c>
      <c r="AJ39" s="58">
        <f t="shared" ref="AJ39:AS39" si="23">AJ38+AC33+AC32+AC16</f>
        <v>10741.470439186598</v>
      </c>
      <c r="AK39" s="58">
        <f t="shared" si="23"/>
        <v>16231.919454259847</v>
      </c>
      <c r="AL39" s="58">
        <f t="shared" si="23"/>
        <v>14926.445044103739</v>
      </c>
      <c r="AM39" s="58">
        <f t="shared" si="23"/>
        <v>15560.448327181211</v>
      </c>
      <c r="AN39" s="58">
        <f t="shared" si="23"/>
        <v>17073.571834533464</v>
      </c>
      <c r="AO39" s="58">
        <f t="shared" si="23"/>
        <v>20327.015964421709</v>
      </c>
      <c r="AP39" s="58">
        <f t="shared" si="23"/>
        <v>20327.015964421709</v>
      </c>
      <c r="AQ39" s="58">
        <f t="shared" si="23"/>
        <v>20327.015964421709</v>
      </c>
      <c r="AR39" s="58">
        <f t="shared" si="23"/>
        <v>20327.015964421709</v>
      </c>
      <c r="AS39" s="58">
        <f t="shared" si="23"/>
        <v>20327.015964421709</v>
      </c>
    </row>
    <row r="40" spans="1:45">
      <c r="A40" s="53" t="s">
        <v>70</v>
      </c>
      <c r="B40" s="55"/>
      <c r="C40" s="55"/>
      <c r="V40" s="58"/>
      <c r="AI40" s="58">
        <f>P28</f>
        <v>94229.405100819466</v>
      </c>
      <c r="AJ40" s="58">
        <f>AC28</f>
        <v>0</v>
      </c>
      <c r="AK40" s="58"/>
      <c r="AL40" s="58"/>
      <c r="AM40" s="58"/>
      <c r="AN40" s="58"/>
      <c r="AO40" s="58"/>
      <c r="AP40" s="58"/>
      <c r="AQ40" s="58"/>
      <c r="AR40" s="58"/>
      <c r="AS40" s="58"/>
    </row>
    <row r="41" spans="1:45">
      <c r="A41" s="65" t="s">
        <v>71</v>
      </c>
      <c r="B41" s="55"/>
      <c r="C41" s="55"/>
      <c r="AI41" s="66">
        <f t="shared" ref="AI41:AO41" si="24">AI39-AI40</f>
        <v>-94264.547484296942</v>
      </c>
      <c r="AJ41" s="66">
        <f t="shared" si="24"/>
        <v>10741.470439186598</v>
      </c>
      <c r="AK41" s="66">
        <f t="shared" si="24"/>
        <v>16231.919454259847</v>
      </c>
      <c r="AL41" s="66">
        <f t="shared" si="24"/>
        <v>14926.445044103739</v>
      </c>
      <c r="AM41" s="66">
        <f t="shared" si="24"/>
        <v>15560.448327181211</v>
      </c>
      <c r="AN41" s="66">
        <f t="shared" si="24"/>
        <v>17073.571834533464</v>
      </c>
      <c r="AO41" s="66">
        <f t="shared" si="24"/>
        <v>20327.015964421709</v>
      </c>
      <c r="AP41" s="66">
        <f>AP39-AP40</f>
        <v>20327.015964421709</v>
      </c>
      <c r="AQ41" s="66">
        <f>AQ39-AQ40</f>
        <v>20327.015964421709</v>
      </c>
      <c r="AR41" s="66">
        <f>AR39-AR40</f>
        <v>20327.015964421709</v>
      </c>
      <c r="AS41" s="66">
        <f>AS39-AS40</f>
        <v>20327.015964421709</v>
      </c>
    </row>
    <row r="42" spans="1:45">
      <c r="A42" s="67" t="s">
        <v>72</v>
      </c>
      <c r="B42" s="55"/>
      <c r="C42" s="55"/>
      <c r="AI42" s="68">
        <f>AI41/(1+Исх!$C$7)^'1-Ф3'!AI37</f>
        <v>-85247.879291622085</v>
      </c>
      <c r="AJ42" s="68">
        <f>AJ41/(1+Исх!$C$7)^'1-Ф3'!AJ37</f>
        <v>8784.8455674122943</v>
      </c>
      <c r="AK42" s="68">
        <f>AK41/(1+Исх!$C$7)^'1-Ф3'!AK37</f>
        <v>12005.367791523086</v>
      </c>
      <c r="AL42" s="68">
        <f>AL41/(1+Исх!$C$7)^'1-Ф3'!AL37</f>
        <v>9983.8299124775676</v>
      </c>
      <c r="AM42" s="68">
        <f>AM41/(1+Исх!$C$7)^'1-Ф3'!AM37</f>
        <v>9412.350470833233</v>
      </c>
      <c r="AN42" s="68">
        <f>AN41/(1+Исх!$C$7)^'1-Ф3'!AN37</f>
        <v>9339.7567871855463</v>
      </c>
      <c r="AO42" s="68">
        <f>AO41/(1+Исх!$C$7)^'1-Ф3'!AO37</f>
        <v>10055.878238184343</v>
      </c>
      <c r="AP42" s="68">
        <f>AP41/(1+Исх!$C$7)^'1-Ф3'!AP37</f>
        <v>9094.0052978325912</v>
      </c>
      <c r="AQ42" s="68">
        <f>AQ41/(1+Исх!$C$7)^'1-Ф3'!AQ37</f>
        <v>8224.1382003785529</v>
      </c>
      <c r="AR42" s="68">
        <f>AR41/(1+Исх!$C$7)^'1-Ф3'!AR37</f>
        <v>7437.4763290544615</v>
      </c>
      <c r="AS42" s="68">
        <f>AS41/(1+Исх!$C$7)^'1-Ф3'!AS37</f>
        <v>6726.0608707547335</v>
      </c>
    </row>
    <row r="43" spans="1:45">
      <c r="A43" s="65" t="s">
        <v>73</v>
      </c>
      <c r="B43" s="55"/>
      <c r="C43" s="55"/>
      <c r="AI43" s="66">
        <f>AI41</f>
        <v>-94264.547484296942</v>
      </c>
      <c r="AJ43" s="66">
        <f t="shared" ref="AJ43:AM44" si="25">AI43+AJ41</f>
        <v>-83523.077045110345</v>
      </c>
      <c r="AK43" s="66">
        <f t="shared" si="25"/>
        <v>-67291.157590850504</v>
      </c>
      <c r="AL43" s="66">
        <f t="shared" si="25"/>
        <v>-52364.712546746763</v>
      </c>
      <c r="AM43" s="66">
        <f t="shared" si="25"/>
        <v>-36804.26421956555</v>
      </c>
      <c r="AN43" s="66">
        <f t="shared" ref="AN43:AS44" si="26">AM43+AN41</f>
        <v>-19730.692385032085</v>
      </c>
      <c r="AO43" s="66">
        <f t="shared" si="26"/>
        <v>596.32357938962377</v>
      </c>
      <c r="AP43" s="66">
        <f t="shared" si="26"/>
        <v>20923.339543811333</v>
      </c>
      <c r="AQ43" s="66">
        <f t="shared" si="26"/>
        <v>41250.355508233042</v>
      </c>
      <c r="AR43" s="66">
        <f t="shared" si="26"/>
        <v>61577.371472654748</v>
      </c>
      <c r="AS43" s="66">
        <f t="shared" si="26"/>
        <v>81904.387437076453</v>
      </c>
    </row>
    <row r="44" spans="1:45">
      <c r="A44" s="67" t="s">
        <v>74</v>
      </c>
      <c r="B44" s="55"/>
      <c r="C44" s="55"/>
      <c r="AI44" s="68">
        <f>AI42</f>
        <v>-85247.879291622085</v>
      </c>
      <c r="AJ44" s="68">
        <f t="shared" si="25"/>
        <v>-76463.033724209788</v>
      </c>
      <c r="AK44" s="68">
        <f t="shared" si="25"/>
        <v>-64457.665932686701</v>
      </c>
      <c r="AL44" s="68">
        <f t="shared" si="25"/>
        <v>-54473.836020209135</v>
      </c>
      <c r="AM44" s="68">
        <f t="shared" si="25"/>
        <v>-45061.485549375902</v>
      </c>
      <c r="AN44" s="68">
        <f t="shared" si="26"/>
        <v>-35721.728762190352</v>
      </c>
      <c r="AO44" s="68">
        <f t="shared" si="26"/>
        <v>-25665.850524006011</v>
      </c>
      <c r="AP44" s="68">
        <f t="shared" si="26"/>
        <v>-16571.84522617342</v>
      </c>
      <c r="AQ44" s="68">
        <f t="shared" si="26"/>
        <v>-8347.7070257948671</v>
      </c>
      <c r="AR44" s="68">
        <f t="shared" si="26"/>
        <v>-910.23069674040562</v>
      </c>
      <c r="AS44" s="68">
        <f t="shared" si="26"/>
        <v>5815.8301740143279</v>
      </c>
    </row>
    <row r="45" spans="1:45">
      <c r="A45" s="53" t="s">
        <v>75</v>
      </c>
      <c r="B45" s="55"/>
      <c r="C45" s="55"/>
      <c r="AI45" s="58">
        <f>NPV(Исх!$C$7,'1-Ф3'!$AI39:AI39)</f>
        <v>-31.780915992900098</v>
      </c>
      <c r="AJ45" s="58">
        <f>NPV(Исх!$C$7,'1-Ф3'!$AI39:AJ39)</f>
        <v>8753.0646514193959</v>
      </c>
      <c r="AK45" s="58">
        <f>NPV(Исх!$C$7,'1-Ф3'!$AI39:AK39)</f>
        <v>20758.432442942481</v>
      </c>
      <c r="AL45" s="58">
        <f>NPV(Исх!$C$7,'1-Ф3'!$AI39:AL39)</f>
        <v>30742.262355420051</v>
      </c>
      <c r="AM45" s="58">
        <f>NPV(Исх!$C$7,'1-Ф3'!$AI39:AM39)</f>
        <v>40154.61282625328</v>
      </c>
      <c r="AN45" s="58">
        <f>NPV(Исх!$C$7,'1-Ф3'!$AI39:AN39)</f>
        <v>49494.36961343883</v>
      </c>
      <c r="AO45" s="58">
        <f>NPV(Исх!$C$7,'1-Ф3'!$AI39:AO39)</f>
        <v>59550.247851623171</v>
      </c>
      <c r="AP45" s="58">
        <f>NPV(Исх!$C$7,'1-Ф3'!$AI39:AP39)</f>
        <v>68644.253149455762</v>
      </c>
      <c r="AQ45" s="58">
        <f>NPV(Исх!$C$7,'1-Ф3'!$AI39:AQ39)</f>
        <v>76868.391349834332</v>
      </c>
      <c r="AR45" s="58">
        <f>NPV(Исх!$C$7,'1-Ф3'!$AI39:AR39)</f>
        <v>84305.867678888797</v>
      </c>
      <c r="AS45" s="58">
        <f>NPV(Исх!$C$7,'1-Ф3'!$AI39:AS39)</f>
        <v>91031.928549643533</v>
      </c>
    </row>
    <row r="46" spans="1:45">
      <c r="A46" s="53" t="s">
        <v>76</v>
      </c>
      <c r="B46" s="55"/>
      <c r="C46" s="55"/>
      <c r="AI46" s="58">
        <f>NPV(Исх!$C$7,'1-Ф3'!$AI40:AI40)</f>
        <v>85216.098375629168</v>
      </c>
      <c r="AJ46" s="58">
        <f>NPV(Исх!$C$7,'1-Ф3'!$AI40:AJ40)</f>
        <v>85216.098375629168</v>
      </c>
      <c r="AK46" s="58">
        <f>NPV(Исх!$C$7,'1-Ф3'!$AI40:AK40)</f>
        <v>85216.098375629168</v>
      </c>
      <c r="AL46" s="58">
        <f>NPV(Исх!$C$7,'1-Ф3'!$AI40:AL40)</f>
        <v>85216.098375629168</v>
      </c>
      <c r="AM46" s="58">
        <f>NPV(Исх!$C$7,'1-Ф3'!$AI40:AM40)</f>
        <v>85216.098375629168</v>
      </c>
      <c r="AN46" s="58">
        <f>NPV(Исх!$C$7,'1-Ф3'!$AI40:AN40)</f>
        <v>85216.098375629168</v>
      </c>
      <c r="AO46" s="58">
        <f>NPV(Исх!$C$7,'1-Ф3'!$AI40:AO40)</f>
        <v>85216.098375629168</v>
      </c>
      <c r="AP46" s="58">
        <f>NPV(Исх!$C$7,'1-Ф3'!$AI40:AP40)</f>
        <v>85216.098375629168</v>
      </c>
      <c r="AQ46" s="58">
        <f>NPV(Исх!$C$7,'1-Ф3'!$AI40:AQ40)</f>
        <v>85216.098375629168</v>
      </c>
      <c r="AR46" s="58">
        <f>NPV(Исх!$C$7,'1-Ф3'!$AI40:AR40)</f>
        <v>85216.098375629168</v>
      </c>
      <c r="AS46" s="58">
        <f>NPV(Исх!$C$7,'1-Ф3'!$AI40:AS40)</f>
        <v>85216.098375629168</v>
      </c>
    </row>
    <row r="47" spans="1:45">
      <c r="A47" s="53" t="s">
        <v>77</v>
      </c>
      <c r="B47" s="55"/>
      <c r="C47" s="55"/>
      <c r="AI47" s="58">
        <f t="shared" ref="AI47:AO47" si="27">AI45-AI46</f>
        <v>-85247.87929162207</v>
      </c>
      <c r="AJ47" s="58">
        <f t="shared" si="27"/>
        <v>-76463.033724209774</v>
      </c>
      <c r="AK47" s="58">
        <f t="shared" si="27"/>
        <v>-64457.665932686687</v>
      </c>
      <c r="AL47" s="58">
        <f t="shared" si="27"/>
        <v>-54473.836020209113</v>
      </c>
      <c r="AM47" s="58">
        <f t="shared" si="27"/>
        <v>-45061.485549375888</v>
      </c>
      <c r="AN47" s="58">
        <f t="shared" si="27"/>
        <v>-35721.728762190338</v>
      </c>
      <c r="AO47" s="58">
        <f t="shared" si="27"/>
        <v>-25665.850524005997</v>
      </c>
      <c r="AP47" s="58">
        <f>AP45-AP46</f>
        <v>-16571.845226173406</v>
      </c>
      <c r="AQ47" s="58">
        <f>AQ45-AQ46</f>
        <v>-8347.7070257948362</v>
      </c>
      <c r="AR47" s="58">
        <f>AR45-AR46</f>
        <v>-910.23069674037106</v>
      </c>
      <c r="AS47" s="58">
        <f>AS45-AS46</f>
        <v>5815.8301740143652</v>
      </c>
    </row>
    <row r="48" spans="1:45">
      <c r="A48" s="53" t="s">
        <v>78</v>
      </c>
      <c r="B48" s="55"/>
      <c r="C48" s="55"/>
      <c r="AI48" s="69">
        <f t="shared" ref="AI48:AO48" si="28">AI45/AI46</f>
        <v>-3.7294497869183222E-4</v>
      </c>
      <c r="AJ48" s="69">
        <f t="shared" si="28"/>
        <v>0.10271609259598152</v>
      </c>
      <c r="AK48" s="69">
        <f t="shared" si="28"/>
        <v>0.24359754598761538</v>
      </c>
      <c r="AL48" s="69">
        <f t="shared" si="28"/>
        <v>0.36075651128627578</v>
      </c>
      <c r="AM48" s="69">
        <f t="shared" si="28"/>
        <v>0.47120923853205937</v>
      </c>
      <c r="AN48" s="69">
        <f t="shared" si="28"/>
        <v>0.58081008819800239</v>
      </c>
      <c r="AO48" s="69">
        <f t="shared" si="28"/>
        <v>0.69881453137091598</v>
      </c>
      <c r="AP48" s="69">
        <f>AP45/AP46</f>
        <v>0.80553151878503793</v>
      </c>
      <c r="AQ48" s="69">
        <f>AQ45/AQ46</f>
        <v>0.90204072722270767</v>
      </c>
      <c r="AR48" s="69">
        <f>AR45/AR46</f>
        <v>0.98931855935567348</v>
      </c>
      <c r="AS48" s="69">
        <f>AS45/AS46</f>
        <v>1.0682480222032511</v>
      </c>
    </row>
    <row r="49" spans="1:45">
      <c r="A49" s="53" t="s">
        <v>79</v>
      </c>
      <c r="B49" s="55"/>
      <c r="C49" s="55"/>
      <c r="AG49" s="70" t="str">
        <f>IF(ISERROR(IRR($AI41:AI$41))," ",IF(IRR($AI41:AI$41)&lt;0," ",IRR($AI41:AI$41)))</f>
        <v xml:space="preserve"> </v>
      </c>
      <c r="AH49" s="70" t="str">
        <f>IF(ISERROR(IRR($AI41:AJ$41))," ",IF(IRR($AI41:AJ$41)&lt;0," ",IRR($AI41:AJ$41)))</f>
        <v xml:space="preserve"> </v>
      </c>
      <c r="AI49" s="70" t="str">
        <f>IF(ISERROR(IRR($AI41:AI$41))," ",IF(IRR($AI41:AI$41)&lt;0," ",IRR($AI41:AI$41)))</f>
        <v xml:space="preserve"> </v>
      </c>
      <c r="AJ49" s="70" t="str">
        <f>IF(ISERROR(IRR($AI41:AJ$41))," ",IF(IRR($AI41:AJ$41)&lt;0," ",IRR($AI41:AJ$41)))</f>
        <v xml:space="preserve"> </v>
      </c>
      <c r="AK49" s="70" t="str">
        <f>IF(ISERROR(IRR($AI41:AK$41))," ",IF(IRR($AI41:AK$41)&lt;0," ",IRR($AI41:AK$41)))</f>
        <v xml:space="preserve"> </v>
      </c>
      <c r="AL49" s="70" t="str">
        <f>IF(ISERROR(IRR($AI41:AL$41))," ",IF(IRR($AI41:AL$41)&lt;0," ",IRR($AI41:AL$41)))</f>
        <v xml:space="preserve"> </v>
      </c>
      <c r="AM49" s="70" t="str">
        <f>IF(ISERROR(IRR($AI41:AM$41))," ",IF(IRR($AI41:AM$41)&lt;0," ",IRR($AI41:AM$41)))</f>
        <v xml:space="preserve"> </v>
      </c>
      <c r="AN49" s="70" t="str">
        <f>IF(ISERROR(IRR($AI41:AN$41))," ",IF(IRR($AI41:AN$41)&lt;0," ",IRR($AI41:AN$41)))</f>
        <v xml:space="preserve"> </v>
      </c>
      <c r="AO49" s="70">
        <f>IF(ISERROR(IRR($AI41:AO$41))," ",IF(IRR($AI41:AO$41)&lt;0," ",IRR($AI41:AO$41)))</f>
        <v>1.6754988764419543E-3</v>
      </c>
      <c r="AP49" s="70">
        <f>IF(ISERROR(IRR($AI41:AP$41))," ",IF(IRR($AI41:AP$41)&lt;0," ",IRR($AI41:AP$41)))</f>
        <v>4.832167990202417E-2</v>
      </c>
      <c r="AQ49" s="70">
        <f>IF(ISERROR(IRR($AI41:AQ$41))," ",IF(IRR($AI41:AQ$41)&lt;0," ",IRR($AI41:AQ$41)))</f>
        <v>8.0397312901403367E-2</v>
      </c>
      <c r="AR49" s="70">
        <f>IF(ISERROR(IRR($AI41:AR$41))," ",IF(IRR($AI41:AR$41)&lt;0," ",IRR($AI41:AR$41)))</f>
        <v>0.10329731729343489</v>
      </c>
      <c r="AS49" s="70">
        <f>IF(ISERROR(IRR($AI41:AS$41))," ",IF(IRR($AI41:AS$41)&lt;0," ",IRR($AI41:AS$41)))</f>
        <v>0.12010573650960014</v>
      </c>
    </row>
    <row r="50" spans="1:45">
      <c r="A50" s="71" t="s">
        <v>39</v>
      </c>
      <c r="B50" s="59">
        <f>AN37-AN43/AO41-3/12</f>
        <v>6.7206634962833025</v>
      </c>
      <c r="C50" s="55"/>
    </row>
    <row r="51" spans="1:45">
      <c r="A51" s="71" t="s">
        <v>32</v>
      </c>
      <c r="B51" s="59">
        <f>AQ37-AQ44/AR42-3/12</f>
        <v>9.8723843487319201</v>
      </c>
      <c r="C51" s="55"/>
    </row>
    <row r="52" spans="1:45">
      <c r="A52" s="53"/>
      <c r="B52" s="55"/>
      <c r="C52" s="55"/>
    </row>
    <row r="53" spans="1:45">
      <c r="A53" s="53"/>
      <c r="B53" s="55"/>
      <c r="C53" s="55"/>
    </row>
    <row r="54" spans="1:45">
      <c r="A54" s="53"/>
      <c r="B54" s="55"/>
      <c r="C54" s="55"/>
    </row>
    <row r="55" spans="1:45">
      <c r="A55" s="53"/>
      <c r="B55" s="55"/>
      <c r="C55" s="55"/>
    </row>
    <row r="56" spans="1:45">
      <c r="A56" s="53"/>
      <c r="B56" s="55"/>
      <c r="C56" s="55"/>
    </row>
    <row r="57" spans="1:45">
      <c r="A57" s="53"/>
      <c r="B57" s="55"/>
      <c r="C57" s="55"/>
    </row>
    <row r="58" spans="1:45">
      <c r="A58" s="53"/>
      <c r="B58" s="55"/>
      <c r="C58" s="55"/>
    </row>
    <row r="59" spans="1:45">
      <c r="A59" s="53"/>
      <c r="B59" s="55"/>
      <c r="C59" s="55"/>
    </row>
    <row r="60" spans="1:45">
      <c r="A60" s="53"/>
      <c r="B60" s="55"/>
      <c r="C60" s="55"/>
    </row>
    <row r="61" spans="1:45">
      <c r="A61" s="53"/>
      <c r="B61" s="55"/>
      <c r="C61" s="55"/>
    </row>
    <row r="62" spans="1:45">
      <c r="A62" s="53"/>
      <c r="B62" s="55"/>
      <c r="C62" s="55"/>
    </row>
    <row r="63" spans="1:45">
      <c r="A63" s="53"/>
      <c r="B63" s="55"/>
      <c r="C63" s="55"/>
    </row>
    <row r="64" spans="1:45">
      <c r="A64" s="53"/>
      <c r="B64" s="55"/>
      <c r="C64" s="55"/>
    </row>
    <row r="65" spans="1:3">
      <c r="A65" s="53"/>
      <c r="B65" s="55"/>
      <c r="C65" s="55"/>
    </row>
    <row r="66" spans="1:3">
      <c r="A66" s="53"/>
      <c r="B66" s="55"/>
      <c r="C66" s="55"/>
    </row>
    <row r="67" spans="1:3">
      <c r="A67" s="53"/>
      <c r="B67" s="55"/>
      <c r="C67" s="55"/>
    </row>
    <row r="68" spans="1:3">
      <c r="A68" s="53"/>
      <c r="B68" s="55"/>
      <c r="C68" s="55"/>
    </row>
    <row r="69" spans="1:3">
      <c r="A69" s="53"/>
      <c r="B69" s="55"/>
      <c r="C69" s="55"/>
    </row>
    <row r="70" spans="1:3">
      <c r="A70" s="53"/>
      <c r="B70" s="55"/>
      <c r="C70" s="55"/>
    </row>
    <row r="71" spans="1:3">
      <c r="A71" s="53"/>
      <c r="B71" s="55"/>
      <c r="C71" s="55"/>
    </row>
    <row r="72" spans="1:3">
      <c r="A72" s="53"/>
      <c r="B72" s="55"/>
      <c r="C72" s="55"/>
    </row>
    <row r="73" spans="1:3">
      <c r="A73" s="53"/>
      <c r="B73" s="55"/>
      <c r="C73" s="55"/>
    </row>
    <row r="74" spans="1:3">
      <c r="A74" s="53"/>
      <c r="B74" s="55"/>
      <c r="C74" s="55"/>
    </row>
    <row r="75" spans="1:3">
      <c r="A75" s="53"/>
      <c r="B75" s="55"/>
      <c r="C75" s="55"/>
    </row>
    <row r="76" spans="1:3">
      <c r="A76" s="53"/>
      <c r="B76" s="55"/>
      <c r="C76" s="55"/>
    </row>
    <row r="77" spans="1:3">
      <c r="A77" s="53"/>
      <c r="B77" s="55"/>
      <c r="C77" s="55"/>
    </row>
    <row r="78" spans="1:3">
      <c r="A78" s="53"/>
      <c r="B78" s="55"/>
      <c r="C78" s="55"/>
    </row>
    <row r="79" spans="1:3">
      <c r="A79" s="53"/>
      <c r="B79" s="55"/>
      <c r="C79" s="55"/>
    </row>
    <row r="80" spans="1:3">
      <c r="A80" s="53"/>
      <c r="B80" s="55"/>
      <c r="C80" s="55"/>
    </row>
    <row r="81" spans="1:3">
      <c r="A81" s="53"/>
      <c r="B81" s="55"/>
      <c r="C81" s="55"/>
    </row>
    <row r="82" spans="1:3">
      <c r="A82" s="53"/>
      <c r="B82" s="55"/>
      <c r="C82" s="55"/>
    </row>
    <row r="83" spans="1:3">
      <c r="A83" s="53"/>
      <c r="B83" s="55"/>
      <c r="C83" s="55"/>
    </row>
    <row r="84" spans="1:3">
      <c r="A84" s="53"/>
      <c r="B84" s="55"/>
      <c r="C84" s="55"/>
    </row>
    <row r="85" spans="1:3">
      <c r="A85" s="53"/>
      <c r="B85" s="55"/>
      <c r="C85" s="55"/>
    </row>
    <row r="86" spans="1:3">
      <c r="A86" s="53"/>
      <c r="B86" s="55"/>
      <c r="C86" s="55"/>
    </row>
    <row r="87" spans="1:3">
      <c r="A87" s="53"/>
      <c r="B87" s="55"/>
      <c r="C87" s="55"/>
    </row>
    <row r="88" spans="1:3">
      <c r="A88" s="53"/>
      <c r="B88" s="55"/>
      <c r="C88" s="55"/>
    </row>
    <row r="89" spans="1:3">
      <c r="A89" s="53"/>
      <c r="B89" s="55"/>
      <c r="C89" s="55"/>
    </row>
    <row r="90" spans="1:3">
      <c r="A90" s="53"/>
      <c r="B90" s="55"/>
      <c r="C90" s="55"/>
    </row>
    <row r="91" spans="1:3">
      <c r="A91" s="53"/>
      <c r="B91" s="55"/>
      <c r="C91" s="55"/>
    </row>
    <row r="92" spans="1:3">
      <c r="A92" s="53"/>
      <c r="B92" s="55"/>
      <c r="C92" s="55"/>
    </row>
    <row r="93" spans="1:3">
      <c r="A93" s="53"/>
      <c r="B93" s="55"/>
      <c r="C93" s="55"/>
    </row>
    <row r="94" spans="1:3">
      <c r="A94" s="53"/>
      <c r="B94" s="55"/>
      <c r="C94" s="55"/>
    </row>
    <row r="95" spans="1:3">
      <c r="A95" s="53"/>
      <c r="B95" s="55"/>
      <c r="C95" s="55"/>
    </row>
    <row r="96" spans="1:3">
      <c r="A96" s="53"/>
      <c r="B96" s="55"/>
      <c r="C96" s="55"/>
    </row>
    <row r="97" spans="1:3">
      <c r="A97" s="53"/>
      <c r="B97" s="55"/>
      <c r="C97" s="55"/>
    </row>
    <row r="98" spans="1:3">
      <c r="A98" s="53"/>
      <c r="B98" s="55"/>
      <c r="C98" s="55"/>
    </row>
    <row r="99" spans="1:3">
      <c r="A99" s="53"/>
      <c r="B99" s="55"/>
      <c r="C99" s="55"/>
    </row>
    <row r="100" spans="1:3">
      <c r="A100" s="53"/>
      <c r="B100" s="55"/>
      <c r="C100" s="55"/>
    </row>
    <row r="101" spans="1:3">
      <c r="A101" s="53"/>
      <c r="B101" s="55"/>
      <c r="C101" s="55"/>
    </row>
    <row r="102" spans="1:3">
      <c r="A102" s="53"/>
      <c r="B102" s="55"/>
      <c r="C102" s="55"/>
    </row>
    <row r="103" spans="1:3">
      <c r="A103" s="53"/>
      <c r="B103" s="55"/>
      <c r="C103" s="55"/>
    </row>
    <row r="104" spans="1:3">
      <c r="A104" s="53"/>
      <c r="B104" s="55"/>
      <c r="C104" s="55"/>
    </row>
    <row r="105" spans="1:3">
      <c r="A105" s="53"/>
      <c r="B105" s="55"/>
      <c r="C105" s="55"/>
    </row>
    <row r="106" spans="1:3">
      <c r="A106" s="53"/>
      <c r="B106" s="55"/>
      <c r="C106" s="55"/>
    </row>
    <row r="107" spans="1:3">
      <c r="A107" s="53"/>
      <c r="B107" s="55"/>
      <c r="C107" s="55"/>
    </row>
    <row r="108" spans="1:3">
      <c r="A108" s="53"/>
      <c r="B108" s="55"/>
      <c r="C108" s="55"/>
    </row>
    <row r="109" spans="1:3">
      <c r="A109" s="53"/>
      <c r="B109" s="55"/>
      <c r="C109" s="55"/>
    </row>
    <row r="110" spans="1:3">
      <c r="A110" s="53"/>
      <c r="B110" s="55"/>
      <c r="C110" s="55"/>
    </row>
    <row r="111" spans="1:3">
      <c r="A111" s="53"/>
      <c r="B111" s="55"/>
      <c r="C111" s="55"/>
    </row>
    <row r="112" spans="1:3">
      <c r="A112" s="53"/>
      <c r="B112" s="55"/>
      <c r="C112" s="55"/>
    </row>
    <row r="113" spans="1:3">
      <c r="A113" s="53"/>
      <c r="B113" s="55"/>
      <c r="C113" s="55"/>
    </row>
    <row r="114" spans="1:3">
      <c r="A114" s="53"/>
      <c r="B114" s="55"/>
      <c r="C114" s="55"/>
    </row>
    <row r="115" spans="1:3">
      <c r="A115" s="53"/>
      <c r="B115" s="55"/>
      <c r="C115" s="55"/>
    </row>
    <row r="116" spans="1:3">
      <c r="A116" s="53"/>
      <c r="B116" s="55"/>
      <c r="C116" s="55"/>
    </row>
    <row r="117" spans="1:3">
      <c r="A117" s="53"/>
      <c r="B117" s="55"/>
      <c r="C117" s="55"/>
    </row>
    <row r="118" spans="1:3">
      <c r="A118" s="53"/>
      <c r="B118" s="55"/>
      <c r="C118" s="55"/>
    </row>
    <row r="119" spans="1:3">
      <c r="A119" s="53"/>
      <c r="B119" s="55"/>
      <c r="C119" s="55"/>
    </row>
    <row r="120" spans="1:3">
      <c r="A120" s="53"/>
      <c r="B120" s="55"/>
      <c r="C120" s="55"/>
    </row>
    <row r="121" spans="1:3">
      <c r="A121" s="53"/>
      <c r="B121" s="55"/>
      <c r="C121" s="55"/>
    </row>
    <row r="122" spans="1:3">
      <c r="A122" s="53"/>
      <c r="B122" s="55"/>
      <c r="C122" s="55"/>
    </row>
    <row r="123" spans="1:3">
      <c r="A123" s="53"/>
      <c r="B123" s="55"/>
      <c r="C123" s="55"/>
    </row>
    <row r="124" spans="1:3">
      <c r="A124" s="53"/>
      <c r="B124" s="55"/>
      <c r="C124" s="55"/>
    </row>
    <row r="125" spans="1:3">
      <c r="A125" s="53"/>
      <c r="B125" s="55"/>
      <c r="C125" s="55"/>
    </row>
    <row r="126" spans="1:3">
      <c r="A126" s="53"/>
      <c r="B126" s="55"/>
      <c r="C126" s="55"/>
    </row>
    <row r="127" spans="1:3">
      <c r="A127" s="53"/>
      <c r="B127" s="55"/>
      <c r="C127" s="55"/>
    </row>
    <row r="128" spans="1:3">
      <c r="A128" s="53"/>
      <c r="B128" s="55"/>
      <c r="C128" s="55"/>
    </row>
    <row r="129" spans="1:3">
      <c r="A129" s="53"/>
      <c r="B129" s="55"/>
      <c r="C129" s="55"/>
    </row>
    <row r="130" spans="1:3">
      <c r="A130" s="53"/>
      <c r="B130" s="55"/>
      <c r="C130" s="55"/>
    </row>
    <row r="131" spans="1:3">
      <c r="A131" s="53"/>
      <c r="B131" s="55"/>
      <c r="C131" s="55"/>
    </row>
    <row r="132" spans="1:3">
      <c r="A132" s="53"/>
      <c r="B132" s="55"/>
      <c r="C132" s="55"/>
    </row>
    <row r="133" spans="1:3">
      <c r="A133" s="53"/>
      <c r="B133" s="55"/>
      <c r="C133" s="55"/>
    </row>
    <row r="134" spans="1:3">
      <c r="A134" s="53"/>
      <c r="B134" s="55"/>
      <c r="C134" s="55"/>
    </row>
    <row r="135" spans="1:3">
      <c r="A135" s="53"/>
      <c r="B135" s="55"/>
      <c r="C135" s="55"/>
    </row>
    <row r="136" spans="1:3">
      <c r="A136" s="53"/>
      <c r="B136" s="55"/>
      <c r="C136" s="55"/>
    </row>
    <row r="137" spans="1:3">
      <c r="A137" s="53"/>
      <c r="B137" s="55"/>
      <c r="C137" s="55"/>
    </row>
    <row r="138" spans="1:3">
      <c r="A138" s="53"/>
      <c r="B138" s="55"/>
      <c r="C138" s="55"/>
    </row>
    <row r="139" spans="1:3">
      <c r="A139" s="53"/>
      <c r="B139" s="55"/>
      <c r="C139" s="55"/>
    </row>
    <row r="140" spans="1:3">
      <c r="A140" s="53"/>
      <c r="B140" s="55"/>
      <c r="C140" s="55"/>
    </row>
    <row r="141" spans="1:3">
      <c r="A141" s="53"/>
      <c r="B141" s="55"/>
      <c r="C141" s="55"/>
    </row>
    <row r="142" spans="1:3">
      <c r="A142" s="53"/>
      <c r="B142" s="55"/>
      <c r="C142" s="55"/>
    </row>
    <row r="143" spans="1:3">
      <c r="A143" s="53"/>
      <c r="B143" s="55"/>
      <c r="C143" s="55"/>
    </row>
  </sheetData>
  <mergeCells count="4">
    <mergeCell ref="A5:A6"/>
    <mergeCell ref="B5:B6"/>
    <mergeCell ref="D5:P5"/>
    <mergeCell ref="Q5:AC5"/>
  </mergeCells>
  <phoneticPr fontId="3" type="noConversion"/>
  <pageMargins left="0.43307086614173229" right="0.27559055118110237" top="0.71" bottom="0.35433070866141736" header="0.44" footer="0.23622047244094491"/>
  <pageSetup paperSize="9" orientation="landscape" r:id="rId1"/>
  <headerFooter alignWithMargins="0">
    <oddHeader>&amp;RПриложение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CP17"/>
  <sheetViews>
    <sheetView showGridLines="0" workbookViewId="0">
      <pane xSplit="2" ySplit="6" topLeftCell="BB7" activePane="bottomRight" state="frozen"/>
      <selection activeCell="A34" sqref="A34"/>
      <selection pane="topRight" activeCell="A34" sqref="A34"/>
      <selection pane="bottomLeft" activeCell="A34" sqref="A34"/>
      <selection pane="bottomRight" activeCell="B7" sqref="B7:CO12"/>
    </sheetView>
  </sheetViews>
  <sheetFormatPr defaultRowHeight="12.75" outlineLevelCol="1"/>
  <cols>
    <col min="1" max="1" width="23.28515625" style="183" customWidth="1"/>
    <col min="2" max="2" width="12.140625" style="183" customWidth="1"/>
    <col min="3" max="14" width="9.140625" style="183" hidden="1" customWidth="1" outlineLevel="1"/>
    <col min="15" max="15" width="10.140625" style="184" bestFit="1" customWidth="1" collapsed="1"/>
    <col min="16" max="27" width="9.140625" style="183" hidden="1" customWidth="1" outlineLevel="1"/>
    <col min="28" max="28" width="10.140625" style="184" bestFit="1" customWidth="1" collapsed="1"/>
    <col min="29" max="40" width="9.140625" style="183" hidden="1" customWidth="1" outlineLevel="1"/>
    <col min="41" max="41" width="10.140625" style="184" bestFit="1" customWidth="1" collapsed="1"/>
    <col min="42" max="47" width="9.140625" style="183" hidden="1" customWidth="1" outlineLevel="1"/>
    <col min="48" max="48" width="9.28515625" style="183" hidden="1" customWidth="1" outlineLevel="1"/>
    <col min="49" max="53" width="8.7109375" style="183" hidden="1" customWidth="1" outlineLevel="1"/>
    <col min="54" max="54" width="10.140625" style="184" bestFit="1" customWidth="1" collapsed="1"/>
    <col min="55" max="66" width="8.7109375" style="183" hidden="1" customWidth="1" outlineLevel="1"/>
    <col min="67" max="67" width="10.140625" style="184" bestFit="1" customWidth="1" collapsed="1"/>
    <col min="68" max="79" width="8.7109375" style="183" hidden="1" customWidth="1" outlineLevel="1"/>
    <col min="80" max="80" width="10.140625" style="184" bestFit="1" customWidth="1" collapsed="1"/>
    <col min="81" max="92" width="8.7109375" style="183" hidden="1" customWidth="1" outlineLevel="1"/>
    <col min="93" max="93" width="10.140625" style="184" bestFit="1" customWidth="1" collapsed="1"/>
    <col min="94" max="16384" width="9.140625" style="183"/>
  </cols>
  <sheetData>
    <row r="1" spans="1:94" ht="9.75" customHeight="1"/>
    <row r="2" spans="1:94" ht="18.75" customHeight="1">
      <c r="A2" s="184" t="s">
        <v>109</v>
      </c>
      <c r="B2" s="185"/>
      <c r="D2" s="186"/>
      <c r="E2" s="186"/>
      <c r="F2" s="187"/>
      <c r="G2" s="186"/>
      <c r="O2" s="188"/>
    </row>
    <row r="3" spans="1:94" ht="13.5" customHeight="1">
      <c r="A3" s="189"/>
      <c r="B3" s="185"/>
      <c r="D3" s="186"/>
      <c r="E3" s="186"/>
      <c r="F3" s="187"/>
      <c r="G3" s="186"/>
      <c r="O3" s="188"/>
    </row>
    <row r="4" spans="1:94">
      <c r="A4" s="190"/>
      <c r="B4" s="191"/>
    </row>
    <row r="5" spans="1:94" ht="15.75" customHeight="1">
      <c r="A5" s="192" t="s">
        <v>12</v>
      </c>
      <c r="B5" s="193">
        <f>Исх!C32</f>
        <v>7.0000000000000007E-2</v>
      </c>
      <c r="C5" s="380">
        <v>2013</v>
      </c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>
        <v>2014</v>
      </c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>
        <v>2015</v>
      </c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80"/>
      <c r="AP5" s="380">
        <v>2016</v>
      </c>
      <c r="AQ5" s="380"/>
      <c r="AR5" s="380"/>
      <c r="AS5" s="380"/>
      <c r="AT5" s="380"/>
      <c r="AU5" s="380"/>
      <c r="AV5" s="380"/>
      <c r="AW5" s="380"/>
      <c r="AX5" s="380"/>
      <c r="AY5" s="380"/>
      <c r="AZ5" s="380"/>
      <c r="BA5" s="380"/>
      <c r="BB5" s="380"/>
      <c r="BC5" s="380">
        <v>2017</v>
      </c>
      <c r="BD5" s="380"/>
      <c r="BE5" s="380"/>
      <c r="BF5" s="380"/>
      <c r="BG5" s="380"/>
      <c r="BH5" s="380"/>
      <c r="BI5" s="380"/>
      <c r="BJ5" s="380"/>
      <c r="BK5" s="380"/>
      <c r="BL5" s="380"/>
      <c r="BM5" s="380"/>
      <c r="BN5" s="380"/>
      <c r="BO5" s="380"/>
      <c r="BP5" s="380">
        <v>2018</v>
      </c>
      <c r="BQ5" s="380"/>
      <c r="BR5" s="380"/>
      <c r="BS5" s="380"/>
      <c r="BT5" s="380"/>
      <c r="BU5" s="380"/>
      <c r="BV5" s="380"/>
      <c r="BW5" s="380"/>
      <c r="BX5" s="380"/>
      <c r="BY5" s="380"/>
      <c r="BZ5" s="380"/>
      <c r="CA5" s="380"/>
      <c r="CB5" s="380"/>
      <c r="CC5" s="380">
        <v>2019</v>
      </c>
      <c r="CD5" s="380"/>
      <c r="CE5" s="380"/>
      <c r="CF5" s="380"/>
      <c r="CG5" s="380"/>
      <c r="CH5" s="380"/>
      <c r="CI5" s="380"/>
      <c r="CJ5" s="380"/>
      <c r="CK5" s="380"/>
      <c r="CL5" s="380"/>
      <c r="CM5" s="380"/>
      <c r="CN5" s="380"/>
      <c r="CO5" s="380"/>
    </row>
    <row r="6" spans="1:94" s="198" customFormat="1" ht="15" customHeight="1">
      <c r="A6" s="194" t="s">
        <v>10</v>
      </c>
      <c r="B6" s="195" t="s">
        <v>13</v>
      </c>
      <c r="C6" s="196">
        <v>1</v>
      </c>
      <c r="D6" s="196">
        <v>2</v>
      </c>
      <c r="E6" s="196">
        <f>D6+1</f>
        <v>3</v>
      </c>
      <c r="F6" s="196">
        <f t="shared" ref="F6:N6" si="0">E6+1</f>
        <v>4</v>
      </c>
      <c r="G6" s="196">
        <f t="shared" si="0"/>
        <v>5</v>
      </c>
      <c r="H6" s="196">
        <f t="shared" si="0"/>
        <v>6</v>
      </c>
      <c r="I6" s="196">
        <f t="shared" si="0"/>
        <v>7</v>
      </c>
      <c r="J6" s="196">
        <f t="shared" si="0"/>
        <v>8</v>
      </c>
      <c r="K6" s="196">
        <f t="shared" si="0"/>
        <v>9</v>
      </c>
      <c r="L6" s="196">
        <f t="shared" si="0"/>
        <v>10</v>
      </c>
      <c r="M6" s="196">
        <f t="shared" si="0"/>
        <v>11</v>
      </c>
      <c r="N6" s="196">
        <f t="shared" si="0"/>
        <v>12</v>
      </c>
      <c r="O6" s="197" t="s">
        <v>1</v>
      </c>
      <c r="P6" s="196">
        <v>1</v>
      </c>
      <c r="Q6" s="196">
        <v>2</v>
      </c>
      <c r="R6" s="196">
        <f>Q6+1</f>
        <v>3</v>
      </c>
      <c r="S6" s="196">
        <f t="shared" ref="S6:AA6" si="1">R6+1</f>
        <v>4</v>
      </c>
      <c r="T6" s="196">
        <f t="shared" si="1"/>
        <v>5</v>
      </c>
      <c r="U6" s="196">
        <f t="shared" si="1"/>
        <v>6</v>
      </c>
      <c r="V6" s="196">
        <f t="shared" si="1"/>
        <v>7</v>
      </c>
      <c r="W6" s="196">
        <f t="shared" si="1"/>
        <v>8</v>
      </c>
      <c r="X6" s="196">
        <f t="shared" si="1"/>
        <v>9</v>
      </c>
      <c r="Y6" s="196">
        <f t="shared" si="1"/>
        <v>10</v>
      </c>
      <c r="Z6" s="196">
        <f t="shared" si="1"/>
        <v>11</v>
      </c>
      <c r="AA6" s="196">
        <f t="shared" si="1"/>
        <v>12</v>
      </c>
      <c r="AB6" s="197" t="s">
        <v>1</v>
      </c>
      <c r="AC6" s="196">
        <v>1</v>
      </c>
      <c r="AD6" s="196">
        <v>2</v>
      </c>
      <c r="AE6" s="196">
        <f t="shared" ref="AE6:BN6" si="2">AD6+1</f>
        <v>3</v>
      </c>
      <c r="AF6" s="196">
        <f t="shared" si="2"/>
        <v>4</v>
      </c>
      <c r="AG6" s="196">
        <f t="shared" si="2"/>
        <v>5</v>
      </c>
      <c r="AH6" s="196">
        <f t="shared" si="2"/>
        <v>6</v>
      </c>
      <c r="AI6" s="196">
        <f t="shared" si="2"/>
        <v>7</v>
      </c>
      <c r="AJ6" s="196">
        <f t="shared" si="2"/>
        <v>8</v>
      </c>
      <c r="AK6" s="196">
        <f t="shared" si="2"/>
        <v>9</v>
      </c>
      <c r="AL6" s="196">
        <f t="shared" si="2"/>
        <v>10</v>
      </c>
      <c r="AM6" s="196">
        <f t="shared" si="2"/>
        <v>11</v>
      </c>
      <c r="AN6" s="196">
        <f t="shared" si="2"/>
        <v>12</v>
      </c>
      <c r="AO6" s="197" t="s">
        <v>1</v>
      </c>
      <c r="AP6" s="196">
        <v>1</v>
      </c>
      <c r="AQ6" s="196">
        <v>2</v>
      </c>
      <c r="AR6" s="196">
        <f>AQ6+1</f>
        <v>3</v>
      </c>
      <c r="AS6" s="196">
        <f t="shared" si="2"/>
        <v>4</v>
      </c>
      <c r="AT6" s="196">
        <f t="shared" si="2"/>
        <v>5</v>
      </c>
      <c r="AU6" s="196">
        <f t="shared" si="2"/>
        <v>6</v>
      </c>
      <c r="AV6" s="196">
        <f t="shared" si="2"/>
        <v>7</v>
      </c>
      <c r="AW6" s="196">
        <f t="shared" si="2"/>
        <v>8</v>
      </c>
      <c r="AX6" s="196">
        <f t="shared" si="2"/>
        <v>9</v>
      </c>
      <c r="AY6" s="196">
        <f t="shared" si="2"/>
        <v>10</v>
      </c>
      <c r="AZ6" s="196">
        <f t="shared" si="2"/>
        <v>11</v>
      </c>
      <c r="BA6" s="196">
        <f t="shared" si="2"/>
        <v>12</v>
      </c>
      <c r="BB6" s="197" t="s">
        <v>1</v>
      </c>
      <c r="BC6" s="196">
        <v>1</v>
      </c>
      <c r="BD6" s="196">
        <v>2</v>
      </c>
      <c r="BE6" s="196">
        <f>BD6+1</f>
        <v>3</v>
      </c>
      <c r="BF6" s="196">
        <f t="shared" si="2"/>
        <v>4</v>
      </c>
      <c r="BG6" s="196">
        <f t="shared" si="2"/>
        <v>5</v>
      </c>
      <c r="BH6" s="196">
        <f t="shared" si="2"/>
        <v>6</v>
      </c>
      <c r="BI6" s="196">
        <f t="shared" si="2"/>
        <v>7</v>
      </c>
      <c r="BJ6" s="196">
        <f t="shared" si="2"/>
        <v>8</v>
      </c>
      <c r="BK6" s="196">
        <f t="shared" si="2"/>
        <v>9</v>
      </c>
      <c r="BL6" s="196">
        <f t="shared" si="2"/>
        <v>10</v>
      </c>
      <c r="BM6" s="196">
        <f t="shared" si="2"/>
        <v>11</v>
      </c>
      <c r="BN6" s="196">
        <f t="shared" si="2"/>
        <v>12</v>
      </c>
      <c r="BO6" s="197" t="s">
        <v>1</v>
      </c>
      <c r="BP6" s="196">
        <v>1</v>
      </c>
      <c r="BQ6" s="196">
        <v>2</v>
      </c>
      <c r="BR6" s="196">
        <f t="shared" ref="BR6:CA6" si="3">BQ6+1</f>
        <v>3</v>
      </c>
      <c r="BS6" s="196">
        <f t="shared" si="3"/>
        <v>4</v>
      </c>
      <c r="BT6" s="196">
        <f t="shared" si="3"/>
        <v>5</v>
      </c>
      <c r="BU6" s="196">
        <f t="shared" si="3"/>
        <v>6</v>
      </c>
      <c r="BV6" s="196">
        <f t="shared" si="3"/>
        <v>7</v>
      </c>
      <c r="BW6" s="196">
        <f t="shared" si="3"/>
        <v>8</v>
      </c>
      <c r="BX6" s="196">
        <f t="shared" si="3"/>
        <v>9</v>
      </c>
      <c r="BY6" s="196">
        <f t="shared" si="3"/>
        <v>10</v>
      </c>
      <c r="BZ6" s="196">
        <f t="shared" si="3"/>
        <v>11</v>
      </c>
      <c r="CA6" s="196">
        <f t="shared" si="3"/>
        <v>12</v>
      </c>
      <c r="CB6" s="197" t="s">
        <v>1</v>
      </c>
      <c r="CC6" s="196">
        <v>1</v>
      </c>
      <c r="CD6" s="196">
        <v>2</v>
      </c>
      <c r="CE6" s="196">
        <f t="shared" ref="CE6:CN6" si="4">CD6+1</f>
        <v>3</v>
      </c>
      <c r="CF6" s="196">
        <f t="shared" si="4"/>
        <v>4</v>
      </c>
      <c r="CG6" s="196">
        <f t="shared" si="4"/>
        <v>5</v>
      </c>
      <c r="CH6" s="196">
        <f t="shared" si="4"/>
        <v>6</v>
      </c>
      <c r="CI6" s="196">
        <f t="shared" si="4"/>
        <v>7</v>
      </c>
      <c r="CJ6" s="196">
        <f t="shared" si="4"/>
        <v>8</v>
      </c>
      <c r="CK6" s="196">
        <f t="shared" si="4"/>
        <v>9</v>
      </c>
      <c r="CL6" s="196">
        <f t="shared" si="4"/>
        <v>10</v>
      </c>
      <c r="CM6" s="196">
        <f t="shared" si="4"/>
        <v>11</v>
      </c>
      <c r="CN6" s="196">
        <f t="shared" si="4"/>
        <v>12</v>
      </c>
      <c r="CO6" s="197" t="s">
        <v>1</v>
      </c>
    </row>
    <row r="7" spans="1:94">
      <c r="A7" s="194" t="s">
        <v>119</v>
      </c>
      <c r="B7" s="199">
        <f>O7+AB7+AO7+BB7+BO7+CB7+CO7</f>
        <v>61399.113315532653</v>
      </c>
      <c r="C7" s="200">
        <f>'1-Ф3'!D30</f>
        <v>4907.3469451680567</v>
      </c>
      <c r="D7" s="200">
        <f>'1-Ф3'!E30</f>
        <v>10298.403435672084</v>
      </c>
      <c r="E7" s="200">
        <f>'1-Ф3'!F30</f>
        <v>44093.362934692508</v>
      </c>
      <c r="F7" s="200">
        <f>'1-Ф3'!G30</f>
        <v>0</v>
      </c>
      <c r="G7" s="200">
        <f>'1-Ф3'!H30</f>
        <v>0</v>
      </c>
      <c r="H7" s="200">
        <f>'1-Ф3'!I30</f>
        <v>2100</v>
      </c>
      <c r="I7" s="200">
        <f>'1-Ф3'!J30</f>
        <v>0</v>
      </c>
      <c r="J7" s="200">
        <f>'1-Ф3'!K30</f>
        <v>0</v>
      </c>
      <c r="K7" s="200">
        <f>'1-Ф3'!L30</f>
        <v>0</v>
      </c>
      <c r="L7" s="200">
        <f>'1-Ф3'!M30</f>
        <v>0</v>
      </c>
      <c r="M7" s="200">
        <f>'1-Ф3'!N30</f>
        <v>0</v>
      </c>
      <c r="N7" s="200">
        <f>'1-Ф3'!O30</f>
        <v>0</v>
      </c>
      <c r="O7" s="201">
        <f>SUM(C7:N7)</f>
        <v>61399.113315532653</v>
      </c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2"/>
    </row>
    <row r="8" spans="1:94" s="203" customFormat="1" ht="20.25" customHeight="1">
      <c r="A8" s="194" t="s">
        <v>34</v>
      </c>
      <c r="B8" s="199">
        <f>O8+AB8+AO8+BB8+BO8+CB8+CO8</f>
        <v>2229.545367112024</v>
      </c>
      <c r="C8" s="200"/>
      <c r="D8" s="200"/>
      <c r="E8" s="200"/>
      <c r="F8" s="200"/>
      <c r="G8" s="200"/>
      <c r="H8" s="200"/>
      <c r="I8" s="200"/>
      <c r="J8" s="200"/>
      <c r="K8" s="200">
        <f>SUM(C9:K9)</f>
        <v>2229.545367112024</v>
      </c>
      <c r="L8" s="200"/>
      <c r="M8" s="200"/>
      <c r="N8" s="200"/>
      <c r="O8" s="201">
        <f>SUM(C8:N8)</f>
        <v>2229.545367112024</v>
      </c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1">
        <f>SUM(P8:AA8)</f>
        <v>0</v>
      </c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1">
        <f>SUM(AC8:AN8)</f>
        <v>0</v>
      </c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1">
        <f>SUM(AP8:BA8)</f>
        <v>0</v>
      </c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1">
        <f>SUM(BC8:BN8)</f>
        <v>0</v>
      </c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1">
        <f>SUM(BP8:CA8)</f>
        <v>0</v>
      </c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1">
        <f>SUM(CC8:CN8)</f>
        <v>0</v>
      </c>
    </row>
    <row r="9" spans="1:94" s="203" customFormat="1">
      <c r="A9" s="204" t="s">
        <v>14</v>
      </c>
      <c r="B9" s="199">
        <f>O9+AB9+AO9+BB9+BO9+CB9+CO9</f>
        <v>16333.89804176492</v>
      </c>
      <c r="C9" s="200"/>
      <c r="D9" s="200">
        <f>C12*$B$5/12</f>
        <v>28.626190513480335</v>
      </c>
      <c r="E9" s="200">
        <f>D12*$B$5/12</f>
        <v>88.700210554900835</v>
      </c>
      <c r="F9" s="200">
        <f>E12*$B$5/12</f>
        <v>345.91149434060713</v>
      </c>
      <c r="G9" s="200">
        <f>F12*$B$5/12</f>
        <v>345.91149434060713</v>
      </c>
      <c r="H9" s="200">
        <f>G12*$B$5/12</f>
        <v>345.91149434060713</v>
      </c>
      <c r="I9" s="200">
        <f t="shared" ref="I9:AA9" si="5">H12*$B$5/12</f>
        <v>358.16149434060713</v>
      </c>
      <c r="J9" s="200">
        <f t="shared" si="5"/>
        <v>358.16149434060713</v>
      </c>
      <c r="K9" s="200">
        <f t="shared" si="5"/>
        <v>358.16149434060713</v>
      </c>
      <c r="L9" s="200">
        <f>K12*$B$5/12</f>
        <v>371.16717564876063</v>
      </c>
      <c r="M9" s="200">
        <f t="shared" si="5"/>
        <v>366.21827997344388</v>
      </c>
      <c r="N9" s="200">
        <f t="shared" si="5"/>
        <v>361.26938429812708</v>
      </c>
      <c r="O9" s="201">
        <f>SUM(C9:N9)</f>
        <v>3328.2002070323556</v>
      </c>
      <c r="P9" s="200">
        <f t="shared" si="5"/>
        <v>356.32048862281022</v>
      </c>
      <c r="Q9" s="200">
        <f t="shared" si="5"/>
        <v>351.37159294749341</v>
      </c>
      <c r="R9" s="200">
        <f t="shared" si="5"/>
        <v>346.42269727217666</v>
      </c>
      <c r="S9" s="200">
        <f t="shared" si="5"/>
        <v>341.4738015968598</v>
      </c>
      <c r="T9" s="200">
        <f t="shared" si="5"/>
        <v>336.524905921543</v>
      </c>
      <c r="U9" s="200">
        <f t="shared" si="5"/>
        <v>331.57601024622619</v>
      </c>
      <c r="V9" s="200">
        <f t="shared" si="5"/>
        <v>326.62711457090938</v>
      </c>
      <c r="W9" s="200">
        <f t="shared" si="5"/>
        <v>321.67821889559258</v>
      </c>
      <c r="X9" s="200">
        <f t="shared" si="5"/>
        <v>316.72932322027572</v>
      </c>
      <c r="Y9" s="200">
        <f t="shared" si="5"/>
        <v>311.78042754495897</v>
      </c>
      <c r="Z9" s="200">
        <f t="shared" si="5"/>
        <v>306.83153186964211</v>
      </c>
      <c r="AA9" s="200">
        <f t="shared" si="5"/>
        <v>301.8826361943253</v>
      </c>
      <c r="AB9" s="201">
        <f>SUM(P9:AA9)</f>
        <v>3949.2187489028133</v>
      </c>
      <c r="AC9" s="200">
        <f t="shared" ref="AC9:AN9" si="6">AB12*$B$5/12</f>
        <v>296.9337405190085</v>
      </c>
      <c r="AD9" s="200">
        <f t="shared" si="6"/>
        <v>291.98484484369169</v>
      </c>
      <c r="AE9" s="200">
        <f t="shared" si="6"/>
        <v>287.03594916837488</v>
      </c>
      <c r="AF9" s="200">
        <f t="shared" si="6"/>
        <v>282.08705349305808</v>
      </c>
      <c r="AG9" s="200">
        <f t="shared" si="6"/>
        <v>277.13815781774127</v>
      </c>
      <c r="AH9" s="200">
        <f t="shared" si="6"/>
        <v>272.18926214242441</v>
      </c>
      <c r="AI9" s="200">
        <f t="shared" si="6"/>
        <v>267.24036646710766</v>
      </c>
      <c r="AJ9" s="200">
        <f t="shared" si="6"/>
        <v>262.2914707917908</v>
      </c>
      <c r="AK9" s="200">
        <f t="shared" si="6"/>
        <v>257.34257511647399</v>
      </c>
      <c r="AL9" s="200">
        <f t="shared" si="6"/>
        <v>252.39367944115722</v>
      </c>
      <c r="AM9" s="200">
        <f t="shared" si="6"/>
        <v>247.44478376584038</v>
      </c>
      <c r="AN9" s="200">
        <f t="shared" si="6"/>
        <v>242.49588809052355</v>
      </c>
      <c r="AO9" s="201">
        <f>SUM(AC9:AN9)</f>
        <v>3236.5777716571924</v>
      </c>
      <c r="AP9" s="200">
        <f t="shared" ref="AP9:BA9" si="7">AO12*$B$5/12</f>
        <v>237.54699241520677</v>
      </c>
      <c r="AQ9" s="200">
        <f t="shared" si="7"/>
        <v>232.59809673988994</v>
      </c>
      <c r="AR9" s="200">
        <f t="shared" si="7"/>
        <v>227.64920106457316</v>
      </c>
      <c r="AS9" s="200">
        <f t="shared" si="7"/>
        <v>222.70030538925633</v>
      </c>
      <c r="AT9" s="200">
        <f t="shared" si="7"/>
        <v>217.75140971393952</v>
      </c>
      <c r="AU9" s="200">
        <f t="shared" si="7"/>
        <v>212.80251403862272</v>
      </c>
      <c r="AV9" s="200">
        <f t="shared" si="7"/>
        <v>207.85361836330591</v>
      </c>
      <c r="AW9" s="200">
        <f t="shared" si="7"/>
        <v>202.90472268798908</v>
      </c>
      <c r="AX9" s="200">
        <f t="shared" si="7"/>
        <v>197.9558270126723</v>
      </c>
      <c r="AY9" s="200">
        <f t="shared" si="7"/>
        <v>193.00693133735547</v>
      </c>
      <c r="AZ9" s="200">
        <f t="shared" si="7"/>
        <v>188.05803566203863</v>
      </c>
      <c r="BA9" s="200">
        <f t="shared" si="7"/>
        <v>183.10913998672186</v>
      </c>
      <c r="BB9" s="201">
        <f>SUM(AP9:BA9)</f>
        <v>2523.9367944115716</v>
      </c>
      <c r="BC9" s="200">
        <f t="shared" ref="BC9:BN9" si="8">BB12*$B$5/12</f>
        <v>178.16024431140502</v>
      </c>
      <c r="BD9" s="200">
        <f t="shared" si="8"/>
        <v>173.21134863608822</v>
      </c>
      <c r="BE9" s="200">
        <f t="shared" si="8"/>
        <v>168.26245296077141</v>
      </c>
      <c r="BF9" s="200">
        <f t="shared" si="8"/>
        <v>163.31355728545461</v>
      </c>
      <c r="BG9" s="200">
        <f t="shared" si="8"/>
        <v>158.3646616101378</v>
      </c>
      <c r="BH9" s="200">
        <f t="shared" si="8"/>
        <v>153.41576593482097</v>
      </c>
      <c r="BI9" s="200">
        <f t="shared" si="8"/>
        <v>148.46687025950416</v>
      </c>
      <c r="BJ9" s="200">
        <f t="shared" si="8"/>
        <v>143.51797458418736</v>
      </c>
      <c r="BK9" s="200">
        <f t="shared" si="8"/>
        <v>138.56907890887055</v>
      </c>
      <c r="BL9" s="200">
        <f t="shared" si="8"/>
        <v>133.62018323355372</v>
      </c>
      <c r="BM9" s="200">
        <f t="shared" si="8"/>
        <v>128.67128755823691</v>
      </c>
      <c r="BN9" s="200">
        <f t="shared" si="8"/>
        <v>123.72239188292012</v>
      </c>
      <c r="BO9" s="201">
        <f>SUM(BC9:BN9)</f>
        <v>1811.2958171659509</v>
      </c>
      <c r="BP9" s="200">
        <f t="shared" ref="BP9:CA9" si="9">BO12*$B$5/12</f>
        <v>118.77349620760329</v>
      </c>
      <c r="BQ9" s="200">
        <f t="shared" si="9"/>
        <v>113.82460053228648</v>
      </c>
      <c r="BR9" s="200">
        <f t="shared" si="9"/>
        <v>108.87570485696968</v>
      </c>
      <c r="BS9" s="200">
        <f t="shared" si="9"/>
        <v>103.92680918165286</v>
      </c>
      <c r="BT9" s="200">
        <f t="shared" si="9"/>
        <v>98.977913506336051</v>
      </c>
      <c r="BU9" s="200">
        <f t="shared" si="9"/>
        <v>94.029017831019246</v>
      </c>
      <c r="BV9" s="200">
        <f t="shared" si="9"/>
        <v>89.080122155702441</v>
      </c>
      <c r="BW9" s="200">
        <f t="shared" si="9"/>
        <v>84.131226480385621</v>
      </c>
      <c r="BX9" s="200">
        <f t="shared" si="9"/>
        <v>79.182330805068815</v>
      </c>
      <c r="BY9" s="200">
        <f t="shared" si="9"/>
        <v>74.233435129751996</v>
      </c>
      <c r="BZ9" s="200">
        <f t="shared" si="9"/>
        <v>69.28453945443519</v>
      </c>
      <c r="CA9" s="200">
        <f t="shared" si="9"/>
        <v>64.335643779118371</v>
      </c>
      <c r="CB9" s="201">
        <f>SUM(BP9:CA9)</f>
        <v>1098.65483992033</v>
      </c>
      <c r="CC9" s="200">
        <f t="shared" ref="CC9:CN9" si="10">CB12*$B$5/12</f>
        <v>59.386748103801558</v>
      </c>
      <c r="CD9" s="200">
        <f t="shared" si="10"/>
        <v>54.437852428484753</v>
      </c>
      <c r="CE9" s="200">
        <f t="shared" si="10"/>
        <v>49.48895675316794</v>
      </c>
      <c r="CF9" s="200">
        <f t="shared" si="10"/>
        <v>44.540061077851135</v>
      </c>
      <c r="CG9" s="200">
        <f t="shared" si="10"/>
        <v>39.591165402534322</v>
      </c>
      <c r="CH9" s="200">
        <f t="shared" si="10"/>
        <v>34.64226972721751</v>
      </c>
      <c r="CI9" s="200">
        <f t="shared" si="10"/>
        <v>29.693374051900694</v>
      </c>
      <c r="CJ9" s="200">
        <f t="shared" si="10"/>
        <v>24.744478376583885</v>
      </c>
      <c r="CK9" s="200">
        <f t="shared" si="10"/>
        <v>19.795582701267076</v>
      </c>
      <c r="CL9" s="200">
        <f t="shared" si="10"/>
        <v>14.846687025950269</v>
      </c>
      <c r="CM9" s="200">
        <f t="shared" si="10"/>
        <v>9.8977913506334598</v>
      </c>
      <c r="CN9" s="200">
        <f t="shared" si="10"/>
        <v>4.9488956753166518</v>
      </c>
      <c r="CO9" s="201">
        <f>SUM(CC9:CN9)</f>
        <v>386.01386267470923</v>
      </c>
    </row>
    <row r="10" spans="1:94">
      <c r="A10" s="194" t="s">
        <v>15</v>
      </c>
      <c r="B10" s="199">
        <f>O10+AB10+AO10+BB10+BO10+CB10+CO10</f>
        <v>63628.658682644702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0">
        <f>$K$12/$B$13</f>
        <v>848.38211576859578</v>
      </c>
      <c r="M10" s="200">
        <f t="shared" ref="M10:BX10" si="11">$K$12/$B$13</f>
        <v>848.38211576859578</v>
      </c>
      <c r="N10" s="200">
        <f t="shared" si="11"/>
        <v>848.38211576859578</v>
      </c>
      <c r="O10" s="201">
        <f>SUM(C10:N10)</f>
        <v>2545.1463473057875</v>
      </c>
      <c r="P10" s="200">
        <f t="shared" si="11"/>
        <v>848.38211576859578</v>
      </c>
      <c r="Q10" s="200">
        <f t="shared" si="11"/>
        <v>848.38211576859578</v>
      </c>
      <c r="R10" s="200">
        <f t="shared" si="11"/>
        <v>848.38211576859578</v>
      </c>
      <c r="S10" s="200">
        <f t="shared" si="11"/>
        <v>848.38211576859578</v>
      </c>
      <c r="T10" s="200">
        <f t="shared" si="11"/>
        <v>848.38211576859578</v>
      </c>
      <c r="U10" s="200">
        <f t="shared" si="11"/>
        <v>848.38211576859578</v>
      </c>
      <c r="V10" s="200">
        <f t="shared" si="11"/>
        <v>848.38211576859578</v>
      </c>
      <c r="W10" s="200">
        <f t="shared" si="11"/>
        <v>848.38211576859578</v>
      </c>
      <c r="X10" s="200">
        <f t="shared" si="11"/>
        <v>848.38211576859578</v>
      </c>
      <c r="Y10" s="200">
        <f t="shared" si="11"/>
        <v>848.38211576859578</v>
      </c>
      <c r="Z10" s="200">
        <f t="shared" si="11"/>
        <v>848.38211576859578</v>
      </c>
      <c r="AA10" s="200">
        <f t="shared" si="11"/>
        <v>848.38211576859578</v>
      </c>
      <c r="AB10" s="201">
        <f>SUM(P10:AA10)</f>
        <v>10180.585389223152</v>
      </c>
      <c r="AC10" s="200">
        <f t="shared" si="11"/>
        <v>848.38211576859578</v>
      </c>
      <c r="AD10" s="200">
        <f t="shared" si="11"/>
        <v>848.38211576859578</v>
      </c>
      <c r="AE10" s="200">
        <f t="shared" si="11"/>
        <v>848.38211576859578</v>
      </c>
      <c r="AF10" s="200">
        <f t="shared" si="11"/>
        <v>848.38211576859578</v>
      </c>
      <c r="AG10" s="200">
        <f t="shared" si="11"/>
        <v>848.38211576859578</v>
      </c>
      <c r="AH10" s="200">
        <f t="shared" si="11"/>
        <v>848.38211576859578</v>
      </c>
      <c r="AI10" s="200">
        <f t="shared" si="11"/>
        <v>848.38211576859578</v>
      </c>
      <c r="AJ10" s="200">
        <f t="shared" si="11"/>
        <v>848.38211576859578</v>
      </c>
      <c r="AK10" s="200">
        <f t="shared" si="11"/>
        <v>848.38211576859578</v>
      </c>
      <c r="AL10" s="200">
        <f t="shared" si="11"/>
        <v>848.38211576859578</v>
      </c>
      <c r="AM10" s="200">
        <f t="shared" si="11"/>
        <v>848.38211576859578</v>
      </c>
      <c r="AN10" s="200">
        <f t="shared" si="11"/>
        <v>848.38211576859578</v>
      </c>
      <c r="AO10" s="201">
        <f>SUM(AC10:AN10)</f>
        <v>10180.585389223152</v>
      </c>
      <c r="AP10" s="200">
        <f t="shared" si="11"/>
        <v>848.38211576859578</v>
      </c>
      <c r="AQ10" s="200">
        <f t="shared" si="11"/>
        <v>848.38211576859578</v>
      </c>
      <c r="AR10" s="200">
        <f t="shared" si="11"/>
        <v>848.38211576859578</v>
      </c>
      <c r="AS10" s="200">
        <f t="shared" si="11"/>
        <v>848.38211576859578</v>
      </c>
      <c r="AT10" s="200">
        <f t="shared" si="11"/>
        <v>848.38211576859578</v>
      </c>
      <c r="AU10" s="200">
        <f t="shared" si="11"/>
        <v>848.38211576859578</v>
      </c>
      <c r="AV10" s="200">
        <f t="shared" si="11"/>
        <v>848.38211576859578</v>
      </c>
      <c r="AW10" s="200">
        <f t="shared" si="11"/>
        <v>848.38211576859578</v>
      </c>
      <c r="AX10" s="200">
        <f t="shared" si="11"/>
        <v>848.38211576859578</v>
      </c>
      <c r="AY10" s="200">
        <f t="shared" si="11"/>
        <v>848.38211576859578</v>
      </c>
      <c r="AZ10" s="200">
        <f t="shared" si="11"/>
        <v>848.38211576859578</v>
      </c>
      <c r="BA10" s="200">
        <f t="shared" si="11"/>
        <v>848.38211576859578</v>
      </c>
      <c r="BB10" s="201">
        <f>SUM(AP10:BA10)</f>
        <v>10180.585389223152</v>
      </c>
      <c r="BC10" s="200">
        <f t="shared" si="11"/>
        <v>848.38211576859578</v>
      </c>
      <c r="BD10" s="200">
        <f t="shared" si="11"/>
        <v>848.38211576859578</v>
      </c>
      <c r="BE10" s="200">
        <f t="shared" si="11"/>
        <v>848.38211576859578</v>
      </c>
      <c r="BF10" s="200">
        <f t="shared" si="11"/>
        <v>848.38211576859578</v>
      </c>
      <c r="BG10" s="200">
        <f t="shared" si="11"/>
        <v>848.38211576859578</v>
      </c>
      <c r="BH10" s="200">
        <f t="shared" si="11"/>
        <v>848.38211576859578</v>
      </c>
      <c r="BI10" s="200">
        <f t="shared" si="11"/>
        <v>848.38211576859578</v>
      </c>
      <c r="BJ10" s="200">
        <f t="shared" si="11"/>
        <v>848.38211576859578</v>
      </c>
      <c r="BK10" s="200">
        <f t="shared" si="11"/>
        <v>848.38211576859578</v>
      </c>
      <c r="BL10" s="200">
        <f t="shared" si="11"/>
        <v>848.38211576859578</v>
      </c>
      <c r="BM10" s="200">
        <f t="shared" si="11"/>
        <v>848.38211576859578</v>
      </c>
      <c r="BN10" s="200">
        <f t="shared" si="11"/>
        <v>848.38211576859578</v>
      </c>
      <c r="BO10" s="201">
        <f>SUM(BC10:BN10)</f>
        <v>10180.585389223152</v>
      </c>
      <c r="BP10" s="200">
        <f t="shared" si="11"/>
        <v>848.38211576859578</v>
      </c>
      <c r="BQ10" s="200">
        <f t="shared" si="11"/>
        <v>848.38211576859578</v>
      </c>
      <c r="BR10" s="200">
        <f t="shared" si="11"/>
        <v>848.38211576859578</v>
      </c>
      <c r="BS10" s="200">
        <f t="shared" si="11"/>
        <v>848.38211576859578</v>
      </c>
      <c r="BT10" s="200">
        <f t="shared" si="11"/>
        <v>848.38211576859578</v>
      </c>
      <c r="BU10" s="200">
        <f t="shared" si="11"/>
        <v>848.38211576859578</v>
      </c>
      <c r="BV10" s="200">
        <f t="shared" si="11"/>
        <v>848.38211576859578</v>
      </c>
      <c r="BW10" s="200">
        <f t="shared" si="11"/>
        <v>848.38211576859578</v>
      </c>
      <c r="BX10" s="200">
        <f t="shared" si="11"/>
        <v>848.38211576859578</v>
      </c>
      <c r="BY10" s="200">
        <f>$K$12/$B$13</f>
        <v>848.38211576859578</v>
      </c>
      <c r="BZ10" s="200">
        <f>$K$12/$B$13</f>
        <v>848.38211576859578</v>
      </c>
      <c r="CA10" s="200">
        <f>$K$12/$B$13</f>
        <v>848.38211576859578</v>
      </c>
      <c r="CB10" s="201">
        <f>SUM(BP10:CA10)</f>
        <v>10180.585389223152</v>
      </c>
      <c r="CC10" s="200">
        <f t="shared" ref="CC10:CN10" si="12">$K$12/$B$13</f>
        <v>848.38211576859578</v>
      </c>
      <c r="CD10" s="200">
        <f t="shared" si="12"/>
        <v>848.38211576859578</v>
      </c>
      <c r="CE10" s="200">
        <f t="shared" si="12"/>
        <v>848.38211576859578</v>
      </c>
      <c r="CF10" s="200">
        <f t="shared" si="12"/>
        <v>848.38211576859578</v>
      </c>
      <c r="CG10" s="200">
        <f t="shared" si="12"/>
        <v>848.38211576859578</v>
      </c>
      <c r="CH10" s="200">
        <f t="shared" si="12"/>
        <v>848.38211576859578</v>
      </c>
      <c r="CI10" s="200">
        <f t="shared" si="12"/>
        <v>848.38211576859578</v>
      </c>
      <c r="CJ10" s="200">
        <f t="shared" si="12"/>
        <v>848.38211576859578</v>
      </c>
      <c r="CK10" s="200">
        <f t="shared" si="12"/>
        <v>848.38211576859578</v>
      </c>
      <c r="CL10" s="200">
        <f t="shared" si="12"/>
        <v>848.38211576859578</v>
      </c>
      <c r="CM10" s="200">
        <f t="shared" si="12"/>
        <v>848.38211576859578</v>
      </c>
      <c r="CN10" s="200">
        <f t="shared" si="12"/>
        <v>848.38211576859578</v>
      </c>
      <c r="CO10" s="201">
        <f>SUM(CC10:CN10)</f>
        <v>10180.585389223152</v>
      </c>
      <c r="CP10" s="202"/>
    </row>
    <row r="11" spans="1:94">
      <c r="A11" s="194" t="s">
        <v>16</v>
      </c>
      <c r="B11" s="199">
        <f>O11+AB11+AO11+BB11+BO11+CB11+CO11</f>
        <v>14104.352674652897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0">
        <f>L9</f>
        <v>371.16717564876063</v>
      </c>
      <c r="M11" s="200">
        <f>M9</f>
        <v>366.21827997344388</v>
      </c>
      <c r="N11" s="200">
        <f>N9</f>
        <v>361.26938429812708</v>
      </c>
      <c r="O11" s="201">
        <f>SUM(C11:N11)</f>
        <v>1098.6548399203316</v>
      </c>
      <c r="P11" s="200">
        <f t="shared" ref="P11:BN11" si="13">P9</f>
        <v>356.32048862281022</v>
      </c>
      <c r="Q11" s="200">
        <f t="shared" si="13"/>
        <v>351.37159294749341</v>
      </c>
      <c r="R11" s="200">
        <f t="shared" si="13"/>
        <v>346.42269727217666</v>
      </c>
      <c r="S11" s="200">
        <f t="shared" si="13"/>
        <v>341.4738015968598</v>
      </c>
      <c r="T11" s="200">
        <f t="shared" si="13"/>
        <v>336.524905921543</v>
      </c>
      <c r="U11" s="200">
        <f t="shared" si="13"/>
        <v>331.57601024622619</v>
      </c>
      <c r="V11" s="200">
        <f t="shared" si="13"/>
        <v>326.62711457090938</v>
      </c>
      <c r="W11" s="200">
        <f t="shared" si="13"/>
        <v>321.67821889559258</v>
      </c>
      <c r="X11" s="200">
        <f t="shared" si="13"/>
        <v>316.72932322027572</v>
      </c>
      <c r="Y11" s="200">
        <f t="shared" si="13"/>
        <v>311.78042754495897</v>
      </c>
      <c r="Z11" s="200">
        <f t="shared" si="13"/>
        <v>306.83153186964211</v>
      </c>
      <c r="AA11" s="200">
        <f t="shared" si="13"/>
        <v>301.8826361943253</v>
      </c>
      <c r="AB11" s="201">
        <f>SUM(P11:AA11)</f>
        <v>3949.2187489028133</v>
      </c>
      <c r="AC11" s="200">
        <f t="shared" si="13"/>
        <v>296.9337405190085</v>
      </c>
      <c r="AD11" s="200">
        <f t="shared" si="13"/>
        <v>291.98484484369169</v>
      </c>
      <c r="AE11" s="200">
        <f t="shared" si="13"/>
        <v>287.03594916837488</v>
      </c>
      <c r="AF11" s="200">
        <f t="shared" si="13"/>
        <v>282.08705349305808</v>
      </c>
      <c r="AG11" s="200">
        <f t="shared" si="13"/>
        <v>277.13815781774127</v>
      </c>
      <c r="AH11" s="200">
        <f t="shared" si="13"/>
        <v>272.18926214242441</v>
      </c>
      <c r="AI11" s="200">
        <f t="shared" si="13"/>
        <v>267.24036646710766</v>
      </c>
      <c r="AJ11" s="200">
        <f t="shared" si="13"/>
        <v>262.2914707917908</v>
      </c>
      <c r="AK11" s="200">
        <f t="shared" si="13"/>
        <v>257.34257511647399</v>
      </c>
      <c r="AL11" s="200">
        <f t="shared" si="13"/>
        <v>252.39367944115722</v>
      </c>
      <c r="AM11" s="200">
        <f t="shared" si="13"/>
        <v>247.44478376584038</v>
      </c>
      <c r="AN11" s="200">
        <f t="shared" si="13"/>
        <v>242.49588809052355</v>
      </c>
      <c r="AO11" s="201">
        <f>SUM(AC11:AN11)</f>
        <v>3236.5777716571924</v>
      </c>
      <c r="AP11" s="200">
        <f t="shared" si="13"/>
        <v>237.54699241520677</v>
      </c>
      <c r="AQ11" s="200">
        <f t="shared" si="13"/>
        <v>232.59809673988994</v>
      </c>
      <c r="AR11" s="200">
        <f t="shared" si="13"/>
        <v>227.64920106457316</v>
      </c>
      <c r="AS11" s="200">
        <f t="shared" si="13"/>
        <v>222.70030538925633</v>
      </c>
      <c r="AT11" s="200">
        <f t="shared" si="13"/>
        <v>217.75140971393952</v>
      </c>
      <c r="AU11" s="200">
        <f t="shared" si="13"/>
        <v>212.80251403862272</v>
      </c>
      <c r="AV11" s="200">
        <f t="shared" si="13"/>
        <v>207.85361836330591</v>
      </c>
      <c r="AW11" s="200">
        <f t="shared" si="13"/>
        <v>202.90472268798908</v>
      </c>
      <c r="AX11" s="200">
        <f t="shared" si="13"/>
        <v>197.9558270126723</v>
      </c>
      <c r="AY11" s="200">
        <f t="shared" si="13"/>
        <v>193.00693133735547</v>
      </c>
      <c r="AZ11" s="200">
        <f t="shared" si="13"/>
        <v>188.05803566203863</v>
      </c>
      <c r="BA11" s="200">
        <f t="shared" si="13"/>
        <v>183.10913998672186</v>
      </c>
      <c r="BB11" s="201">
        <f>SUM(AP11:BA11)</f>
        <v>2523.9367944115716</v>
      </c>
      <c r="BC11" s="200">
        <f t="shared" si="13"/>
        <v>178.16024431140502</v>
      </c>
      <c r="BD11" s="200">
        <f t="shared" si="13"/>
        <v>173.21134863608822</v>
      </c>
      <c r="BE11" s="200">
        <f t="shared" si="13"/>
        <v>168.26245296077141</v>
      </c>
      <c r="BF11" s="200">
        <f t="shared" si="13"/>
        <v>163.31355728545461</v>
      </c>
      <c r="BG11" s="200">
        <f t="shared" si="13"/>
        <v>158.3646616101378</v>
      </c>
      <c r="BH11" s="200">
        <f t="shared" si="13"/>
        <v>153.41576593482097</v>
      </c>
      <c r="BI11" s="200">
        <f t="shared" si="13"/>
        <v>148.46687025950416</v>
      </c>
      <c r="BJ11" s="200">
        <f t="shared" si="13"/>
        <v>143.51797458418736</v>
      </c>
      <c r="BK11" s="200">
        <f t="shared" si="13"/>
        <v>138.56907890887055</v>
      </c>
      <c r="BL11" s="200">
        <f t="shared" si="13"/>
        <v>133.62018323355372</v>
      </c>
      <c r="BM11" s="200">
        <f t="shared" si="13"/>
        <v>128.67128755823691</v>
      </c>
      <c r="BN11" s="200">
        <f t="shared" si="13"/>
        <v>123.72239188292012</v>
      </c>
      <c r="BO11" s="201">
        <f>SUM(BC11:BN11)</f>
        <v>1811.2958171659509</v>
      </c>
      <c r="BP11" s="200">
        <f t="shared" ref="BP11:CA11" si="14">BP9</f>
        <v>118.77349620760329</v>
      </c>
      <c r="BQ11" s="200">
        <f t="shared" si="14"/>
        <v>113.82460053228648</v>
      </c>
      <c r="BR11" s="200">
        <f t="shared" si="14"/>
        <v>108.87570485696968</v>
      </c>
      <c r="BS11" s="200">
        <f t="shared" si="14"/>
        <v>103.92680918165286</v>
      </c>
      <c r="BT11" s="200">
        <f t="shared" si="14"/>
        <v>98.977913506336051</v>
      </c>
      <c r="BU11" s="200">
        <f t="shared" si="14"/>
        <v>94.029017831019246</v>
      </c>
      <c r="BV11" s="200">
        <f t="shared" si="14"/>
        <v>89.080122155702441</v>
      </c>
      <c r="BW11" s="200">
        <f t="shared" si="14"/>
        <v>84.131226480385621</v>
      </c>
      <c r="BX11" s="200">
        <f t="shared" si="14"/>
        <v>79.182330805068815</v>
      </c>
      <c r="BY11" s="200">
        <f t="shared" si="14"/>
        <v>74.233435129751996</v>
      </c>
      <c r="BZ11" s="200">
        <f t="shared" si="14"/>
        <v>69.28453945443519</v>
      </c>
      <c r="CA11" s="200">
        <f t="shared" si="14"/>
        <v>64.335643779118371</v>
      </c>
      <c r="CB11" s="201">
        <f>SUM(BP11:CA11)</f>
        <v>1098.65483992033</v>
      </c>
      <c r="CC11" s="200">
        <f t="shared" ref="CC11:CN11" si="15">CC9</f>
        <v>59.386748103801558</v>
      </c>
      <c r="CD11" s="200">
        <f t="shared" si="15"/>
        <v>54.437852428484753</v>
      </c>
      <c r="CE11" s="200">
        <f t="shared" si="15"/>
        <v>49.48895675316794</v>
      </c>
      <c r="CF11" s="200">
        <f t="shared" si="15"/>
        <v>44.540061077851135</v>
      </c>
      <c r="CG11" s="200">
        <f t="shared" si="15"/>
        <v>39.591165402534322</v>
      </c>
      <c r="CH11" s="200">
        <f t="shared" si="15"/>
        <v>34.64226972721751</v>
      </c>
      <c r="CI11" s="200">
        <f t="shared" si="15"/>
        <v>29.693374051900694</v>
      </c>
      <c r="CJ11" s="200">
        <f t="shared" si="15"/>
        <v>24.744478376583885</v>
      </c>
      <c r="CK11" s="200">
        <f t="shared" si="15"/>
        <v>19.795582701267076</v>
      </c>
      <c r="CL11" s="200">
        <f t="shared" si="15"/>
        <v>14.846687025950269</v>
      </c>
      <c r="CM11" s="200">
        <f t="shared" si="15"/>
        <v>9.8977913506334598</v>
      </c>
      <c r="CN11" s="200">
        <f t="shared" si="15"/>
        <v>4.9488956753166518</v>
      </c>
      <c r="CO11" s="201">
        <f>SUM(CC11:CN11)</f>
        <v>386.01386267470923</v>
      </c>
      <c r="CP11" s="202" t="s">
        <v>63</v>
      </c>
    </row>
    <row r="12" spans="1:94">
      <c r="A12" s="194" t="s">
        <v>17</v>
      </c>
      <c r="B12" s="199">
        <f>CO12</f>
        <v>-2.7057467377744615E-11</v>
      </c>
      <c r="C12" s="200">
        <f>C7</f>
        <v>4907.3469451680567</v>
      </c>
      <c r="D12" s="200">
        <f>C12+D7-D10+D8</f>
        <v>15205.750380840142</v>
      </c>
      <c r="E12" s="200">
        <f>D12+E7-E10+E8</f>
        <v>59299.113315532653</v>
      </c>
      <c r="F12" s="200">
        <f>E12+F7-F10+F8</f>
        <v>59299.113315532653</v>
      </c>
      <c r="G12" s="200">
        <f t="shared" ref="G12:M12" si="16">F12+G7-G10+G8</f>
        <v>59299.113315532653</v>
      </c>
      <c r="H12" s="200">
        <f>G12+H7-H10+H8</f>
        <v>61399.113315532653</v>
      </c>
      <c r="I12" s="200">
        <f t="shared" si="16"/>
        <v>61399.113315532653</v>
      </c>
      <c r="J12" s="200">
        <f t="shared" si="16"/>
        <v>61399.113315532653</v>
      </c>
      <c r="K12" s="200">
        <f t="shared" si="16"/>
        <v>63628.65868264468</v>
      </c>
      <c r="L12" s="200">
        <f t="shared" si="16"/>
        <v>62780.276566876084</v>
      </c>
      <c r="M12" s="200">
        <f t="shared" si="16"/>
        <v>61931.894451107488</v>
      </c>
      <c r="N12" s="200">
        <f>M12+N7-N10+N8</f>
        <v>61083.512335338892</v>
      </c>
      <c r="O12" s="201">
        <f>N12</f>
        <v>61083.512335338892</v>
      </c>
      <c r="P12" s="200">
        <f>O12+P7-P10+P8</f>
        <v>60235.130219570296</v>
      </c>
      <c r="Q12" s="200">
        <f t="shared" ref="Q12:Z12" si="17">P12+Q7-Q10+Q8</f>
        <v>59386.748103801699</v>
      </c>
      <c r="R12" s="200">
        <f t="shared" si="17"/>
        <v>58538.365988033103</v>
      </c>
      <c r="S12" s="200">
        <f t="shared" si="17"/>
        <v>57689.983872264507</v>
      </c>
      <c r="T12" s="200">
        <f t="shared" si="17"/>
        <v>56841.601756495911</v>
      </c>
      <c r="U12" s="200">
        <f t="shared" si="17"/>
        <v>55993.219640727315</v>
      </c>
      <c r="V12" s="200">
        <f t="shared" si="17"/>
        <v>55144.837524958719</v>
      </c>
      <c r="W12" s="200">
        <f t="shared" si="17"/>
        <v>54296.455409190123</v>
      </c>
      <c r="X12" s="200">
        <f t="shared" si="17"/>
        <v>53448.073293421527</v>
      </c>
      <c r="Y12" s="200">
        <f t="shared" si="17"/>
        <v>52599.69117765293</v>
      </c>
      <c r="Z12" s="200">
        <f t="shared" si="17"/>
        <v>51751.309061884334</v>
      </c>
      <c r="AA12" s="200">
        <f>Z12+AA7-AA10+AA8</f>
        <v>50902.926946115738</v>
      </c>
      <c r="AB12" s="201">
        <f>AA12</f>
        <v>50902.926946115738</v>
      </c>
      <c r="AC12" s="200">
        <f>AB12+AC7-AC10+AC8</f>
        <v>50054.544830347142</v>
      </c>
      <c r="AD12" s="200">
        <f t="shared" ref="AD12:AN12" si="18">AC12+AD7-AD10+AD8</f>
        <v>49206.162714578546</v>
      </c>
      <c r="AE12" s="200">
        <f t="shared" si="18"/>
        <v>48357.78059880995</v>
      </c>
      <c r="AF12" s="200">
        <f t="shared" si="18"/>
        <v>47509.398483041354</v>
      </c>
      <c r="AG12" s="200">
        <f t="shared" si="18"/>
        <v>46661.016367272758</v>
      </c>
      <c r="AH12" s="200">
        <f t="shared" si="18"/>
        <v>45812.634251504162</v>
      </c>
      <c r="AI12" s="200">
        <f t="shared" si="18"/>
        <v>44964.252135735565</v>
      </c>
      <c r="AJ12" s="200">
        <f t="shared" si="18"/>
        <v>44115.870019966969</v>
      </c>
      <c r="AK12" s="200">
        <f t="shared" si="18"/>
        <v>43267.487904198373</v>
      </c>
      <c r="AL12" s="200">
        <f t="shared" si="18"/>
        <v>42419.105788429777</v>
      </c>
      <c r="AM12" s="200">
        <f t="shared" si="18"/>
        <v>41570.723672661181</v>
      </c>
      <c r="AN12" s="200">
        <f t="shared" si="18"/>
        <v>40722.341556892585</v>
      </c>
      <c r="AO12" s="201">
        <f>AN12</f>
        <v>40722.341556892585</v>
      </c>
      <c r="AP12" s="200">
        <f>AO12+AP7-AP10+AP8</f>
        <v>39873.959441123989</v>
      </c>
      <c r="AQ12" s="200">
        <f t="shared" ref="AQ12:BA12" si="19">AP12+AQ7-AQ10+AQ8</f>
        <v>39025.577325355393</v>
      </c>
      <c r="AR12" s="200">
        <f t="shared" si="19"/>
        <v>38177.195209586796</v>
      </c>
      <c r="AS12" s="200">
        <f t="shared" si="19"/>
        <v>37328.8130938182</v>
      </c>
      <c r="AT12" s="200">
        <f t="shared" si="19"/>
        <v>36480.430978049604</v>
      </c>
      <c r="AU12" s="200">
        <f t="shared" si="19"/>
        <v>35632.048862281008</v>
      </c>
      <c r="AV12" s="200">
        <f t="shared" si="19"/>
        <v>34783.666746512412</v>
      </c>
      <c r="AW12" s="200">
        <f t="shared" si="19"/>
        <v>33935.284630743816</v>
      </c>
      <c r="AX12" s="200">
        <f t="shared" si="19"/>
        <v>33086.90251497522</v>
      </c>
      <c r="AY12" s="200">
        <f t="shared" si="19"/>
        <v>32238.520399206624</v>
      </c>
      <c r="AZ12" s="200">
        <f t="shared" si="19"/>
        <v>31390.138283438027</v>
      </c>
      <c r="BA12" s="200">
        <f t="shared" si="19"/>
        <v>30541.756167669431</v>
      </c>
      <c r="BB12" s="201">
        <f>BA12</f>
        <v>30541.756167669431</v>
      </c>
      <c r="BC12" s="200">
        <f>BB12+BC7-BC10+BC8</f>
        <v>29693.374051900835</v>
      </c>
      <c r="BD12" s="200">
        <f t="shared" ref="BD12:BN12" si="20">BC12+BD7-BD10+BD8</f>
        <v>28844.991936132239</v>
      </c>
      <c r="BE12" s="200">
        <f t="shared" si="20"/>
        <v>27996.609820363643</v>
      </c>
      <c r="BF12" s="200">
        <f t="shared" si="20"/>
        <v>27148.227704595047</v>
      </c>
      <c r="BG12" s="200">
        <f t="shared" si="20"/>
        <v>26299.845588826451</v>
      </c>
      <c r="BH12" s="200">
        <f t="shared" si="20"/>
        <v>25451.463473057855</v>
      </c>
      <c r="BI12" s="200">
        <f t="shared" si="20"/>
        <v>24603.081357289258</v>
      </c>
      <c r="BJ12" s="200">
        <f t="shared" si="20"/>
        <v>23754.699241520662</v>
      </c>
      <c r="BK12" s="200">
        <f t="shared" si="20"/>
        <v>22906.317125752066</v>
      </c>
      <c r="BL12" s="200">
        <f t="shared" si="20"/>
        <v>22057.93500998347</v>
      </c>
      <c r="BM12" s="200">
        <f t="shared" si="20"/>
        <v>21209.552894214874</v>
      </c>
      <c r="BN12" s="200">
        <f t="shared" si="20"/>
        <v>20361.170778446278</v>
      </c>
      <c r="BO12" s="201">
        <f>BN12</f>
        <v>20361.170778446278</v>
      </c>
      <c r="BP12" s="200">
        <f t="shared" ref="BP12:CA12" si="21">BO12+BP7-BP10+BP8</f>
        <v>19512.788662677682</v>
      </c>
      <c r="BQ12" s="200">
        <f t="shared" si="21"/>
        <v>18664.406546909086</v>
      </c>
      <c r="BR12" s="200">
        <f t="shared" si="21"/>
        <v>17816.024431140489</v>
      </c>
      <c r="BS12" s="200">
        <f t="shared" si="21"/>
        <v>16967.642315371893</v>
      </c>
      <c r="BT12" s="200">
        <f t="shared" si="21"/>
        <v>16119.260199603297</v>
      </c>
      <c r="BU12" s="200">
        <f t="shared" si="21"/>
        <v>15270.878083834701</v>
      </c>
      <c r="BV12" s="200">
        <f t="shared" si="21"/>
        <v>14422.495968066105</v>
      </c>
      <c r="BW12" s="200">
        <f t="shared" si="21"/>
        <v>13574.113852297509</v>
      </c>
      <c r="BX12" s="200">
        <f t="shared" si="21"/>
        <v>12725.731736528913</v>
      </c>
      <c r="BY12" s="200">
        <f t="shared" si="21"/>
        <v>11877.349620760317</v>
      </c>
      <c r="BZ12" s="200">
        <f t="shared" si="21"/>
        <v>11028.96750499172</v>
      </c>
      <c r="CA12" s="200">
        <f t="shared" si="21"/>
        <v>10180.585389223124</v>
      </c>
      <c r="CB12" s="201">
        <f>CA12</f>
        <v>10180.585389223124</v>
      </c>
      <c r="CC12" s="200">
        <f t="shared" ref="CC12:CN12" si="22">CB12+CC7-CC10+CC8</f>
        <v>9332.2032734545282</v>
      </c>
      <c r="CD12" s="200">
        <f t="shared" si="22"/>
        <v>8483.8211576859321</v>
      </c>
      <c r="CE12" s="200">
        <f t="shared" si="22"/>
        <v>7635.439041917336</v>
      </c>
      <c r="CF12" s="200">
        <f t="shared" si="22"/>
        <v>6787.0569261487399</v>
      </c>
      <c r="CG12" s="200">
        <f t="shared" si="22"/>
        <v>5938.6748103801438</v>
      </c>
      <c r="CH12" s="200">
        <f t="shared" si="22"/>
        <v>5090.2926946115476</v>
      </c>
      <c r="CI12" s="200">
        <f t="shared" si="22"/>
        <v>4241.9105788429515</v>
      </c>
      <c r="CJ12" s="200">
        <f t="shared" si="22"/>
        <v>3393.5284630743558</v>
      </c>
      <c r="CK12" s="200">
        <f t="shared" si="22"/>
        <v>2545.1463473057602</v>
      </c>
      <c r="CL12" s="200">
        <f t="shared" si="22"/>
        <v>1696.7642315371645</v>
      </c>
      <c r="CM12" s="200">
        <f t="shared" si="22"/>
        <v>848.38211576856872</v>
      </c>
      <c r="CN12" s="200">
        <f t="shared" si="22"/>
        <v>-2.7057467377744615E-11</v>
      </c>
      <c r="CO12" s="201">
        <f>CN12</f>
        <v>-2.7057467377744615E-11</v>
      </c>
      <c r="CP12" s="206">
        <f>MAX(C12:BO12)</f>
        <v>63628.65868264468</v>
      </c>
    </row>
    <row r="13" spans="1:94">
      <c r="A13" s="183" t="s">
        <v>85</v>
      </c>
      <c r="B13" s="183">
        <f>Исх!C33*12-Исх!C34</f>
        <v>75</v>
      </c>
      <c r="CP13" s="186"/>
    </row>
    <row r="16" spans="1:94">
      <c r="A16" s="207">
        <f>B7+B8-B10</f>
        <v>0</v>
      </c>
    </row>
    <row r="17" spans="1:1">
      <c r="A17" s="207">
        <f>B9-B8-B11</f>
        <v>0</v>
      </c>
    </row>
  </sheetData>
  <mergeCells count="7">
    <mergeCell ref="CC5:CO5"/>
    <mergeCell ref="C5:O5"/>
    <mergeCell ref="P5:AB5"/>
    <mergeCell ref="AC5:AO5"/>
    <mergeCell ref="AP5:BB5"/>
    <mergeCell ref="BC5:BO5"/>
    <mergeCell ref="BP5:CB5"/>
  </mergeCells>
  <pageMargins left="0.35433070866141736" right="0.19685039370078741" top="0.19685039370078741" bottom="0.31496062992125984" header="0.19685039370078741" footer="0.23622047244094491"/>
  <pageSetup paperSize="9" scale="11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S30"/>
  <sheetViews>
    <sheetView showGridLines="0" workbookViewId="0">
      <pane xSplit="2" ySplit="4" topLeftCell="D5" activePane="bottomRight" state="frozen"/>
      <selection activeCell="A34" sqref="A34"/>
      <selection pane="topRight" activeCell="A34" sqref="A34"/>
      <selection pane="bottomLeft" activeCell="A34" sqref="A34"/>
      <selection pane="bottomRight" activeCell="D18" sqref="D18"/>
    </sheetView>
  </sheetViews>
  <sheetFormatPr defaultColWidth="8.85546875" defaultRowHeight="12.75" outlineLevelRow="1" outlineLevelCol="1"/>
  <cols>
    <col min="1" max="1" width="41.7109375" style="78" customWidth="1"/>
    <col min="2" max="2" width="10" style="78" customWidth="1"/>
    <col min="3" max="3" width="9" style="78" customWidth="1"/>
    <col min="4" max="4" width="10" style="78" customWidth="1"/>
    <col min="5" max="5" width="7.42578125" style="78" bestFit="1" customWidth="1" outlineLevel="1"/>
    <col min="6" max="6" width="6.7109375" style="78" customWidth="1" outlineLevel="1"/>
    <col min="7" max="7" width="6.5703125" style="78" bestFit="1" customWidth="1" outlineLevel="1"/>
    <col min="8" max="16" width="4.7109375" style="78" customWidth="1" outlineLevel="1"/>
    <col min="17" max="17" width="10.140625" style="78" customWidth="1"/>
    <col min="18" max="18" width="8.85546875" style="78"/>
    <col min="19" max="19" width="16" style="78" customWidth="1"/>
    <col min="20" max="20" width="12.85546875" style="78" bestFit="1" customWidth="1"/>
    <col min="21" max="16384" width="8.85546875" style="78"/>
  </cols>
  <sheetData>
    <row r="1" spans="1:19" ht="8.25" customHeight="1"/>
    <row r="2" spans="1:19">
      <c r="A2" s="62" t="s">
        <v>66</v>
      </c>
      <c r="B2" s="177"/>
      <c r="Q2" s="151" t="s">
        <v>65</v>
      </c>
      <c r="R2" s="208"/>
      <c r="S2" s="175"/>
    </row>
    <row r="3" spans="1:19" ht="17.25" customHeight="1">
      <c r="B3" s="208"/>
      <c r="C3" s="208"/>
      <c r="E3" s="381">
        <v>2013</v>
      </c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3"/>
      <c r="Q3" s="93" t="s">
        <v>0</v>
      </c>
      <c r="R3" s="208"/>
      <c r="S3" s="209"/>
    </row>
    <row r="4" spans="1:19" ht="27" customHeight="1">
      <c r="A4" s="250" t="s">
        <v>216</v>
      </c>
      <c r="B4" s="210" t="s">
        <v>179</v>
      </c>
      <c r="C4" s="210" t="s">
        <v>180</v>
      </c>
      <c r="D4" s="231" t="s">
        <v>178</v>
      </c>
      <c r="E4" s="211">
        <v>1</v>
      </c>
      <c r="F4" s="211">
        <v>2</v>
      </c>
      <c r="G4" s="211">
        <v>3</v>
      </c>
      <c r="H4" s="211">
        <v>4</v>
      </c>
      <c r="I4" s="211">
        <v>5</v>
      </c>
      <c r="J4" s="211">
        <v>6</v>
      </c>
      <c r="K4" s="211">
        <v>7</v>
      </c>
      <c r="L4" s="211">
        <v>8</v>
      </c>
      <c r="M4" s="211">
        <v>9</v>
      </c>
      <c r="N4" s="211">
        <v>10</v>
      </c>
      <c r="O4" s="211">
        <v>11</v>
      </c>
      <c r="P4" s="211">
        <v>12</v>
      </c>
      <c r="Q4" s="95">
        <v>2013</v>
      </c>
    </row>
    <row r="5" spans="1:19" s="62" customFormat="1">
      <c r="A5" s="212" t="s">
        <v>214</v>
      </c>
      <c r="B5" s="213"/>
      <c r="C5" s="213"/>
      <c r="D5" s="148">
        <f>SUM(D6:D7)</f>
        <v>18874.411327569447</v>
      </c>
      <c r="E5" s="148">
        <f>SUM(E6:E7)</f>
        <v>7549.7645310277794</v>
      </c>
      <c r="F5" s="148">
        <f>SUM(F6:F7)</f>
        <v>11324.646796541669</v>
      </c>
      <c r="G5" s="148">
        <f>SUM(G6:G6)</f>
        <v>0</v>
      </c>
      <c r="H5" s="148">
        <f>SUM(H6:H6)</f>
        <v>0</v>
      </c>
      <c r="I5" s="148">
        <f>SUM(I6:I6)</f>
        <v>0</v>
      </c>
      <c r="J5" s="148">
        <f>SUM(J6:J6)</f>
        <v>0</v>
      </c>
      <c r="K5" s="148">
        <f>SUM(K6:K6)</f>
        <v>0</v>
      </c>
      <c r="L5" s="148">
        <f>SUM(L6:L6)</f>
        <v>0</v>
      </c>
      <c r="M5" s="148">
        <f>SUM(M6:M6)</f>
        <v>0</v>
      </c>
      <c r="N5" s="148">
        <f>SUM(N6:N6)</f>
        <v>0</v>
      </c>
      <c r="O5" s="148">
        <f>SUM(O6:O6)</f>
        <v>0</v>
      </c>
      <c r="P5" s="148">
        <f>SUM(P6:P6)</f>
        <v>0</v>
      </c>
      <c r="Q5" s="148">
        <f>SUM(Q6:Q6)</f>
        <v>14874.411327569447</v>
      </c>
      <c r="S5" s="78"/>
    </row>
    <row r="6" spans="1:19" ht="25.5" outlineLevel="1">
      <c r="A6" s="253" t="s">
        <v>367</v>
      </c>
      <c r="B6" s="336">
        <f>Производство!B91</f>
        <v>804.50928819444471</v>
      </c>
      <c r="C6" s="345">
        <f>3820*Исх!$C$6/1000</f>
        <v>18.488799999999998</v>
      </c>
      <c r="D6" s="119">
        <f>B6*C6</f>
        <v>14874.411327569447</v>
      </c>
      <c r="E6" s="119">
        <f>$D6*0.4</f>
        <v>5949.7645310277794</v>
      </c>
      <c r="F6" s="119">
        <f>$D6*0.6</f>
        <v>8924.6467965416687</v>
      </c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>
        <f>SUM(E6:P6)</f>
        <v>14874.411327569447</v>
      </c>
      <c r="R6" s="338" t="s">
        <v>337</v>
      </c>
    </row>
    <row r="7" spans="1:19" outlineLevel="1">
      <c r="A7" s="253" t="s">
        <v>386</v>
      </c>
      <c r="B7" s="336">
        <v>1</v>
      </c>
      <c r="C7" s="345">
        <v>4000</v>
      </c>
      <c r="D7" s="119">
        <f>SUM(E7:P7)</f>
        <v>4000</v>
      </c>
      <c r="E7" s="119">
        <v>1600</v>
      </c>
      <c r="F7" s="119">
        <v>2400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20"/>
      <c r="R7" s="338"/>
    </row>
    <row r="8" spans="1:19">
      <c r="A8" s="212" t="s">
        <v>118</v>
      </c>
      <c r="B8" s="213"/>
      <c r="C8" s="213"/>
      <c r="D8" s="148">
        <f t="shared" ref="D8:Q8" si="0">SUM(D9:D12)</f>
        <v>11297.626992</v>
      </c>
      <c r="E8" s="148">
        <f t="shared" si="0"/>
        <v>0</v>
      </c>
      <c r="F8" s="148">
        <f>SUM(F9:F12)</f>
        <v>4519.0507968000002</v>
      </c>
      <c r="G8" s="148">
        <f t="shared" si="0"/>
        <v>6778.5761951999993</v>
      </c>
      <c r="H8" s="148">
        <f t="shared" si="0"/>
        <v>0</v>
      </c>
      <c r="I8" s="148">
        <f t="shared" si="0"/>
        <v>0</v>
      </c>
      <c r="J8" s="148">
        <f t="shared" si="0"/>
        <v>0</v>
      </c>
      <c r="K8" s="148">
        <f t="shared" si="0"/>
        <v>0</v>
      </c>
      <c r="L8" s="148">
        <f t="shared" si="0"/>
        <v>0</v>
      </c>
      <c r="M8" s="148">
        <f t="shared" si="0"/>
        <v>0</v>
      </c>
      <c r="N8" s="148">
        <f t="shared" si="0"/>
        <v>0</v>
      </c>
      <c r="O8" s="148">
        <f t="shared" si="0"/>
        <v>0</v>
      </c>
      <c r="P8" s="148">
        <f t="shared" si="0"/>
        <v>0</v>
      </c>
      <c r="Q8" s="148">
        <f t="shared" si="0"/>
        <v>8797.6269919999995</v>
      </c>
    </row>
    <row r="9" spans="1:19" ht="25.5" outlineLevel="1">
      <c r="A9" s="253" t="s">
        <v>303</v>
      </c>
      <c r="B9" s="345">
        <v>1</v>
      </c>
      <c r="C9" s="345">
        <f>114.163*2*Исх!$C$6</f>
        <v>1105.0978399999999</v>
      </c>
      <c r="D9" s="119">
        <f t="shared" ref="D9:D12" si="1">B9*C9</f>
        <v>1105.0978399999999</v>
      </c>
      <c r="E9" s="119"/>
      <c r="F9" s="119">
        <f>$D9*0.4</f>
        <v>442.03913599999998</v>
      </c>
      <c r="G9" s="119">
        <f t="shared" ref="G9:G12" si="2">$D9*0.6</f>
        <v>663.05870399999992</v>
      </c>
      <c r="H9" s="119"/>
      <c r="I9" s="119"/>
      <c r="J9" s="119"/>
      <c r="K9" s="119"/>
      <c r="L9" s="119"/>
      <c r="M9" s="119"/>
      <c r="N9" s="119"/>
      <c r="O9" s="119"/>
      <c r="P9" s="119"/>
      <c r="Q9" s="120">
        <f t="shared" ref="Q9:Q12" si="3">SUM(E9:P9)</f>
        <v>1105.0978399999999</v>
      </c>
      <c r="R9" s="347" t="s">
        <v>338</v>
      </c>
    </row>
    <row r="10" spans="1:19" outlineLevel="1">
      <c r="A10" s="253" t="s">
        <v>384</v>
      </c>
      <c r="B10" s="345">
        <v>1</v>
      </c>
      <c r="C10" s="345">
        <v>2500</v>
      </c>
      <c r="D10" s="119">
        <f>SUM(E10:P10)</f>
        <v>2500</v>
      </c>
      <c r="E10" s="119"/>
      <c r="F10" s="119">
        <v>1000</v>
      </c>
      <c r="G10" s="119">
        <v>1500</v>
      </c>
      <c r="H10" s="119"/>
      <c r="I10" s="119"/>
      <c r="J10" s="119"/>
      <c r="K10" s="119"/>
      <c r="L10" s="119"/>
      <c r="M10" s="119"/>
      <c r="N10" s="119"/>
      <c r="O10" s="119"/>
      <c r="P10" s="119"/>
      <c r="Q10" s="120"/>
      <c r="R10" s="347"/>
    </row>
    <row r="11" spans="1:19" outlineLevel="1">
      <c r="A11" s="253" t="s">
        <v>341</v>
      </c>
      <c r="B11" s="149">
        <v>8</v>
      </c>
      <c r="C11" s="149">
        <f>6300*1.1*Исх!$C$6/1000*Исх!$C$18</f>
        <v>37.566144000000008</v>
      </c>
      <c r="D11" s="157">
        <f t="shared" si="1"/>
        <v>300.52915200000007</v>
      </c>
      <c r="E11" s="157"/>
      <c r="F11" s="157">
        <f t="shared" ref="F9:F12" si="4">$D11*0.4</f>
        <v>120.21166080000003</v>
      </c>
      <c r="G11" s="157">
        <f t="shared" si="2"/>
        <v>180.31749120000003</v>
      </c>
      <c r="H11" s="157"/>
      <c r="I11" s="157"/>
      <c r="J11" s="157"/>
      <c r="K11" s="157"/>
      <c r="L11" s="157"/>
      <c r="M11" s="157"/>
      <c r="N11" s="157"/>
      <c r="O11" s="157"/>
      <c r="P11" s="157"/>
      <c r="Q11" s="158">
        <f t="shared" si="3"/>
        <v>300.52915200000007</v>
      </c>
      <c r="R11" s="78" t="s">
        <v>340</v>
      </c>
    </row>
    <row r="12" spans="1:19" outlineLevel="1">
      <c r="A12" s="214" t="s">
        <v>383</v>
      </c>
      <c r="B12" s="149">
        <v>1</v>
      </c>
      <c r="C12" s="149">
        <v>7392</v>
      </c>
      <c r="D12" s="157">
        <f t="shared" si="1"/>
        <v>7392</v>
      </c>
      <c r="E12" s="157"/>
      <c r="F12" s="157">
        <f t="shared" si="4"/>
        <v>2956.8</v>
      </c>
      <c r="G12" s="157">
        <f t="shared" si="2"/>
        <v>4435.2</v>
      </c>
      <c r="H12" s="157"/>
      <c r="I12" s="157"/>
      <c r="J12" s="157"/>
      <c r="K12" s="157"/>
      <c r="L12" s="157"/>
      <c r="M12" s="157"/>
      <c r="N12" s="157"/>
      <c r="O12" s="157"/>
      <c r="P12" s="157"/>
      <c r="Q12" s="158">
        <f t="shared" si="3"/>
        <v>7392</v>
      </c>
    </row>
    <row r="13" spans="1:19">
      <c r="A13" s="212" t="s">
        <v>225</v>
      </c>
      <c r="B13" s="213"/>
      <c r="C13" s="213"/>
      <c r="D13" s="148">
        <f>SUM(D14:D16)</f>
        <v>21101</v>
      </c>
      <c r="E13" s="148">
        <f t="shared" ref="E13:Q13" si="5">SUM(E14:E16)</f>
        <v>0</v>
      </c>
      <c r="F13" s="148">
        <f t="shared" si="5"/>
        <v>0</v>
      </c>
      <c r="G13" s="148">
        <f t="shared" si="5"/>
        <v>21101</v>
      </c>
      <c r="H13" s="148">
        <f t="shared" si="5"/>
        <v>0</v>
      </c>
      <c r="I13" s="148">
        <f t="shared" si="5"/>
        <v>0</v>
      </c>
      <c r="J13" s="148">
        <f t="shared" si="5"/>
        <v>0</v>
      </c>
      <c r="K13" s="148">
        <f t="shared" si="5"/>
        <v>0</v>
      </c>
      <c r="L13" s="148">
        <f t="shared" si="5"/>
        <v>0</v>
      </c>
      <c r="M13" s="148">
        <f t="shared" si="5"/>
        <v>0</v>
      </c>
      <c r="N13" s="148">
        <f t="shared" si="5"/>
        <v>0</v>
      </c>
      <c r="O13" s="148">
        <f t="shared" si="5"/>
        <v>0</v>
      </c>
      <c r="P13" s="148">
        <f t="shared" si="5"/>
        <v>0</v>
      </c>
      <c r="Q13" s="148">
        <f t="shared" si="5"/>
        <v>21101</v>
      </c>
    </row>
    <row r="14" spans="1:19" outlineLevel="1">
      <c r="A14" s="253" t="s">
        <v>304</v>
      </c>
      <c r="B14" s="149">
        <v>1</v>
      </c>
      <c r="C14" s="149">
        <f>2900*Исх!C6</f>
        <v>14036</v>
      </c>
      <c r="D14" s="157">
        <f>B14*C14</f>
        <v>14036</v>
      </c>
      <c r="E14" s="157"/>
      <c r="F14" s="157"/>
      <c r="G14" s="157">
        <f>D14</f>
        <v>14036</v>
      </c>
      <c r="H14" s="157"/>
      <c r="I14" s="157"/>
      <c r="J14" s="157"/>
      <c r="K14" s="157"/>
      <c r="L14" s="157"/>
      <c r="M14" s="157"/>
      <c r="N14" s="157"/>
      <c r="O14" s="157"/>
      <c r="P14" s="157"/>
      <c r="Q14" s="158">
        <f>SUM(E14:P14)</f>
        <v>14036</v>
      </c>
    </row>
    <row r="15" spans="1:19" outlineLevel="1">
      <c r="A15" s="253" t="s">
        <v>382</v>
      </c>
      <c r="B15" s="149">
        <v>2</v>
      </c>
      <c r="C15" s="149">
        <v>3532.5</v>
      </c>
      <c r="D15" s="157">
        <f>B15*C15</f>
        <v>7065</v>
      </c>
      <c r="E15" s="157"/>
      <c r="F15" s="157"/>
      <c r="G15" s="157">
        <f>D15</f>
        <v>7065</v>
      </c>
      <c r="H15" s="157"/>
      <c r="I15" s="157"/>
      <c r="J15" s="157"/>
      <c r="K15" s="157"/>
      <c r="L15" s="157"/>
      <c r="M15" s="157"/>
      <c r="N15" s="157"/>
      <c r="O15" s="157"/>
      <c r="P15" s="157"/>
      <c r="Q15" s="158">
        <f>SUM(E15:P15)</f>
        <v>7065</v>
      </c>
    </row>
    <row r="16" spans="1:19" outlineLevel="1">
      <c r="A16" s="214"/>
      <c r="B16" s="149"/>
      <c r="C16" s="149"/>
      <c r="D16" s="157">
        <f>B16*C16</f>
        <v>0</v>
      </c>
      <c r="E16" s="157"/>
      <c r="F16" s="157"/>
      <c r="G16" s="157">
        <f>D16</f>
        <v>0</v>
      </c>
      <c r="H16" s="157"/>
      <c r="I16" s="157"/>
      <c r="J16" s="157"/>
      <c r="K16" s="157"/>
      <c r="L16" s="157"/>
      <c r="M16" s="157"/>
      <c r="N16" s="157"/>
      <c r="O16" s="157"/>
      <c r="P16" s="157"/>
      <c r="Q16" s="158">
        <f>SUM(E16:P16)</f>
        <v>0</v>
      </c>
    </row>
    <row r="17" spans="1:17">
      <c r="A17" s="212" t="s">
        <v>305</v>
      </c>
      <c r="B17" s="213"/>
      <c r="C17" s="213"/>
      <c r="D17" s="148">
        <f t="shared" ref="D17:Q17" si="6">SUM(D18:D19)</f>
        <v>39250</v>
      </c>
      <c r="E17" s="148">
        <f t="shared" si="6"/>
        <v>0</v>
      </c>
      <c r="F17" s="148">
        <f t="shared" si="6"/>
        <v>0</v>
      </c>
      <c r="G17" s="148">
        <f t="shared" si="6"/>
        <v>39250</v>
      </c>
      <c r="H17" s="148">
        <f t="shared" si="6"/>
        <v>0</v>
      </c>
      <c r="I17" s="148">
        <f t="shared" si="6"/>
        <v>0</v>
      </c>
      <c r="J17" s="148">
        <f t="shared" si="6"/>
        <v>0</v>
      </c>
      <c r="K17" s="148">
        <f t="shared" si="6"/>
        <v>0</v>
      </c>
      <c r="L17" s="148">
        <f t="shared" si="6"/>
        <v>0</v>
      </c>
      <c r="M17" s="148">
        <f t="shared" si="6"/>
        <v>0</v>
      </c>
      <c r="N17" s="148">
        <f t="shared" si="6"/>
        <v>0</v>
      </c>
      <c r="O17" s="148">
        <f t="shared" si="6"/>
        <v>0</v>
      </c>
      <c r="P17" s="148">
        <f t="shared" si="6"/>
        <v>0</v>
      </c>
      <c r="Q17" s="148">
        <f t="shared" si="6"/>
        <v>39250</v>
      </c>
    </row>
    <row r="18" spans="1:17" outlineLevel="1">
      <c r="A18" s="253" t="s">
        <v>368</v>
      </c>
      <c r="B18" s="150">
        <f>Исх!C28</f>
        <v>50</v>
      </c>
      <c r="C18" s="149">
        <v>700</v>
      </c>
      <c r="D18" s="157">
        <f>B18*C18</f>
        <v>35000</v>
      </c>
      <c r="E18" s="157"/>
      <c r="F18" s="157"/>
      <c r="G18" s="157">
        <f>D18</f>
        <v>35000</v>
      </c>
      <c r="H18" s="157"/>
      <c r="I18" s="157"/>
      <c r="J18" s="157"/>
      <c r="K18" s="157"/>
      <c r="L18" s="157"/>
      <c r="M18" s="157"/>
      <c r="N18" s="157"/>
      <c r="O18" s="157"/>
      <c r="P18" s="157"/>
      <c r="Q18" s="158">
        <f>SUM(E18:P18)</f>
        <v>35000</v>
      </c>
    </row>
    <row r="19" spans="1:17" outlineLevel="1">
      <c r="A19" s="253" t="s">
        <v>369</v>
      </c>
      <c r="B19" s="150">
        <f>Исх!C29</f>
        <v>5</v>
      </c>
      <c r="C19" s="149">
        <v>850</v>
      </c>
      <c r="D19" s="157">
        <f>B19*C19</f>
        <v>4250</v>
      </c>
      <c r="E19" s="157"/>
      <c r="F19" s="157"/>
      <c r="G19" s="157">
        <f>D19</f>
        <v>4250</v>
      </c>
      <c r="H19" s="157"/>
      <c r="I19" s="157"/>
      <c r="J19" s="157"/>
      <c r="K19" s="157"/>
      <c r="L19" s="157"/>
      <c r="M19" s="157"/>
      <c r="N19" s="157"/>
      <c r="O19" s="157"/>
      <c r="P19" s="157"/>
      <c r="Q19" s="158">
        <f>SUM(E19:P19)</f>
        <v>4250</v>
      </c>
    </row>
    <row r="20" spans="1:17">
      <c r="A20" s="145" t="s">
        <v>0</v>
      </c>
      <c r="B20" s="171"/>
      <c r="C20" s="171"/>
      <c r="D20" s="171">
        <f>D5+D8+D13+D17</f>
        <v>90523.038319569445</v>
      </c>
      <c r="E20" s="171">
        <f>E5+E8+E13+E17</f>
        <v>7549.7645310277794</v>
      </c>
      <c r="F20" s="171">
        <f>F5+F8+F13+F17</f>
        <v>15843.697593341669</v>
      </c>
      <c r="G20" s="171">
        <f>G5+G8+G13+G17</f>
        <v>67129.576195200003</v>
      </c>
      <c r="H20" s="171">
        <f>H5+H8+H13+H17</f>
        <v>0</v>
      </c>
      <c r="I20" s="171">
        <f>I5+I8+I13+I17</f>
        <v>0</v>
      </c>
      <c r="J20" s="171">
        <f>J5+J8+J13+J17</f>
        <v>0</v>
      </c>
      <c r="K20" s="171">
        <f>K5+K8+K13+K17</f>
        <v>0</v>
      </c>
      <c r="L20" s="171">
        <f>L5+L8+L13+L17</f>
        <v>0</v>
      </c>
      <c r="M20" s="171">
        <f>M5+M8+M13+M17</f>
        <v>0</v>
      </c>
      <c r="N20" s="171">
        <f>N5+N8+N13+N17</f>
        <v>0</v>
      </c>
      <c r="O20" s="171">
        <f>O5+O8+O13+O17</f>
        <v>0</v>
      </c>
      <c r="P20" s="171">
        <f>P5+P8+P13+P17</f>
        <v>0</v>
      </c>
      <c r="Q20" s="171">
        <f>Q5+Q8+Q13+Q17</f>
        <v>84023.038319569445</v>
      </c>
    </row>
    <row r="21" spans="1:17">
      <c r="D21" s="208">
        <f>D20-Q20</f>
        <v>6500</v>
      </c>
    </row>
    <row r="22" spans="1:17">
      <c r="B22" s="151" t="s">
        <v>65</v>
      </c>
      <c r="C22" s="208" t="s">
        <v>47</v>
      </c>
      <c r="D22" s="215" t="s">
        <v>106</v>
      </c>
    </row>
    <row r="23" spans="1:17">
      <c r="A23" s="78" t="s">
        <v>124</v>
      </c>
      <c r="B23" s="208">
        <f>Q5</f>
        <v>14874.411327569447</v>
      </c>
      <c r="C23" s="208">
        <f>B23/Исх!$C$18</f>
        <v>13280.724399615576</v>
      </c>
      <c r="D23" s="172">
        <f>B23/Исх!$C$5</f>
        <v>99.162742183796311</v>
      </c>
      <c r="L23" s="177"/>
    </row>
    <row r="24" spans="1:17">
      <c r="A24" s="78" t="s">
        <v>118</v>
      </c>
      <c r="B24" s="208">
        <f>Q8</f>
        <v>8797.6269919999995</v>
      </c>
      <c r="C24" s="208">
        <f>B24/Исх!$C$18</f>
        <v>7855.0240999999987</v>
      </c>
      <c r="D24" s="172">
        <f>B24/Исх!$C$5</f>
        <v>58.650846613333329</v>
      </c>
      <c r="L24" s="177"/>
    </row>
    <row r="25" spans="1:17">
      <c r="A25" s="78" t="s">
        <v>225</v>
      </c>
      <c r="B25" s="208">
        <f>Q13</f>
        <v>21101</v>
      </c>
      <c r="C25" s="208">
        <f>B25/Исх!$C$18</f>
        <v>18840.178571428569</v>
      </c>
      <c r="D25" s="172">
        <f>B25/Исх!$C$5</f>
        <v>140.67333333333335</v>
      </c>
      <c r="L25" s="177"/>
    </row>
    <row r="26" spans="1:17">
      <c r="A26" s="78" t="s">
        <v>376</v>
      </c>
      <c r="B26" s="208">
        <f>Q17</f>
        <v>39250</v>
      </c>
      <c r="C26" s="208">
        <f>B26/Исх!$C$18</f>
        <v>35044.642857142855</v>
      </c>
      <c r="D26" s="172">
        <f>B26/Исх!$C$5</f>
        <v>261.66666666666669</v>
      </c>
      <c r="L26" s="177"/>
    </row>
    <row r="27" spans="1:17">
      <c r="A27" s="62" t="s">
        <v>96</v>
      </c>
      <c r="B27" s="216">
        <f>SUM(B23:B26)</f>
        <v>84023.038319569445</v>
      </c>
      <c r="C27" s="216">
        <f>SUM(C23:C26)</f>
        <v>75020.569928187004</v>
      </c>
      <c r="D27" s="216">
        <f>SUM(D23:D26)</f>
        <v>560.15358879712971</v>
      </c>
    </row>
    <row r="29" spans="1:17">
      <c r="A29" s="78" t="s">
        <v>249</v>
      </c>
    </row>
    <row r="30" spans="1:17">
      <c r="A30" s="78" t="s">
        <v>250</v>
      </c>
    </row>
  </sheetData>
  <mergeCells count="1">
    <mergeCell ref="E3:P3"/>
  </mergeCells>
  <phoneticPr fontId="3" type="noConversion"/>
  <hyperlinks>
    <hyperlink ref="R9" r:id="rId1"/>
  </hyperlinks>
  <pageMargins left="0.48" right="0.23622047244094491" top="0.69" bottom="0.27559055118110237" header="0.52" footer="0.19685039370078741"/>
  <pageSetup paperSize="9" scale="96" orientation="landscape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H13"/>
  <sheetViews>
    <sheetView showGridLines="0" topLeftCell="B1" workbookViewId="0">
      <pane ySplit="3" topLeftCell="A4" activePane="bottomLeft" state="frozen"/>
      <selection activeCell="A34" sqref="A34"/>
      <selection pane="bottomLeft" activeCell="B4" sqref="B4:H13"/>
    </sheetView>
  </sheetViews>
  <sheetFormatPr defaultRowHeight="12.75"/>
  <cols>
    <col min="1" max="1" width="38.5703125" style="78" customWidth="1"/>
    <col min="2" max="2" width="10" style="78" customWidth="1"/>
    <col min="3" max="16384" width="9.140625" style="78"/>
  </cols>
  <sheetData>
    <row r="1" spans="1:8">
      <c r="A1" s="62" t="s">
        <v>81</v>
      </c>
      <c r="B1" s="62"/>
      <c r="C1" s="62"/>
      <c r="D1" s="62"/>
      <c r="E1" s="62"/>
      <c r="F1" s="62"/>
    </row>
    <row r="2" spans="1:8">
      <c r="A2" s="217"/>
      <c r="B2" s="217"/>
      <c r="C2" s="217"/>
      <c r="D2" s="217"/>
      <c r="E2" s="217"/>
      <c r="F2" s="217"/>
      <c r="H2" s="151" t="s">
        <v>65</v>
      </c>
    </row>
    <row r="3" spans="1:8">
      <c r="A3" s="226" t="s">
        <v>10</v>
      </c>
      <c r="B3" s="251">
        <v>2013</v>
      </c>
      <c r="C3" s="251">
        <f t="shared" ref="C3:H3" si="0">B3+1</f>
        <v>2014</v>
      </c>
      <c r="D3" s="251">
        <f t="shared" si="0"/>
        <v>2015</v>
      </c>
      <c r="E3" s="251">
        <f t="shared" si="0"/>
        <v>2016</v>
      </c>
      <c r="F3" s="251">
        <f t="shared" si="0"/>
        <v>2017</v>
      </c>
      <c r="G3" s="251">
        <f t="shared" si="0"/>
        <v>2018</v>
      </c>
      <c r="H3" s="251">
        <f t="shared" si="0"/>
        <v>2019</v>
      </c>
    </row>
    <row r="4" spans="1:8">
      <c r="A4" s="218" t="s">
        <v>127</v>
      </c>
      <c r="B4" s="219">
        <f>'2-ф2'!P5</f>
        <v>12672</v>
      </c>
      <c r="C4" s="219">
        <f>'2-ф2'!AC5</f>
        <v>30629.279999999999</v>
      </c>
      <c r="D4" s="219">
        <f>'2-ф2'!AD5</f>
        <v>35657.013333333336</v>
      </c>
      <c r="E4" s="219">
        <f>'2-ф2'!AE5</f>
        <v>35494.52622222223</v>
      </c>
      <c r="F4" s="219">
        <f>'2-ф2'!AF5</f>
        <v>37423.049481481488</v>
      </c>
      <c r="G4" s="219">
        <f>'2-ф2'!AG5</f>
        <v>39925.860088888898</v>
      </c>
      <c r="H4" s="219">
        <f>'2-ф2'!AH5</f>
        <v>44109.665600000008</v>
      </c>
    </row>
    <row r="5" spans="1:8">
      <c r="A5" s="218" t="s">
        <v>97</v>
      </c>
      <c r="B5" s="220">
        <f t="shared" ref="B5:H5" si="1">B4-B6</f>
        <v>-9933.3892047364934</v>
      </c>
      <c r="C5" s="220">
        <f t="shared" si="1"/>
        <v>399.43934646371781</v>
      </c>
      <c r="D5" s="220">
        <f t="shared" si="1"/>
        <v>6004.3256796308051</v>
      </c>
      <c r="E5" s="220">
        <f t="shared" si="1"/>
        <v>6090.4237082716063</v>
      </c>
      <c r="F5" s="220">
        <f t="shared" si="1"/>
        <v>8223.1618820831136</v>
      </c>
      <c r="G5" s="220">
        <f t="shared" si="1"/>
        <v>10391.462990755943</v>
      </c>
      <c r="H5" s="220">
        <f t="shared" si="1"/>
        <v>14260.645443995505</v>
      </c>
    </row>
    <row r="6" spans="1:8">
      <c r="A6" s="218" t="s">
        <v>133</v>
      </c>
      <c r="B6" s="221">
        <f t="shared" ref="B6:H6" si="2">SUM(B7:B8)</f>
        <v>22605.389204736493</v>
      </c>
      <c r="C6" s="221">
        <f t="shared" si="2"/>
        <v>30229.840653536281</v>
      </c>
      <c r="D6" s="221">
        <f t="shared" si="2"/>
        <v>29652.687653702531</v>
      </c>
      <c r="E6" s="221">
        <f t="shared" si="2"/>
        <v>29404.102513950624</v>
      </c>
      <c r="F6" s="221">
        <f t="shared" si="2"/>
        <v>29199.887599398375</v>
      </c>
      <c r="G6" s="221">
        <f t="shared" si="2"/>
        <v>29534.397098132955</v>
      </c>
      <c r="H6" s="221">
        <f t="shared" si="2"/>
        <v>29849.020156004502</v>
      </c>
    </row>
    <row r="7" spans="1:8">
      <c r="A7" s="218" t="s">
        <v>98</v>
      </c>
      <c r="B7" s="219">
        <f>'2-ф2'!P14+'2-ф2'!P13+'2-ф2'!P12</f>
        <v>14362.053326388281</v>
      </c>
      <c r="C7" s="219">
        <f>'2-ф2'!AC14+'2-ф2'!AC13+'2-ф2'!AC12</f>
        <v>18688.034745054138</v>
      </c>
      <c r="D7" s="219">
        <f>'2-ф2'!AD14+'2-ф2'!AD13+'2-ф2'!AD12</f>
        <v>18005.405604818599</v>
      </c>
      <c r="E7" s="219">
        <f>'2-ф2'!AE14+'2-ф2'!AE13+'2-ф2'!AE12</f>
        <v>17326.076464583064</v>
      </c>
      <c r="F7" s="219">
        <f>'2-ф2'!AF14+'2-ф2'!AF13+'2-ф2'!AF12</f>
        <v>16650.37732434753</v>
      </c>
      <c r="G7" s="219">
        <f>'2-ф2'!AG14+'2-ф2'!AG13+'2-ф2'!AG12</f>
        <v>15978.671184111996</v>
      </c>
      <c r="H7" s="219">
        <f>'2-ф2'!AH14+'2-ф2'!AH13+'2-ф2'!AH12</f>
        <v>15311.357343876462</v>
      </c>
    </row>
    <row r="8" spans="1:8">
      <c r="A8" s="218" t="s">
        <v>99</v>
      </c>
      <c r="B8" s="219">
        <f>'2-ф2'!P8</f>
        <v>8243.3358783482145</v>
      </c>
      <c r="C8" s="219">
        <f>'2-ф2'!AC8</f>
        <v>11541.805908482142</v>
      </c>
      <c r="D8" s="219">
        <f>'2-ф2'!AD8</f>
        <v>11647.28204888393</v>
      </c>
      <c r="E8" s="219">
        <f>'2-ф2'!AE8</f>
        <v>12078.02604936756</v>
      </c>
      <c r="F8" s="219">
        <f>'2-ф2'!AF8</f>
        <v>12549.510275050845</v>
      </c>
      <c r="G8" s="219">
        <f>'2-ф2'!AG8</f>
        <v>13555.725914020961</v>
      </c>
      <c r="H8" s="219">
        <f>'2-ф2'!AH8</f>
        <v>14537.662812128043</v>
      </c>
    </row>
    <row r="9" spans="1:8">
      <c r="A9" s="218" t="s">
        <v>100</v>
      </c>
      <c r="B9" s="221">
        <f t="shared" ref="B9:H9" si="3">B4-B8</f>
        <v>4428.6641216517855</v>
      </c>
      <c r="C9" s="221">
        <f t="shared" si="3"/>
        <v>19087.474091517855</v>
      </c>
      <c r="D9" s="221">
        <f t="shared" si="3"/>
        <v>24009.731284449408</v>
      </c>
      <c r="E9" s="221">
        <f t="shared" si="3"/>
        <v>23416.50017285467</v>
      </c>
      <c r="F9" s="221">
        <f t="shared" si="3"/>
        <v>24873.539206430643</v>
      </c>
      <c r="G9" s="221">
        <f t="shared" si="3"/>
        <v>26370.134174867937</v>
      </c>
      <c r="H9" s="221">
        <f t="shared" si="3"/>
        <v>29572.002787871963</v>
      </c>
    </row>
    <row r="10" spans="1:8">
      <c r="A10" s="218" t="s">
        <v>82</v>
      </c>
      <c r="B10" s="222">
        <f t="shared" ref="B10:H10" si="4">B9/B4</f>
        <v>0.34948422677176338</v>
      </c>
      <c r="C10" s="222">
        <f t="shared" si="4"/>
        <v>0.62317736791455292</v>
      </c>
      <c r="D10" s="222">
        <f t="shared" si="4"/>
        <v>0.67335228163948124</v>
      </c>
      <c r="E10" s="222">
        <f t="shared" si="4"/>
        <v>0.65972144623793261</v>
      </c>
      <c r="F10" s="222">
        <f t="shared" si="4"/>
        <v>0.66465826679194395</v>
      </c>
      <c r="G10" s="222">
        <f t="shared" si="4"/>
        <v>0.66047754803926118</v>
      </c>
      <c r="H10" s="222">
        <f t="shared" si="4"/>
        <v>0.67042001759976977</v>
      </c>
    </row>
    <row r="11" spans="1:8">
      <c r="A11" s="218" t="s">
        <v>101</v>
      </c>
      <c r="B11" s="221">
        <f t="shared" ref="B11:H11" si="5">B7/B10</f>
        <v>41094.997216477139</v>
      </c>
      <c r="C11" s="221">
        <f t="shared" si="5"/>
        <v>29988.30783536502</v>
      </c>
      <c r="D11" s="221">
        <f t="shared" si="5"/>
        <v>26739.948903089709</v>
      </c>
      <c r="E11" s="221">
        <f t="shared" si="5"/>
        <v>26262.715216225224</v>
      </c>
      <c r="F11" s="221">
        <f t="shared" si="5"/>
        <v>25051.034729038507</v>
      </c>
      <c r="G11" s="221">
        <f t="shared" si="5"/>
        <v>24192.603112017012</v>
      </c>
      <c r="H11" s="221">
        <f t="shared" si="5"/>
        <v>22838.454911734305</v>
      </c>
    </row>
    <row r="12" spans="1:8" ht="25.5">
      <c r="A12" s="223" t="s">
        <v>83</v>
      </c>
      <c r="B12" s="224">
        <f t="shared" ref="B12:H12" si="6">(B4-B11)/B4</f>
        <v>-2.2429764217548249</v>
      </c>
      <c r="C12" s="224">
        <f t="shared" si="6"/>
        <v>2.0926778710925593E-2</v>
      </c>
      <c r="D12" s="224">
        <f t="shared" si="6"/>
        <v>0.25007883713882634</v>
      </c>
      <c r="E12" s="224">
        <f t="shared" si="6"/>
        <v>0.26009111794305911</v>
      </c>
      <c r="F12" s="224">
        <f t="shared" si="6"/>
        <v>0.33059878667998926</v>
      </c>
      <c r="G12" s="224">
        <f t="shared" si="6"/>
        <v>0.39406181712414373</v>
      </c>
      <c r="H12" s="224">
        <f t="shared" si="6"/>
        <v>0.48223468482304022</v>
      </c>
    </row>
    <row r="13" spans="1:8">
      <c r="A13" s="218" t="s">
        <v>116</v>
      </c>
      <c r="B13" s="225">
        <f t="shared" ref="B13:H13" si="7">100%-B12</f>
        <v>3.2429764217548249</v>
      </c>
      <c r="C13" s="225">
        <f t="shared" si="7"/>
        <v>0.97907322128907437</v>
      </c>
      <c r="D13" s="225">
        <f t="shared" si="7"/>
        <v>0.74992116286117372</v>
      </c>
      <c r="E13" s="225">
        <f t="shared" si="7"/>
        <v>0.73990888205694083</v>
      </c>
      <c r="F13" s="225">
        <f t="shared" si="7"/>
        <v>0.66940121332001068</v>
      </c>
      <c r="G13" s="225">
        <f t="shared" si="7"/>
        <v>0.60593818287585632</v>
      </c>
      <c r="H13" s="225">
        <f t="shared" si="7"/>
        <v>0.51776531517695978</v>
      </c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H58"/>
  <sheetViews>
    <sheetView showGridLines="0" tabSelected="1" workbookViewId="0">
      <pane ySplit="2" topLeftCell="A39" activePane="bottomLeft" state="frozen"/>
      <selection activeCell="A34" sqref="A34"/>
      <selection pane="bottomLeft" activeCell="C22" sqref="C22"/>
    </sheetView>
  </sheetViews>
  <sheetFormatPr defaultRowHeight="12.75"/>
  <cols>
    <col min="1" max="1" width="53.7109375" style="72" customWidth="1"/>
    <col min="2" max="2" width="16.85546875" style="73" customWidth="1"/>
    <col min="3" max="3" width="12.7109375" style="71" customWidth="1"/>
    <col min="4" max="4" width="11" style="71" customWidth="1"/>
    <col min="5" max="16384" width="9.140625" style="71"/>
  </cols>
  <sheetData>
    <row r="1" spans="1:7" ht="13.9" customHeight="1"/>
    <row r="2" spans="1:7" ht="14.1" customHeight="1">
      <c r="A2" s="236" t="s">
        <v>343</v>
      </c>
      <c r="B2" s="237">
        <v>2013</v>
      </c>
    </row>
    <row r="3" spans="1:7" ht="14.1" customHeight="1">
      <c r="A3" s="232" t="s">
        <v>192</v>
      </c>
      <c r="B3" s="233">
        <f>'1-Ф3'!B22</f>
        <v>90523.038319569459</v>
      </c>
    </row>
    <row r="4" spans="1:7" ht="14.1" customHeight="1">
      <c r="A4" s="232" t="s">
        <v>191</v>
      </c>
      <c r="B4" s="233">
        <f>'1-Ф3'!B28-'1-Ф3'!B22</f>
        <v>3706.3667812500062</v>
      </c>
    </row>
    <row r="5" spans="1:7" ht="14.1" customHeight="1">
      <c r="A5" s="234" t="s">
        <v>96</v>
      </c>
      <c r="B5" s="235">
        <f>SUM(B3:B4)</f>
        <v>94229.405100819466</v>
      </c>
    </row>
    <row r="6" spans="1:7" ht="13.5" customHeight="1">
      <c r="A6" s="74"/>
      <c r="B6" s="75"/>
    </row>
    <row r="7" spans="1:7" ht="13.5" customHeight="1">
      <c r="A7" s="236" t="s">
        <v>344</v>
      </c>
      <c r="B7" s="237" t="s">
        <v>178</v>
      </c>
      <c r="C7" s="237" t="s">
        <v>10</v>
      </c>
      <c r="D7" s="237" t="s">
        <v>194</v>
      </c>
    </row>
    <row r="8" spans="1:7" ht="13.5" customHeight="1">
      <c r="A8" s="232" t="s">
        <v>193</v>
      </c>
      <c r="B8" s="233">
        <f>'1-Ф3'!B29</f>
        <v>32830.291785286812</v>
      </c>
      <c r="C8" s="240" t="s">
        <v>370</v>
      </c>
      <c r="D8" s="238">
        <f>B8/$B$10</f>
        <v>0.3484081402207781</v>
      </c>
      <c r="F8" s="241" t="s">
        <v>203</v>
      </c>
      <c r="G8" s="241"/>
    </row>
    <row r="9" spans="1:7" ht="13.5" customHeight="1">
      <c r="A9" s="232" t="s">
        <v>117</v>
      </c>
      <c r="B9" s="233">
        <f>'1-Ф3'!B30</f>
        <v>61399.113315532653</v>
      </c>
      <c r="C9" s="240" t="s">
        <v>370</v>
      </c>
      <c r="D9" s="238">
        <f>B9/$B$10</f>
        <v>0.65159185977922185</v>
      </c>
      <c r="F9" s="241" t="s">
        <v>203</v>
      </c>
      <c r="G9" s="241"/>
    </row>
    <row r="10" spans="1:7">
      <c r="A10" s="234" t="s">
        <v>96</v>
      </c>
      <c r="B10" s="235">
        <f>SUM(B8:B9)</f>
        <v>94229.405100819466</v>
      </c>
      <c r="C10" s="235"/>
      <c r="D10" s="239">
        <f>SUM(D8:D9)</f>
        <v>1</v>
      </c>
    </row>
    <row r="11" spans="1:7">
      <c r="A11" s="77"/>
      <c r="B11" s="76"/>
    </row>
    <row r="12" spans="1:7">
      <c r="A12" s="232" t="s">
        <v>195</v>
      </c>
      <c r="B12" s="233" t="s">
        <v>196</v>
      </c>
      <c r="F12" s="241"/>
      <c r="G12" s="241"/>
    </row>
    <row r="13" spans="1:7">
      <c r="A13" s="232" t="s">
        <v>197</v>
      </c>
      <c r="B13" s="238">
        <f>Исх!C32</f>
        <v>7.0000000000000007E-2</v>
      </c>
    </row>
    <row r="14" spans="1:7">
      <c r="A14" s="232" t="s">
        <v>230</v>
      </c>
      <c r="B14" s="242">
        <f>Исх!C33</f>
        <v>7</v>
      </c>
    </row>
    <row r="15" spans="1:7">
      <c r="A15" s="232" t="s">
        <v>198</v>
      </c>
      <c r="B15" s="233" t="s">
        <v>199</v>
      </c>
      <c r="F15" s="241"/>
      <c r="G15" s="241"/>
    </row>
    <row r="16" spans="1:7">
      <c r="A16" s="232" t="s">
        <v>201</v>
      </c>
      <c r="B16" s="233">
        <f>Исх!C34</f>
        <v>9</v>
      </c>
    </row>
    <row r="17" spans="1:8">
      <c r="A17" s="232" t="s">
        <v>202</v>
      </c>
      <c r="B17" s="233">
        <f>Исх!C35</f>
        <v>9</v>
      </c>
    </row>
    <row r="18" spans="1:8">
      <c r="A18" s="232" t="s">
        <v>345</v>
      </c>
      <c r="B18" s="233" t="s">
        <v>200</v>
      </c>
      <c r="F18" s="241"/>
      <c r="G18" s="241"/>
    </row>
    <row r="20" spans="1:8">
      <c r="A20" s="232" t="s">
        <v>244</v>
      </c>
      <c r="B20" s="233">
        <f>'2-ф2'!AH17</f>
        <v>13405.006717355771</v>
      </c>
      <c r="F20" s="71" t="s">
        <v>245</v>
      </c>
    </row>
    <row r="21" spans="1:8">
      <c r="A21" s="232" t="s">
        <v>204</v>
      </c>
      <c r="B21" s="238">
        <f>('3-Баланс'!AH26-'3-Баланс'!AG26)/'3-Баланс'!AH16</f>
        <v>0.21838673343040335</v>
      </c>
    </row>
    <row r="22" spans="1:8">
      <c r="A22" s="71"/>
      <c r="B22" s="71"/>
    </row>
    <row r="23" spans="1:8">
      <c r="A23" s="232" t="s">
        <v>218</v>
      </c>
      <c r="B23" s="249">
        <f>'3-Баланс'!AH6/'3-Баланс'!AH16</f>
        <v>0.23306148017814574</v>
      </c>
      <c r="F23" s="71" t="s">
        <v>245</v>
      </c>
    </row>
    <row r="24" spans="1:8">
      <c r="A24" s="232" t="s">
        <v>215</v>
      </c>
      <c r="B24" s="249">
        <f>'3-Баланс'!AF24/'3-Баланс'!AF21</f>
        <v>2.2983565829685388</v>
      </c>
      <c r="F24" s="71" t="s">
        <v>246</v>
      </c>
    </row>
    <row r="26" spans="1:8">
      <c r="A26" s="232" t="s">
        <v>205</v>
      </c>
      <c r="B26" s="238">
        <f>'1-Ф3'!AS49</f>
        <v>0.12010573650960014</v>
      </c>
      <c r="F26" s="71" t="s">
        <v>247</v>
      </c>
    </row>
    <row r="27" spans="1:8">
      <c r="A27" s="232" t="s">
        <v>206</v>
      </c>
      <c r="B27" s="233">
        <f>'1-Ф3'!AS47</f>
        <v>5815.8301740143652</v>
      </c>
    </row>
    <row r="28" spans="1:8">
      <c r="A28" s="232" t="s">
        <v>207</v>
      </c>
      <c r="B28" s="242">
        <f>'1-Ф3'!B50</f>
        <v>6.7206634962833025</v>
      </c>
    </row>
    <row r="29" spans="1:8">
      <c r="A29" s="232" t="s">
        <v>208</v>
      </c>
      <c r="B29" s="242">
        <f>'1-Ф3'!B51</f>
        <v>9.8723843487319201</v>
      </c>
    </row>
    <row r="31" spans="1:8">
      <c r="A31" s="243" t="s">
        <v>231</v>
      </c>
    </row>
    <row r="32" spans="1:8">
      <c r="A32" s="236" t="s">
        <v>312</v>
      </c>
      <c r="B32" s="237">
        <v>2013</v>
      </c>
      <c r="C32" s="237">
        <v>2014</v>
      </c>
      <c r="D32" s="244">
        <v>2015</v>
      </c>
      <c r="E32" s="244">
        <v>2016</v>
      </c>
      <c r="F32" s="352">
        <v>2017</v>
      </c>
      <c r="G32" s="352">
        <v>2018</v>
      </c>
      <c r="H32" s="352">
        <v>2019</v>
      </c>
    </row>
    <row r="33" spans="1:8">
      <c r="A33" s="232" t="s">
        <v>371</v>
      </c>
      <c r="B33" s="233">
        <f>Производство!E75/12*9</f>
        <v>24000</v>
      </c>
      <c r="C33" s="233">
        <f>Производство!F75</f>
        <v>48000</v>
      </c>
      <c r="D33" s="233">
        <f>Производство!G75</f>
        <v>46400</v>
      </c>
      <c r="E33" s="233">
        <f>Производство!H75</f>
        <v>50133.333333333343</v>
      </c>
      <c r="F33" s="233">
        <f>Производство!I75</f>
        <v>52142.222222222234</v>
      </c>
      <c r="G33" s="233">
        <f>Производство!J75</f>
        <v>59182.222222222241</v>
      </c>
      <c r="H33" s="233">
        <f>Производство!K75</f>
        <v>62931.555555555569</v>
      </c>
    </row>
    <row r="34" spans="1:8">
      <c r="A34" s="232" t="s">
        <v>372</v>
      </c>
      <c r="B34" s="233">
        <f>Производство!E74</f>
        <v>25</v>
      </c>
      <c r="C34" s="233">
        <f>Производство!F74</f>
        <v>25</v>
      </c>
      <c r="D34" s="233">
        <f>Производство!G74</f>
        <v>24.166666666666668</v>
      </c>
      <c r="E34" s="233">
        <f>Производство!H74</f>
        <v>26.111111111111114</v>
      </c>
      <c r="F34" s="233">
        <f>Производство!I74</f>
        <v>27.157407407407412</v>
      </c>
      <c r="G34" s="233">
        <f>Производство!J74</f>
        <v>30.824074074074083</v>
      </c>
      <c r="H34" s="233">
        <f>Производство!K74</f>
        <v>32.776851851851859</v>
      </c>
    </row>
    <row r="35" spans="1:8">
      <c r="A35" s="232" t="s">
        <v>373</v>
      </c>
      <c r="B35" s="386">
        <f>Исх!C27</f>
        <v>1920</v>
      </c>
      <c r="C35" s="386"/>
      <c r="D35" s="386"/>
      <c r="E35" s="386"/>
      <c r="F35" s="386"/>
      <c r="G35" s="386"/>
      <c r="H35" s="386"/>
    </row>
    <row r="36" spans="1:8">
      <c r="A36" s="232" t="s">
        <v>311</v>
      </c>
      <c r="B36" s="233">
        <f>Производство!E80/1000</f>
        <v>0</v>
      </c>
      <c r="C36" s="233">
        <f>Производство!F80/1000</f>
        <v>3.7537500000000006</v>
      </c>
      <c r="D36" s="233">
        <f>Производство!G80/1000</f>
        <v>7.9245833333333335</v>
      </c>
      <c r="E36" s="233">
        <f>Производство!H80/1000</f>
        <v>6.4091805555555563</v>
      </c>
      <c r="F36" s="233">
        <f>Производство!I80/1000</f>
        <v>7.0255370370370382</v>
      </c>
      <c r="G36" s="233">
        <f>Производство!J80/1000</f>
        <v>6.1631013888888884</v>
      </c>
      <c r="H36" s="233">
        <f>Производство!K80/1000</f>
        <v>7.7285541666666671</v>
      </c>
    </row>
    <row r="38" spans="1:8">
      <c r="A38" s="243" t="s">
        <v>209</v>
      </c>
    </row>
    <row r="39" spans="1:8">
      <c r="A39" s="384" t="s">
        <v>210</v>
      </c>
      <c r="B39" s="357">
        <v>2012</v>
      </c>
      <c r="C39" s="353"/>
      <c r="D39" s="355">
        <v>2013</v>
      </c>
      <c r="E39" s="355"/>
      <c r="F39" s="354"/>
    </row>
    <row r="40" spans="1:8">
      <c r="A40" s="385"/>
      <c r="B40" s="237">
        <v>12</v>
      </c>
      <c r="C40" s="356">
        <v>1</v>
      </c>
      <c r="D40" s="356">
        <v>2</v>
      </c>
      <c r="E40" s="356">
        <v>3</v>
      </c>
      <c r="F40" s="356">
        <v>4</v>
      </c>
    </row>
    <row r="41" spans="1:8" ht="13.5" customHeight="1">
      <c r="A41" s="245" t="s">
        <v>211</v>
      </c>
      <c r="B41" s="246"/>
      <c r="C41" s="246"/>
      <c r="D41" s="238"/>
      <c r="E41" s="238"/>
      <c r="F41" s="238"/>
    </row>
    <row r="42" spans="1:8">
      <c r="A42" s="232" t="s">
        <v>212</v>
      </c>
      <c r="B42" s="233"/>
      <c r="C42" s="247"/>
      <c r="D42" s="238"/>
      <c r="E42" s="233"/>
      <c r="F42" s="233"/>
    </row>
    <row r="43" spans="1:8">
      <c r="A43" s="232" t="s">
        <v>213</v>
      </c>
      <c r="B43" s="233"/>
      <c r="C43" s="247"/>
      <c r="D43" s="238"/>
      <c r="E43" s="233"/>
      <c r="F43" s="233"/>
    </row>
    <row r="44" spans="1:8">
      <c r="A44" s="232" t="s">
        <v>320</v>
      </c>
      <c r="B44" s="233"/>
      <c r="C44" s="233"/>
      <c r="D44" s="247"/>
      <c r="E44" s="247"/>
      <c r="F44" s="233"/>
    </row>
    <row r="45" spans="1:8">
      <c r="A45" s="232" t="s">
        <v>321</v>
      </c>
      <c r="B45" s="233"/>
      <c r="C45" s="233"/>
      <c r="D45" s="233"/>
      <c r="E45" s="247"/>
      <c r="F45" s="233"/>
    </row>
    <row r="46" spans="1:8">
      <c r="A46" s="232" t="s">
        <v>233</v>
      </c>
      <c r="B46" s="233"/>
      <c r="C46" s="233"/>
      <c r="E46" s="247"/>
      <c r="F46" s="233"/>
    </row>
    <row r="47" spans="1:8">
      <c r="A47" s="232" t="s">
        <v>232</v>
      </c>
      <c r="B47" s="233"/>
      <c r="C47" s="233"/>
      <c r="D47" s="233"/>
      <c r="E47" s="247"/>
      <c r="F47" s="247"/>
    </row>
    <row r="48" spans="1:8">
      <c r="A48" s="232" t="s">
        <v>234</v>
      </c>
      <c r="B48" s="233"/>
      <c r="C48" s="233"/>
      <c r="D48" s="233"/>
      <c r="E48" s="233"/>
      <c r="F48" s="247"/>
    </row>
    <row r="49" spans="1:6">
      <c r="A49" s="232" t="s">
        <v>322</v>
      </c>
      <c r="B49" s="233"/>
      <c r="C49" s="233"/>
      <c r="D49" s="233"/>
      <c r="E49" s="233"/>
      <c r="F49" s="247"/>
    </row>
    <row r="51" spans="1:6">
      <c r="A51" s="243" t="s">
        <v>219</v>
      </c>
    </row>
    <row r="53" spans="1:6">
      <c r="A53" s="348" t="s">
        <v>222</v>
      </c>
      <c r="B53" s="349" t="s">
        <v>223</v>
      </c>
    </row>
    <row r="54" spans="1:6">
      <c r="A54" s="232" t="s">
        <v>45</v>
      </c>
      <c r="B54" s="233">
        <f>'1-Ф3'!B18</f>
        <v>4245.3598186021391</v>
      </c>
    </row>
    <row r="55" spans="1:6">
      <c r="A55" s="232" t="s">
        <v>220</v>
      </c>
      <c r="B55" s="233">
        <f>'1-Ф3'!B17</f>
        <v>2126.164190787852</v>
      </c>
    </row>
    <row r="56" spans="1:6">
      <c r="A56" s="232" t="s">
        <v>248</v>
      </c>
      <c r="B56" s="233">
        <f>SUM(Пост!C21:I21)*12</f>
        <v>493.30882533500971</v>
      </c>
    </row>
    <row r="57" spans="1:6">
      <c r="A57" s="232" t="s">
        <v>221</v>
      </c>
      <c r="B57" s="233">
        <f>(ФОТ!F30+ФОТ!G30+ФОТ!H30+ФОТ!I30)*12*6.75</f>
        <v>25310.361600000004</v>
      </c>
    </row>
    <row r="58" spans="1:6">
      <c r="A58" s="234" t="s">
        <v>0</v>
      </c>
      <c r="B58" s="235">
        <f>SUM(B54:B57)</f>
        <v>32175.194434725003</v>
      </c>
    </row>
  </sheetData>
  <mergeCells count="2">
    <mergeCell ref="A39:A40"/>
    <mergeCell ref="B35:H35"/>
  </mergeCells>
  <phoneticPr fontId="14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  <outlinePr summaryBelow="0"/>
  </sheetPr>
  <dimension ref="A1:FU34"/>
  <sheetViews>
    <sheetView showGridLines="0" showZeros="0" workbookViewId="0">
      <pane xSplit="3" ySplit="4" topLeftCell="D20" activePane="bottomRight" state="frozen"/>
      <selection activeCell="A34" sqref="A34"/>
      <selection pane="topRight" activeCell="A34" sqref="A34"/>
      <selection pane="bottomLeft" activeCell="A34" sqref="A34"/>
      <selection pane="bottomRight" activeCell="P6" sqref="P6:AH6"/>
    </sheetView>
  </sheetViews>
  <sheetFormatPr defaultColWidth="10.140625" defaultRowHeight="12.75" outlineLevelCol="1"/>
  <cols>
    <col min="1" max="1" width="38.140625" style="88" customWidth="1"/>
    <col min="2" max="2" width="11.42578125" style="88" customWidth="1"/>
    <col min="3" max="3" width="3.85546875" style="88" customWidth="1"/>
    <col min="4" max="4" width="7.140625" style="88" customWidth="1" outlineLevel="1"/>
    <col min="5" max="5" width="8.28515625" style="88" customWidth="1" outlineLevel="1"/>
    <col min="6" max="11" width="7" style="88" customWidth="1" outlineLevel="1"/>
    <col min="12" max="12" width="8.7109375" style="88" customWidth="1" outlineLevel="1"/>
    <col min="13" max="13" width="7.85546875" style="88" customWidth="1" outlineLevel="1"/>
    <col min="14" max="15" width="8.5703125" style="88" customWidth="1" outlineLevel="1"/>
    <col min="16" max="16" width="9.140625" style="88" customWidth="1"/>
    <col min="17" max="28" width="8.42578125" style="88" hidden="1" customWidth="1" outlineLevel="1"/>
    <col min="29" max="29" width="9.140625" style="88" customWidth="1" collapsed="1"/>
    <col min="30" max="30" width="9.140625" style="88" customWidth="1"/>
    <col min="31" max="34" width="8.85546875" style="88" customWidth="1"/>
    <col min="35" max="16384" width="10.140625" style="88"/>
  </cols>
  <sheetData>
    <row r="1" spans="1:35" ht="21" customHeight="1">
      <c r="A1" s="62" t="s">
        <v>125</v>
      </c>
      <c r="B1" s="87"/>
      <c r="C1" s="87"/>
    </row>
    <row r="2" spans="1:35" ht="17.25" customHeight="1">
      <c r="A2" s="62"/>
      <c r="B2" s="12" t="str">
        <f>Исх!$C$9</f>
        <v>тыс.тг.</v>
      </c>
      <c r="C2" s="89"/>
    </row>
    <row r="3" spans="1:35" ht="12.75" customHeight="1">
      <c r="A3" s="365" t="s">
        <v>3</v>
      </c>
      <c r="B3" s="369" t="s">
        <v>1</v>
      </c>
      <c r="C3" s="93"/>
      <c r="D3" s="364">
        <v>2013</v>
      </c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>
        <v>2014</v>
      </c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94">
        <v>2015</v>
      </c>
      <c r="AE3" s="94">
        <f>AD3+1</f>
        <v>2016</v>
      </c>
      <c r="AF3" s="94">
        <f>AE3+1</f>
        <v>2017</v>
      </c>
      <c r="AG3" s="94">
        <f>AF3+1</f>
        <v>2018</v>
      </c>
      <c r="AH3" s="94">
        <f>AG3+1</f>
        <v>2019</v>
      </c>
    </row>
    <row r="4" spans="1:35">
      <c r="A4" s="366"/>
      <c r="B4" s="369"/>
      <c r="C4" s="95"/>
      <c r="D4" s="96">
        <v>1</v>
      </c>
      <c r="E4" s="96">
        <f t="shared" ref="E4:O4" si="0">D4+1</f>
        <v>2</v>
      </c>
      <c r="F4" s="96">
        <f t="shared" si="0"/>
        <v>3</v>
      </c>
      <c r="G4" s="96">
        <f t="shared" si="0"/>
        <v>4</v>
      </c>
      <c r="H4" s="96">
        <f t="shared" si="0"/>
        <v>5</v>
      </c>
      <c r="I4" s="96">
        <f t="shared" si="0"/>
        <v>6</v>
      </c>
      <c r="J4" s="96">
        <f t="shared" si="0"/>
        <v>7</v>
      </c>
      <c r="K4" s="96">
        <f t="shared" si="0"/>
        <v>8</v>
      </c>
      <c r="L4" s="96">
        <f t="shared" si="0"/>
        <v>9</v>
      </c>
      <c r="M4" s="96">
        <f t="shared" si="0"/>
        <v>10</v>
      </c>
      <c r="N4" s="96">
        <f t="shared" si="0"/>
        <v>11</v>
      </c>
      <c r="O4" s="96">
        <f t="shared" si="0"/>
        <v>12</v>
      </c>
      <c r="P4" s="92" t="s">
        <v>0</v>
      </c>
      <c r="Q4" s="96">
        <v>1</v>
      </c>
      <c r="R4" s="96">
        <f t="shared" ref="R4:AB4" si="1">Q4+1</f>
        <v>2</v>
      </c>
      <c r="S4" s="96">
        <f t="shared" si="1"/>
        <v>3</v>
      </c>
      <c r="T4" s="96">
        <f t="shared" si="1"/>
        <v>4</v>
      </c>
      <c r="U4" s="96">
        <f t="shared" si="1"/>
        <v>5</v>
      </c>
      <c r="V4" s="96">
        <f t="shared" si="1"/>
        <v>6</v>
      </c>
      <c r="W4" s="96">
        <f t="shared" si="1"/>
        <v>7</v>
      </c>
      <c r="X4" s="96">
        <f t="shared" si="1"/>
        <v>8</v>
      </c>
      <c r="Y4" s="96">
        <f t="shared" si="1"/>
        <v>9</v>
      </c>
      <c r="Z4" s="96">
        <f t="shared" si="1"/>
        <v>10</v>
      </c>
      <c r="AA4" s="96">
        <f t="shared" si="1"/>
        <v>11</v>
      </c>
      <c r="AB4" s="96">
        <f t="shared" si="1"/>
        <v>12</v>
      </c>
      <c r="AC4" s="92" t="s">
        <v>0</v>
      </c>
      <c r="AD4" s="92" t="s">
        <v>126</v>
      </c>
      <c r="AE4" s="92" t="s">
        <v>126</v>
      </c>
      <c r="AF4" s="92" t="s">
        <v>126</v>
      </c>
      <c r="AG4" s="92" t="s">
        <v>126</v>
      </c>
      <c r="AH4" s="92" t="s">
        <v>126</v>
      </c>
    </row>
    <row r="5" spans="1:35" s="89" customFormat="1" ht="15" customHeight="1">
      <c r="A5" s="97" t="s">
        <v>107</v>
      </c>
      <c r="B5" s="98">
        <f>P5+AC5+AD5+AE5+AF5+AG5+AH5</f>
        <v>235911.39472592596</v>
      </c>
      <c r="C5" s="99"/>
      <c r="D5" s="99">
        <f t="shared" ref="D5:AH5" si="2">SUM(D6:D7)</f>
        <v>0</v>
      </c>
      <c r="E5" s="99">
        <f t="shared" si="2"/>
        <v>0</v>
      </c>
      <c r="F5" s="99">
        <f t="shared" si="2"/>
        <v>0</v>
      </c>
      <c r="G5" s="99">
        <f t="shared" si="2"/>
        <v>1408</v>
      </c>
      <c r="H5" s="99">
        <f t="shared" si="2"/>
        <v>1408</v>
      </c>
      <c r="I5" s="99">
        <f t="shared" si="2"/>
        <v>1408</v>
      </c>
      <c r="J5" s="99">
        <f t="shared" si="2"/>
        <v>1408</v>
      </c>
      <c r="K5" s="99">
        <f t="shared" si="2"/>
        <v>1408</v>
      </c>
      <c r="L5" s="99">
        <f t="shared" si="2"/>
        <v>1408</v>
      </c>
      <c r="M5" s="99">
        <f t="shared" si="2"/>
        <v>1408</v>
      </c>
      <c r="N5" s="99">
        <f t="shared" si="2"/>
        <v>1408</v>
      </c>
      <c r="O5" s="99">
        <f t="shared" si="2"/>
        <v>1408</v>
      </c>
      <c r="P5" s="99">
        <f t="shared" si="2"/>
        <v>12672</v>
      </c>
      <c r="Q5" s="99">
        <f t="shared" si="2"/>
        <v>2552.44</v>
      </c>
      <c r="R5" s="99">
        <f t="shared" si="2"/>
        <v>2552.44</v>
      </c>
      <c r="S5" s="99">
        <f t="shared" si="2"/>
        <v>2552.44</v>
      </c>
      <c r="T5" s="99">
        <f t="shared" si="2"/>
        <v>2552.44</v>
      </c>
      <c r="U5" s="99">
        <f t="shared" si="2"/>
        <v>2552.44</v>
      </c>
      <c r="V5" s="99">
        <f t="shared" si="2"/>
        <v>2552.44</v>
      </c>
      <c r="W5" s="99">
        <f t="shared" si="2"/>
        <v>2552.44</v>
      </c>
      <c r="X5" s="99">
        <f t="shared" si="2"/>
        <v>2552.44</v>
      </c>
      <c r="Y5" s="99">
        <f t="shared" si="2"/>
        <v>2552.44</v>
      </c>
      <c r="Z5" s="99">
        <f t="shared" si="2"/>
        <v>2552.44</v>
      </c>
      <c r="AA5" s="99">
        <f t="shared" si="2"/>
        <v>2552.44</v>
      </c>
      <c r="AB5" s="99">
        <f t="shared" si="2"/>
        <v>2552.44</v>
      </c>
      <c r="AC5" s="99">
        <f t="shared" si="2"/>
        <v>30629.279999999999</v>
      </c>
      <c r="AD5" s="99">
        <f t="shared" si="2"/>
        <v>35657.013333333336</v>
      </c>
      <c r="AE5" s="99">
        <f t="shared" si="2"/>
        <v>35494.52622222223</v>
      </c>
      <c r="AF5" s="99">
        <f t="shared" si="2"/>
        <v>37423.049481481488</v>
      </c>
      <c r="AG5" s="99">
        <f t="shared" si="2"/>
        <v>39925.860088888898</v>
      </c>
      <c r="AH5" s="99">
        <f t="shared" si="2"/>
        <v>44109.665600000008</v>
      </c>
      <c r="AI5" s="100"/>
    </row>
    <row r="6" spans="1:35" s="89" customFormat="1">
      <c r="A6" s="101" t="s">
        <v>353</v>
      </c>
      <c r="B6" s="98">
        <f>P6+AC6+AD6+AE6+AF6+AG6+AH6</f>
        <v>180992.76800000001</v>
      </c>
      <c r="C6" s="99"/>
      <c r="D6" s="102"/>
      <c r="E6" s="102"/>
      <c r="F6" s="102"/>
      <c r="G6" s="102">
        <f>Дох!$C$5/12</f>
        <v>1408</v>
      </c>
      <c r="H6" s="102">
        <f>Дох!$C$5/12</f>
        <v>1408</v>
      </c>
      <c r="I6" s="102">
        <f>Дох!$C$5/12</f>
        <v>1408</v>
      </c>
      <c r="J6" s="102">
        <f>Дох!$C$5/12</f>
        <v>1408</v>
      </c>
      <c r="K6" s="102">
        <f>Дох!$C$5/12</f>
        <v>1408</v>
      </c>
      <c r="L6" s="102">
        <f>Дох!$C$5/12</f>
        <v>1408</v>
      </c>
      <c r="M6" s="102">
        <f>Дох!$C$5/12</f>
        <v>1408</v>
      </c>
      <c r="N6" s="102">
        <f>Дох!$C$5/12</f>
        <v>1408</v>
      </c>
      <c r="O6" s="102">
        <f>Дох!$C$5/12</f>
        <v>1408</v>
      </c>
      <c r="P6" s="99">
        <f>SUM(D6:O6)</f>
        <v>12672</v>
      </c>
      <c r="Q6" s="102">
        <f>Дох!$D$5/12</f>
        <v>2112</v>
      </c>
      <c r="R6" s="102">
        <f>Дох!$D$5/12</f>
        <v>2112</v>
      </c>
      <c r="S6" s="102">
        <f>Дох!$D$5/12</f>
        <v>2112</v>
      </c>
      <c r="T6" s="102">
        <f>Дох!$D$5/12</f>
        <v>2112</v>
      </c>
      <c r="U6" s="102">
        <f>Дох!$D$5/12</f>
        <v>2112</v>
      </c>
      <c r="V6" s="102">
        <f>Дох!$D$5/12</f>
        <v>2112</v>
      </c>
      <c r="W6" s="102">
        <f>Дох!$D$5/12</f>
        <v>2112</v>
      </c>
      <c r="X6" s="102">
        <f>Дох!$D$5/12</f>
        <v>2112</v>
      </c>
      <c r="Y6" s="102">
        <f>Дох!$D$5/12</f>
        <v>2112</v>
      </c>
      <c r="Z6" s="102">
        <f>Дох!$D$5/12</f>
        <v>2112</v>
      </c>
      <c r="AA6" s="102">
        <f>Дох!$D$5/12</f>
        <v>2112</v>
      </c>
      <c r="AB6" s="102">
        <f>Дох!$D$5/12</f>
        <v>2112</v>
      </c>
      <c r="AC6" s="99">
        <f>SUM(Q6:AB6)</f>
        <v>25344</v>
      </c>
      <c r="AD6" s="102">
        <f>Дох!E5</f>
        <v>24499.200000000001</v>
      </c>
      <c r="AE6" s="102">
        <f>Дох!F5</f>
        <v>26470.400000000005</v>
      </c>
      <c r="AF6" s="102">
        <f>Дох!G5</f>
        <v>27531.093333333338</v>
      </c>
      <c r="AG6" s="102">
        <f>Дох!H5</f>
        <v>31248.213333333344</v>
      </c>
      <c r="AH6" s="102">
        <f>Дох!I5</f>
        <v>33227.861333333341</v>
      </c>
      <c r="AI6" s="100"/>
    </row>
    <row r="7" spans="1:35" s="89" customFormat="1">
      <c r="A7" s="101" t="s">
        <v>286</v>
      </c>
      <c r="B7" s="98">
        <f t="shared" ref="B7:B17" si="3">P7+AC7+AD7+AE7+AF7+AG7+AH7</f>
        <v>54918.626725925933</v>
      </c>
      <c r="C7" s="99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99">
        <f>SUM(D7:O7)</f>
        <v>0</v>
      </c>
      <c r="Q7" s="102">
        <f>Дох!$D$6/12</f>
        <v>440.44000000000005</v>
      </c>
      <c r="R7" s="102">
        <f>Дох!$D$6/12</f>
        <v>440.44000000000005</v>
      </c>
      <c r="S7" s="102">
        <f>Дох!$D$6/12</f>
        <v>440.44000000000005</v>
      </c>
      <c r="T7" s="102">
        <f>Дох!$D$6/12</f>
        <v>440.44000000000005</v>
      </c>
      <c r="U7" s="102">
        <f>Дох!$D$6/12</f>
        <v>440.44000000000005</v>
      </c>
      <c r="V7" s="102">
        <f>Дох!$D$6/12</f>
        <v>440.44000000000005</v>
      </c>
      <c r="W7" s="102">
        <f>Дох!$D$6/12</f>
        <v>440.44000000000005</v>
      </c>
      <c r="X7" s="102">
        <f>Дох!$D$6/12</f>
        <v>440.44000000000005</v>
      </c>
      <c r="Y7" s="102">
        <f>Дох!$D$6/12</f>
        <v>440.44000000000005</v>
      </c>
      <c r="Z7" s="102">
        <f>Дох!$D$6/12</f>
        <v>440.44000000000005</v>
      </c>
      <c r="AA7" s="102">
        <f>Дох!$D$6/12</f>
        <v>440.44000000000005</v>
      </c>
      <c r="AB7" s="102">
        <f>Дох!$D$6/12</f>
        <v>440.44000000000005</v>
      </c>
      <c r="AC7" s="99">
        <f>SUM(Q7:AB7)</f>
        <v>5285.2800000000007</v>
      </c>
      <c r="AD7" s="102">
        <f>Дох!E6</f>
        <v>11157.813333333334</v>
      </c>
      <c r="AE7" s="102">
        <f>Дох!F6</f>
        <v>9024.1262222222231</v>
      </c>
      <c r="AF7" s="102">
        <f>Дох!G6</f>
        <v>9891.9561481481487</v>
      </c>
      <c r="AG7" s="102">
        <f>Дох!H6</f>
        <v>8677.6467555555555</v>
      </c>
      <c r="AH7" s="102">
        <f>Дох!I6</f>
        <v>10881.804266666668</v>
      </c>
      <c r="AI7" s="100"/>
    </row>
    <row r="8" spans="1:35" ht="15" customHeight="1">
      <c r="A8" s="97" t="s">
        <v>108</v>
      </c>
      <c r="B8" s="98">
        <f t="shared" si="3"/>
        <v>84153.348886281688</v>
      </c>
      <c r="C8" s="99"/>
      <c r="D8" s="99">
        <f t="shared" ref="D8:AH8" si="4">SUM(D9:D10)</f>
        <v>0</v>
      </c>
      <c r="E8" s="99">
        <f t="shared" si="4"/>
        <v>0</v>
      </c>
      <c r="F8" s="99">
        <f t="shared" si="4"/>
        <v>0</v>
      </c>
      <c r="G8" s="99">
        <f t="shared" si="4"/>
        <v>915.92620870535711</v>
      </c>
      <c r="H8" s="99">
        <f t="shared" si="4"/>
        <v>915.92620870535711</v>
      </c>
      <c r="I8" s="99">
        <f t="shared" si="4"/>
        <v>915.92620870535711</v>
      </c>
      <c r="J8" s="99">
        <f t="shared" si="4"/>
        <v>915.92620870535711</v>
      </c>
      <c r="K8" s="99">
        <f t="shared" si="4"/>
        <v>915.92620870535711</v>
      </c>
      <c r="L8" s="99">
        <f t="shared" si="4"/>
        <v>915.92620870535711</v>
      </c>
      <c r="M8" s="99">
        <f t="shared" si="4"/>
        <v>915.92620870535711</v>
      </c>
      <c r="N8" s="99">
        <f t="shared" si="4"/>
        <v>915.92620870535711</v>
      </c>
      <c r="O8" s="99">
        <f t="shared" si="4"/>
        <v>915.92620870535711</v>
      </c>
      <c r="P8" s="99">
        <f t="shared" si="4"/>
        <v>8243.3358783482145</v>
      </c>
      <c r="Q8" s="99">
        <f t="shared" si="4"/>
        <v>961.81715904017847</v>
      </c>
      <c r="R8" s="99">
        <f t="shared" si="4"/>
        <v>961.81715904017847</v>
      </c>
      <c r="S8" s="99">
        <f t="shared" si="4"/>
        <v>961.81715904017847</v>
      </c>
      <c r="T8" s="99">
        <f t="shared" si="4"/>
        <v>961.81715904017847</v>
      </c>
      <c r="U8" s="99">
        <f t="shared" si="4"/>
        <v>961.81715904017847</v>
      </c>
      <c r="V8" s="99">
        <f t="shared" si="4"/>
        <v>961.81715904017847</v>
      </c>
      <c r="W8" s="99">
        <f t="shared" si="4"/>
        <v>961.81715904017847</v>
      </c>
      <c r="X8" s="99">
        <f t="shared" si="4"/>
        <v>961.81715904017847</v>
      </c>
      <c r="Y8" s="99">
        <f t="shared" si="4"/>
        <v>961.81715904017847</v>
      </c>
      <c r="Z8" s="99">
        <f t="shared" si="4"/>
        <v>961.81715904017847</v>
      </c>
      <c r="AA8" s="99">
        <f t="shared" si="4"/>
        <v>961.81715904017847</v>
      </c>
      <c r="AB8" s="99">
        <f t="shared" si="4"/>
        <v>961.81715904017847</v>
      </c>
      <c r="AC8" s="99">
        <f t="shared" si="4"/>
        <v>11541.805908482142</v>
      </c>
      <c r="AD8" s="99">
        <f t="shared" si="4"/>
        <v>11647.28204888393</v>
      </c>
      <c r="AE8" s="99">
        <f t="shared" si="4"/>
        <v>12078.02604936756</v>
      </c>
      <c r="AF8" s="99">
        <f t="shared" si="4"/>
        <v>12549.510275050845</v>
      </c>
      <c r="AG8" s="99">
        <f t="shared" si="4"/>
        <v>13555.725914020961</v>
      </c>
      <c r="AH8" s="99">
        <f t="shared" si="4"/>
        <v>14537.662812128043</v>
      </c>
    </row>
    <row r="9" spans="1:35">
      <c r="A9" s="101" t="s">
        <v>306</v>
      </c>
      <c r="B9" s="98">
        <f t="shared" si="3"/>
        <v>19005.184386642795</v>
      </c>
      <c r="C9" s="99"/>
      <c r="D9" s="102"/>
      <c r="E9" s="102"/>
      <c r="F9" s="102"/>
      <c r="G9" s="102">
        <f>'Расх перем'!$E$19/12</f>
        <v>210.2282087053571</v>
      </c>
      <c r="H9" s="102">
        <f>'Расх перем'!$E$19/12</f>
        <v>210.2282087053571</v>
      </c>
      <c r="I9" s="102">
        <f>'Расх перем'!$E$19/12</f>
        <v>210.2282087053571</v>
      </c>
      <c r="J9" s="102">
        <f>'Расх перем'!$E$19/12</f>
        <v>210.2282087053571</v>
      </c>
      <c r="K9" s="102">
        <f>'Расх перем'!$E$19/12</f>
        <v>210.2282087053571</v>
      </c>
      <c r="L9" s="102">
        <f>'Расх перем'!$E$19/12</f>
        <v>210.2282087053571</v>
      </c>
      <c r="M9" s="102">
        <f>'Расх перем'!$E$19/12</f>
        <v>210.2282087053571</v>
      </c>
      <c r="N9" s="102">
        <f>'Расх перем'!$E$19/12</f>
        <v>210.2282087053571</v>
      </c>
      <c r="O9" s="102">
        <f>'Расх перем'!$E$19/12</f>
        <v>210.2282087053571</v>
      </c>
      <c r="P9" s="99">
        <f>SUM(D9:O9)</f>
        <v>1892.0538783482136</v>
      </c>
      <c r="Q9" s="102">
        <f>'Расх перем'!$F$19/12</f>
        <v>218.31390904017852</v>
      </c>
      <c r="R9" s="102">
        <f>'Расх перем'!$F$19/12</f>
        <v>218.31390904017852</v>
      </c>
      <c r="S9" s="102">
        <f>'Расх перем'!$F$19/12</f>
        <v>218.31390904017852</v>
      </c>
      <c r="T9" s="102">
        <f>'Расх перем'!$F$19/12</f>
        <v>218.31390904017852</v>
      </c>
      <c r="U9" s="102">
        <f>'Расх перем'!$F$19/12</f>
        <v>218.31390904017852</v>
      </c>
      <c r="V9" s="102">
        <f>'Расх перем'!$F$19/12</f>
        <v>218.31390904017852</v>
      </c>
      <c r="W9" s="102">
        <f>'Расх перем'!$F$19/12</f>
        <v>218.31390904017852</v>
      </c>
      <c r="X9" s="102">
        <f>'Расх перем'!$F$19/12</f>
        <v>218.31390904017852</v>
      </c>
      <c r="Y9" s="102">
        <f>'Расх перем'!$F$19/12</f>
        <v>218.31390904017852</v>
      </c>
      <c r="Z9" s="102">
        <f>'Расх перем'!$F$19/12</f>
        <v>218.31390904017852</v>
      </c>
      <c r="AA9" s="102">
        <f>'Расх перем'!$F$19/12</f>
        <v>218.31390904017852</v>
      </c>
      <c r="AB9" s="102">
        <f>'Расх перем'!$F$19/12</f>
        <v>218.31390904017852</v>
      </c>
      <c r="AC9" s="99">
        <f>SUM(Q9:AB9)</f>
        <v>2619.7669084821428</v>
      </c>
      <c r="AD9" s="102">
        <f>'Расх перем'!G19</f>
        <v>2629.4697488839283</v>
      </c>
      <c r="AE9" s="102">
        <f>'Расх перем'!H19</f>
        <v>2721.6467327008932</v>
      </c>
      <c r="AF9" s="102">
        <f>'Расх перем'!I19</f>
        <v>2824.0116989397316</v>
      </c>
      <c r="AG9" s="102">
        <f>'Расх перем'!J19</f>
        <v>3050.0249915209574</v>
      </c>
      <c r="AH9" s="102">
        <f>'Расх перем'!K19</f>
        <v>3268.2104277669278</v>
      </c>
    </row>
    <row r="10" spans="1:35">
      <c r="A10" s="101" t="s">
        <v>313</v>
      </c>
      <c r="B10" s="98">
        <f t="shared" si="3"/>
        <v>65148.1644996389</v>
      </c>
      <c r="C10" s="99"/>
      <c r="D10" s="102"/>
      <c r="E10" s="102"/>
      <c r="F10" s="102"/>
      <c r="G10" s="102">
        <f>'Расх перем'!$E$29</f>
        <v>705.69799999999998</v>
      </c>
      <c r="H10" s="102">
        <f>'Расх перем'!$E$29</f>
        <v>705.69799999999998</v>
      </c>
      <c r="I10" s="102">
        <f>'Расх перем'!$E$29</f>
        <v>705.69799999999998</v>
      </c>
      <c r="J10" s="102">
        <f>'Расх перем'!$E$29</f>
        <v>705.69799999999998</v>
      </c>
      <c r="K10" s="102">
        <f>'Расх перем'!$E$29</f>
        <v>705.69799999999998</v>
      </c>
      <c r="L10" s="102">
        <f>'Расх перем'!$E$29</f>
        <v>705.69799999999998</v>
      </c>
      <c r="M10" s="102">
        <f>'Расх перем'!$E$29</f>
        <v>705.69799999999998</v>
      </c>
      <c r="N10" s="102">
        <f>'Расх перем'!$E$29</f>
        <v>705.69799999999998</v>
      </c>
      <c r="O10" s="102">
        <f>'Расх перем'!$E$29</f>
        <v>705.69799999999998</v>
      </c>
      <c r="P10" s="99">
        <f>SUM(D10:O10)</f>
        <v>6351.2820000000011</v>
      </c>
      <c r="Q10" s="102">
        <f>'Расх перем'!$F$29</f>
        <v>743.50324999999998</v>
      </c>
      <c r="R10" s="102">
        <f>'Расх перем'!$F$29</f>
        <v>743.50324999999998</v>
      </c>
      <c r="S10" s="102">
        <f>'Расх перем'!$F$29</f>
        <v>743.50324999999998</v>
      </c>
      <c r="T10" s="102">
        <f>'Расх перем'!$F$29</f>
        <v>743.50324999999998</v>
      </c>
      <c r="U10" s="102">
        <f>'Расх перем'!$F$29</f>
        <v>743.50324999999998</v>
      </c>
      <c r="V10" s="102">
        <f>'Расх перем'!$F$29</f>
        <v>743.50324999999998</v>
      </c>
      <c r="W10" s="102">
        <f>'Расх перем'!$F$29</f>
        <v>743.50324999999998</v>
      </c>
      <c r="X10" s="102">
        <f>'Расх перем'!$F$29</f>
        <v>743.50324999999998</v>
      </c>
      <c r="Y10" s="102">
        <f>'Расх перем'!$F$29</f>
        <v>743.50324999999998</v>
      </c>
      <c r="Z10" s="102">
        <f>'Расх перем'!$F$29</f>
        <v>743.50324999999998</v>
      </c>
      <c r="AA10" s="102">
        <f>'Расх перем'!$F$29</f>
        <v>743.50324999999998</v>
      </c>
      <c r="AB10" s="102">
        <f>'Расх перем'!$F$29</f>
        <v>743.50324999999998</v>
      </c>
      <c r="AC10" s="99">
        <f>SUM(Q10:AB10)</f>
        <v>8922.0389999999989</v>
      </c>
      <c r="AD10" s="102">
        <f>'Расх перем'!G29*12</f>
        <v>9017.8123000000014</v>
      </c>
      <c r="AE10" s="102">
        <f>'Расх перем'!H29*12</f>
        <v>9356.3793166666674</v>
      </c>
      <c r="AF10" s="102">
        <f>'Расх перем'!I29*12</f>
        <v>9725.4985761111129</v>
      </c>
      <c r="AG10" s="102">
        <f>'Расх перем'!J29*12</f>
        <v>10505.700922500004</v>
      </c>
      <c r="AH10" s="102">
        <f>'Расх перем'!K29*12</f>
        <v>11269.452384361115</v>
      </c>
    </row>
    <row r="11" spans="1:35" s="89" customFormat="1" ht="15" customHeight="1">
      <c r="A11" s="97" t="s">
        <v>18</v>
      </c>
      <c r="B11" s="98">
        <f t="shared" si="3"/>
        <v>151758.04583964424</v>
      </c>
      <c r="C11" s="103"/>
      <c r="D11" s="99">
        <f t="shared" ref="D11:AH11" si="5">D5-D8</f>
        <v>0</v>
      </c>
      <c r="E11" s="99">
        <f t="shared" si="5"/>
        <v>0</v>
      </c>
      <c r="F11" s="99">
        <f t="shared" si="5"/>
        <v>0</v>
      </c>
      <c r="G11" s="99">
        <f t="shared" si="5"/>
        <v>492.07379129464289</v>
      </c>
      <c r="H11" s="99">
        <f t="shared" si="5"/>
        <v>492.07379129464289</v>
      </c>
      <c r="I11" s="99">
        <f t="shared" si="5"/>
        <v>492.07379129464289</v>
      </c>
      <c r="J11" s="99">
        <f t="shared" si="5"/>
        <v>492.07379129464289</v>
      </c>
      <c r="K11" s="99">
        <f t="shared" si="5"/>
        <v>492.07379129464289</v>
      </c>
      <c r="L11" s="99">
        <f t="shared" si="5"/>
        <v>492.07379129464289</v>
      </c>
      <c r="M11" s="99">
        <f t="shared" si="5"/>
        <v>492.07379129464289</v>
      </c>
      <c r="N11" s="99">
        <f t="shared" si="5"/>
        <v>492.07379129464289</v>
      </c>
      <c r="O11" s="99">
        <f t="shared" si="5"/>
        <v>492.07379129464289</v>
      </c>
      <c r="P11" s="99">
        <f t="shared" si="5"/>
        <v>4428.6641216517855</v>
      </c>
      <c r="Q11" s="99">
        <f t="shared" si="5"/>
        <v>1590.6228409598216</v>
      </c>
      <c r="R11" s="99">
        <f t="shared" si="5"/>
        <v>1590.6228409598216</v>
      </c>
      <c r="S11" s="99">
        <f t="shared" si="5"/>
        <v>1590.6228409598216</v>
      </c>
      <c r="T11" s="99">
        <f t="shared" si="5"/>
        <v>1590.6228409598216</v>
      </c>
      <c r="U11" s="99">
        <f t="shared" si="5"/>
        <v>1590.6228409598216</v>
      </c>
      <c r="V11" s="99">
        <f t="shared" si="5"/>
        <v>1590.6228409598216</v>
      </c>
      <c r="W11" s="99">
        <f t="shared" si="5"/>
        <v>1590.6228409598216</v>
      </c>
      <c r="X11" s="99">
        <f t="shared" si="5"/>
        <v>1590.6228409598216</v>
      </c>
      <c r="Y11" s="99">
        <f t="shared" si="5"/>
        <v>1590.6228409598216</v>
      </c>
      <c r="Z11" s="99">
        <f t="shared" si="5"/>
        <v>1590.6228409598216</v>
      </c>
      <c r="AA11" s="99">
        <f t="shared" si="5"/>
        <v>1590.6228409598216</v>
      </c>
      <c r="AB11" s="99">
        <f t="shared" si="5"/>
        <v>1590.6228409598216</v>
      </c>
      <c r="AC11" s="99">
        <f t="shared" si="5"/>
        <v>19087.474091517855</v>
      </c>
      <c r="AD11" s="99">
        <f t="shared" si="5"/>
        <v>24009.731284449408</v>
      </c>
      <c r="AE11" s="99">
        <f t="shared" si="5"/>
        <v>23416.50017285467</v>
      </c>
      <c r="AF11" s="99">
        <f t="shared" si="5"/>
        <v>24873.539206430643</v>
      </c>
      <c r="AG11" s="99">
        <f t="shared" si="5"/>
        <v>26370.134174867937</v>
      </c>
      <c r="AH11" s="99">
        <f t="shared" si="5"/>
        <v>29572.002787871963</v>
      </c>
    </row>
    <row r="12" spans="1:35" ht="15" customHeight="1">
      <c r="A12" s="104" t="s">
        <v>166</v>
      </c>
      <c r="B12" s="98">
        <f t="shared" si="3"/>
        <v>77486.5716633306</v>
      </c>
      <c r="C12" s="99"/>
      <c r="D12" s="102"/>
      <c r="E12" s="102"/>
      <c r="F12" s="102"/>
      <c r="G12" s="102">
        <f>Пост!$C$16+Пост!$C$18+Пост!$C$21</f>
        <v>948.18730600146648</v>
      </c>
      <c r="H12" s="102">
        <f>Пост!$C$16+Пост!$C$18+Пост!$C$21</f>
        <v>948.18730600146648</v>
      </c>
      <c r="I12" s="102">
        <f>Пост!$C$16+Пост!$C$18+Пост!$C$21</f>
        <v>948.18730600146648</v>
      </c>
      <c r="J12" s="102">
        <f>Пост!$C$16+Пост!$C$18+Пост!$C$21</f>
        <v>948.18730600146648</v>
      </c>
      <c r="K12" s="102">
        <f>Пост!$C$16+Пост!$C$18+Пост!$C$21</f>
        <v>948.18730600146648</v>
      </c>
      <c r="L12" s="102">
        <f>Пост!$C$16+Пост!$C$18+Пост!$C$21</f>
        <v>948.18730600146648</v>
      </c>
      <c r="M12" s="102">
        <f>Пост!$C$16+Пост!$C$18+Пост!$C$21</f>
        <v>948.18730600146648</v>
      </c>
      <c r="N12" s="102">
        <f>Пост!$C$16+Пост!$C$18+Пост!$C$21</f>
        <v>948.18730600146648</v>
      </c>
      <c r="O12" s="102">
        <f>Пост!$C$16+Пост!$C$18+Пост!$C$21</f>
        <v>948.18730600146648</v>
      </c>
      <c r="P12" s="99">
        <f t="shared" ref="P12:P17" si="6">SUM(D12:O12)</f>
        <v>8533.6857540131987</v>
      </c>
      <c r="Q12" s="102">
        <f>Пост!$D$16+Пост!$D$18+Пост!$D$21</f>
        <v>950.43829241897367</v>
      </c>
      <c r="R12" s="102">
        <f>Пост!$D$16+Пост!$D$18+Пост!$D$21</f>
        <v>950.43829241897367</v>
      </c>
      <c r="S12" s="102">
        <f>Пост!$D$16+Пост!$D$18+Пост!$D$21</f>
        <v>950.43829241897367</v>
      </c>
      <c r="T12" s="102">
        <f>Пост!$D$16+Пост!$D$18+Пост!$D$21</f>
        <v>950.43829241897367</v>
      </c>
      <c r="U12" s="102">
        <f>Пост!$D$16+Пост!$D$18+Пост!$D$21</f>
        <v>950.43829241897367</v>
      </c>
      <c r="V12" s="102">
        <f>Пост!$D$16+Пост!$D$18+Пост!$D$21</f>
        <v>950.43829241897367</v>
      </c>
      <c r="W12" s="102">
        <f>Пост!$D$16+Пост!$D$18+Пост!$D$21</f>
        <v>950.43829241897367</v>
      </c>
      <c r="X12" s="102">
        <f>Пост!$D$16+Пост!$D$18+Пост!$D$21</f>
        <v>950.43829241897367</v>
      </c>
      <c r="Y12" s="102">
        <f>Пост!$D$16+Пост!$D$18+Пост!$D$21</f>
        <v>950.43829241897367</v>
      </c>
      <c r="Z12" s="102">
        <f>Пост!$D$16+Пост!$D$18+Пост!$D$21</f>
        <v>950.43829241897367</v>
      </c>
      <c r="AA12" s="102">
        <f>Пост!$D$16+Пост!$D$18+Пост!$D$21</f>
        <v>950.43829241897367</v>
      </c>
      <c r="AB12" s="102">
        <f>Пост!$D$16+Пост!$D$18+Пост!$D$21</f>
        <v>950.43829241897367</v>
      </c>
      <c r="AC12" s="99">
        <f t="shared" ref="AC12:AC17" si="7">SUM(Q12:AB12)</f>
        <v>11405.259509027686</v>
      </c>
      <c r="AD12" s="102">
        <f>(Пост!E16+Пост!E18+Пост!E21)*12</f>
        <v>11435.271346037771</v>
      </c>
      <c r="AE12" s="102">
        <f>(Пост!F16+Пост!F18+Пост!F21)*12</f>
        <v>11468.583183047858</v>
      </c>
      <c r="AF12" s="102">
        <f>(Пост!G16+Пост!G18+Пост!G21)*12</f>
        <v>11505.525020057945</v>
      </c>
      <c r="AG12" s="102">
        <f>(Пост!H16+Пост!H18+Пост!H21)*12</f>
        <v>11546.45985706803</v>
      </c>
      <c r="AH12" s="102">
        <f>(Пост!I16+Пост!I18+Пост!I21)*12</f>
        <v>11591.786994078117</v>
      </c>
    </row>
    <row r="13" spans="1:35" ht="15" customHeight="1">
      <c r="A13" s="104" t="s">
        <v>84</v>
      </c>
      <c r="B13" s="98">
        <f t="shared" si="3"/>
        <v>22501.50628808454</v>
      </c>
      <c r="C13" s="99"/>
      <c r="D13" s="102"/>
      <c r="E13" s="102"/>
      <c r="F13" s="102"/>
      <c r="G13" s="102">
        <f>Пост!$C$31/12</f>
        <v>277.79637392696964</v>
      </c>
      <c r="H13" s="102">
        <f>Пост!$C$31/12</f>
        <v>277.79637392696964</v>
      </c>
      <c r="I13" s="102">
        <f>Пост!$C$31/12</f>
        <v>277.79637392696964</v>
      </c>
      <c r="J13" s="102">
        <f>Пост!$C$31/12</f>
        <v>277.79637392696964</v>
      </c>
      <c r="K13" s="102">
        <f>Пост!$C$31/12</f>
        <v>277.79637392696964</v>
      </c>
      <c r="L13" s="102">
        <f>Пост!$C$31/12</f>
        <v>277.79637392696964</v>
      </c>
      <c r="M13" s="102">
        <f>Пост!$C$31/12</f>
        <v>277.79637392696964</v>
      </c>
      <c r="N13" s="102">
        <f>Пост!$C$31/12</f>
        <v>277.79637392696964</v>
      </c>
      <c r="O13" s="102">
        <f>Пост!$C$31/12</f>
        <v>277.79637392696964</v>
      </c>
      <c r="P13" s="99">
        <f t="shared" si="6"/>
        <v>2500.167365342727</v>
      </c>
      <c r="Q13" s="102">
        <f>Пост!$D$31/12</f>
        <v>277.79637392696964</v>
      </c>
      <c r="R13" s="102">
        <f>Пост!$D$31/12</f>
        <v>277.79637392696964</v>
      </c>
      <c r="S13" s="102">
        <f>Пост!$D$31/12</f>
        <v>277.79637392696964</v>
      </c>
      <c r="T13" s="102">
        <f>Пост!$D$31/12</f>
        <v>277.79637392696964</v>
      </c>
      <c r="U13" s="102">
        <f>Пост!$D$31/12</f>
        <v>277.79637392696964</v>
      </c>
      <c r="V13" s="102">
        <f>Пост!$D$31/12</f>
        <v>277.79637392696964</v>
      </c>
      <c r="W13" s="102">
        <f>Пост!$D$31/12</f>
        <v>277.79637392696964</v>
      </c>
      <c r="X13" s="102">
        <f>Пост!$D$31/12</f>
        <v>277.79637392696964</v>
      </c>
      <c r="Y13" s="102">
        <f>Пост!$D$31/12</f>
        <v>277.79637392696964</v>
      </c>
      <c r="Z13" s="102">
        <f>Пост!$D$31/12</f>
        <v>277.79637392696964</v>
      </c>
      <c r="AA13" s="102">
        <f>Пост!$D$31/12</f>
        <v>277.79637392696964</v>
      </c>
      <c r="AB13" s="102">
        <f>Пост!$D$31/12</f>
        <v>277.79637392696964</v>
      </c>
      <c r="AC13" s="99">
        <f t="shared" si="7"/>
        <v>3333.5564871236365</v>
      </c>
      <c r="AD13" s="102">
        <f>Пост!E31</f>
        <v>3333.5564871236356</v>
      </c>
      <c r="AE13" s="102">
        <f>Пост!F31</f>
        <v>3333.5564871236356</v>
      </c>
      <c r="AF13" s="102">
        <f>Пост!G31</f>
        <v>3333.5564871236356</v>
      </c>
      <c r="AG13" s="102">
        <f>Пост!H31</f>
        <v>3333.5564871236356</v>
      </c>
      <c r="AH13" s="102">
        <f>Пост!I31</f>
        <v>3333.5564871236356</v>
      </c>
    </row>
    <row r="14" spans="1:35" ht="15" customHeight="1">
      <c r="A14" s="104" t="s">
        <v>29</v>
      </c>
      <c r="B14" s="98">
        <f t="shared" si="3"/>
        <v>16333.89804176492</v>
      </c>
      <c r="C14" s="99"/>
      <c r="D14" s="102">
        <f>кр!C9</f>
        <v>0</v>
      </c>
      <c r="E14" s="102">
        <f>кр!D9</f>
        <v>28.626190513480335</v>
      </c>
      <c r="F14" s="102">
        <f>кр!E9</f>
        <v>88.700210554900835</v>
      </c>
      <c r="G14" s="102">
        <f>кр!F9</f>
        <v>345.91149434060713</v>
      </c>
      <c r="H14" s="102">
        <f>кр!G9</f>
        <v>345.91149434060713</v>
      </c>
      <c r="I14" s="102">
        <f>кр!H9</f>
        <v>345.91149434060713</v>
      </c>
      <c r="J14" s="102">
        <f>кр!I9</f>
        <v>358.16149434060713</v>
      </c>
      <c r="K14" s="102">
        <f>кр!J9</f>
        <v>358.16149434060713</v>
      </c>
      <c r="L14" s="102">
        <f>кр!K9</f>
        <v>358.16149434060713</v>
      </c>
      <c r="M14" s="102">
        <f>кр!L9</f>
        <v>371.16717564876063</v>
      </c>
      <c r="N14" s="102">
        <f>кр!M9</f>
        <v>366.21827997344388</v>
      </c>
      <c r="O14" s="102">
        <f>кр!N9</f>
        <v>361.26938429812708</v>
      </c>
      <c r="P14" s="99">
        <f t="shared" si="6"/>
        <v>3328.2002070323556</v>
      </c>
      <c r="Q14" s="102">
        <f>кр!P9</f>
        <v>356.32048862281022</v>
      </c>
      <c r="R14" s="102">
        <f>кр!Q9</f>
        <v>351.37159294749341</v>
      </c>
      <c r="S14" s="102">
        <f>кр!R9</f>
        <v>346.42269727217666</v>
      </c>
      <c r="T14" s="102">
        <f>кр!S9</f>
        <v>341.4738015968598</v>
      </c>
      <c r="U14" s="102">
        <f>кр!T9</f>
        <v>336.524905921543</v>
      </c>
      <c r="V14" s="102">
        <f>кр!U9</f>
        <v>331.57601024622619</v>
      </c>
      <c r="W14" s="102">
        <f>кр!V9</f>
        <v>326.62711457090938</v>
      </c>
      <c r="X14" s="102">
        <f>кр!W9</f>
        <v>321.67821889559258</v>
      </c>
      <c r="Y14" s="102">
        <f>кр!X9</f>
        <v>316.72932322027572</v>
      </c>
      <c r="Z14" s="102">
        <f>кр!Y9</f>
        <v>311.78042754495897</v>
      </c>
      <c r="AA14" s="102">
        <f>кр!Z9</f>
        <v>306.83153186964211</v>
      </c>
      <c r="AB14" s="102">
        <f>кр!AA9</f>
        <v>301.8826361943253</v>
      </c>
      <c r="AC14" s="99">
        <f t="shared" si="7"/>
        <v>3949.2187489028133</v>
      </c>
      <c r="AD14" s="102">
        <f>кр!AO9</f>
        <v>3236.5777716571924</v>
      </c>
      <c r="AE14" s="102">
        <f>кр!BB9</f>
        <v>2523.9367944115716</v>
      </c>
      <c r="AF14" s="102">
        <f>кр!BO9</f>
        <v>1811.2958171659509</v>
      </c>
      <c r="AG14" s="102">
        <f>кр!CB9</f>
        <v>1098.65483992033</v>
      </c>
      <c r="AH14" s="102">
        <f>кр!CO9</f>
        <v>386.01386267470923</v>
      </c>
    </row>
    <row r="15" spans="1:35" ht="15" customHeight="1">
      <c r="A15" s="104" t="s">
        <v>37</v>
      </c>
      <c r="B15" s="98">
        <f t="shared" si="3"/>
        <v>35436.069846464205</v>
      </c>
      <c r="C15" s="103"/>
      <c r="D15" s="102">
        <f>D11-D12-D14-D13</f>
        <v>0</v>
      </c>
      <c r="E15" s="102">
        <f t="shared" ref="E15:O15" si="8">E11-E12-E14-E13</f>
        <v>-28.626190513480335</v>
      </c>
      <c r="F15" s="102">
        <f t="shared" si="8"/>
        <v>-88.700210554900835</v>
      </c>
      <c r="G15" s="102">
        <f t="shared" si="8"/>
        <v>-1079.8213829744004</v>
      </c>
      <c r="H15" s="102">
        <f t="shared" si="8"/>
        <v>-1079.8213829744004</v>
      </c>
      <c r="I15" s="102">
        <f t="shared" si="8"/>
        <v>-1079.8213829744004</v>
      </c>
      <c r="J15" s="102">
        <f t="shared" si="8"/>
        <v>-1092.0713829744004</v>
      </c>
      <c r="K15" s="102">
        <f t="shared" si="8"/>
        <v>-1092.0713829744004</v>
      </c>
      <c r="L15" s="102">
        <f t="shared" si="8"/>
        <v>-1092.0713829744004</v>
      </c>
      <c r="M15" s="102">
        <f t="shared" si="8"/>
        <v>-1105.0770642825539</v>
      </c>
      <c r="N15" s="102">
        <f t="shared" si="8"/>
        <v>-1100.1281686072371</v>
      </c>
      <c r="O15" s="102">
        <f t="shared" si="8"/>
        <v>-1095.1792729319204</v>
      </c>
      <c r="P15" s="99">
        <f t="shared" si="6"/>
        <v>-9933.3892047364934</v>
      </c>
      <c r="Q15" s="102">
        <f t="shared" ref="Q15:AB15" si="9">Q11-Q12-Q14-Q13</f>
        <v>6.0676859910680605</v>
      </c>
      <c r="R15" s="102">
        <f t="shared" si="9"/>
        <v>11.016581666384866</v>
      </c>
      <c r="S15" s="102">
        <f t="shared" si="9"/>
        <v>15.965477341701614</v>
      </c>
      <c r="T15" s="102">
        <f t="shared" si="9"/>
        <v>20.914373017018477</v>
      </c>
      <c r="U15" s="102">
        <f t="shared" si="9"/>
        <v>25.863268692335282</v>
      </c>
      <c r="V15" s="102">
        <f t="shared" si="9"/>
        <v>30.812164367652088</v>
      </c>
      <c r="W15" s="102">
        <f t="shared" si="9"/>
        <v>35.761060042968893</v>
      </c>
      <c r="X15" s="102">
        <f t="shared" si="9"/>
        <v>40.709955718285698</v>
      </c>
      <c r="Y15" s="102">
        <f t="shared" si="9"/>
        <v>45.658851393602561</v>
      </c>
      <c r="Z15" s="102">
        <f t="shared" si="9"/>
        <v>50.607747068919309</v>
      </c>
      <c r="AA15" s="102">
        <f t="shared" si="9"/>
        <v>55.556642744236171</v>
      </c>
      <c r="AB15" s="102">
        <f t="shared" si="9"/>
        <v>60.505538419552977</v>
      </c>
      <c r="AC15" s="99">
        <f t="shared" si="7"/>
        <v>399.439346463726</v>
      </c>
      <c r="AD15" s="102">
        <f>AD11-AD12-AD14-AD13</f>
        <v>6004.3256796308096</v>
      </c>
      <c r="AE15" s="102">
        <f>AE11-AE12-AE14-AE13</f>
        <v>6090.4237082716054</v>
      </c>
      <c r="AF15" s="102">
        <f>AF11-AF12-AF14-AF13</f>
        <v>8223.1618820831136</v>
      </c>
      <c r="AG15" s="102">
        <f>AG11-AG12-AG14-AG13</f>
        <v>10391.462990755943</v>
      </c>
      <c r="AH15" s="102">
        <f>AH11-AH12-AH14-AH13</f>
        <v>14260.645443995501</v>
      </c>
    </row>
    <row r="16" spans="1:35" ht="15" customHeight="1">
      <c r="A16" s="104" t="s">
        <v>30</v>
      </c>
      <c r="B16" s="98">
        <f t="shared" si="3"/>
        <v>2126.164190787852</v>
      </c>
      <c r="C16" s="99"/>
      <c r="D16" s="102">
        <f>IF(D15+C18&lt;0,0,IF(C18&lt;0,(C18+D15)*Исх!$C$19,D15*Исх!$C$19))</f>
        <v>0</v>
      </c>
      <c r="E16" s="102">
        <f>IF(E15+D18&lt;0,0,IF(D18&lt;0,(D18+E15)*Исх!$C$19,E15*Исх!$C$19))</f>
        <v>0</v>
      </c>
      <c r="F16" s="102">
        <f>IF(F15+E18&lt;0,0,IF(E18&lt;0,(E18+F15)*Исх!$C$19,F15*Исх!$C$19))</f>
        <v>0</v>
      </c>
      <c r="G16" s="102">
        <f>IF(G15+F18&lt;0,0,IF(F18&lt;0,(F18+G15)*Исх!$C$19,G15*Исх!$C$19))</f>
        <v>0</v>
      </c>
      <c r="H16" s="102">
        <f>IF(H15+G18&lt;0,0,IF(G18&lt;0,(G18+H15)*Исх!$C$19,H15*Исх!$C$19))</f>
        <v>0</v>
      </c>
      <c r="I16" s="102">
        <f>IF(I15+H18&lt;0,0,IF(H18&lt;0,(H18+I15)*Исх!$C$19,I15*Исх!$C$19))</f>
        <v>0</v>
      </c>
      <c r="J16" s="102">
        <f>IF(J15+I18&lt;0,0,IF(I18&lt;0,(I18+J15)*Исх!$C$19,J15*Исх!$C$19))</f>
        <v>0</v>
      </c>
      <c r="K16" s="102">
        <f>IF(K15+J18&lt;0,0,IF(J18&lt;0,(J18+K15)*Исх!$C$19,K15*Исх!$C$19))</f>
        <v>0</v>
      </c>
      <c r="L16" s="102">
        <f>IF(L15+K18&lt;0,0,IF(K18&lt;0,(K18+L15)*Исх!$C$19,L15*Исх!$C$19))</f>
        <v>0</v>
      </c>
      <c r="M16" s="102">
        <f>IF(M15+L18&lt;0,0,IF(L18&lt;0,(L18+M15)*Исх!$C$19,M15*Исх!$C$19))</f>
        <v>0</v>
      </c>
      <c r="N16" s="102">
        <f>IF(N15+M18&lt;0,0,IF(M18&lt;0,(M18+N15)*Исх!$C$19,N15*Исх!$C$19))</f>
        <v>0</v>
      </c>
      <c r="O16" s="102">
        <f>IF(O15+N18&lt;0,0,IF(N18&lt;0,(N18+O15)*Исх!$C$19,O15*Исх!$C$19))</f>
        <v>0</v>
      </c>
      <c r="P16" s="99">
        <f t="shared" si="6"/>
        <v>0</v>
      </c>
      <c r="Q16" s="102">
        <f>IF(Q15+P18&lt;0,0,IF(P18&lt;0,(P18+Q15)*Исх!$C$19,Q15*Исх!$C$19))</f>
        <v>0</v>
      </c>
      <c r="R16" s="102">
        <f>IF(R15+Q18&lt;0,0,IF(Q18&lt;0,(Q18+R15)*Исх!$C$19,R15*Исх!$C$19))</f>
        <v>0</v>
      </c>
      <c r="S16" s="102">
        <f>IF(S15+R18&lt;0,0,IF(R18&lt;0,(R18+S15)*Исх!$C$19,S15*Исх!$C$19))</f>
        <v>0</v>
      </c>
      <c r="T16" s="102">
        <f>IF(T15+S18&lt;0,0,IF(S18&lt;0,(S18+T15)*Исх!$C$19,T15*Исх!$C$19))</f>
        <v>0</v>
      </c>
      <c r="U16" s="102">
        <f>IF(U15+T18&lt;0,0,IF(T18&lt;0,(T18+U15)*Исх!$C$19,U15*Исх!$C$19))</f>
        <v>0</v>
      </c>
      <c r="V16" s="102">
        <f>IF(V15+U18&lt;0,0,IF(U18&lt;0,(U18+V15)*Исх!$C$19,V15*Исх!$C$19))</f>
        <v>0</v>
      </c>
      <c r="W16" s="102">
        <f>IF(W15+V18&lt;0,0,IF(V18&lt;0,(V18+W15)*Исх!$C$19,W15*Исх!$C$19))</f>
        <v>0</v>
      </c>
      <c r="X16" s="102">
        <f>IF(X15+W18&lt;0,0,IF(W18&lt;0,(W18+X15)*Исх!$C$19,X15*Исх!$C$19))</f>
        <v>0</v>
      </c>
      <c r="Y16" s="102">
        <f>IF(Y15+X18&lt;0,0,IF(X18&lt;0,(X18+Y15)*Исх!$C$19,Y15*Исх!$C$19))</f>
        <v>0</v>
      </c>
      <c r="Z16" s="102">
        <f>IF(Z15+Y18&lt;0,0,IF(Y18&lt;0,(Y18+Z15)*Исх!$C$19,Z15*Исх!$C$19))</f>
        <v>0</v>
      </c>
      <c r="AA16" s="102">
        <f>IF(AA15+Z18&lt;0,0,IF(Z18&lt;0,(Z18+AA15)*Исх!$C$19,AA15*Исх!$C$19))</f>
        <v>0</v>
      </c>
      <c r="AB16" s="102">
        <f>IF(AB15+AA18&lt;0,0,IF(AA18&lt;0,(AA18+AB15)*Исх!$C$19,AB15*Исх!$C$19))</f>
        <v>0</v>
      </c>
      <c r="AC16" s="99">
        <f t="shared" si="7"/>
        <v>0</v>
      </c>
      <c r="AD16" s="102">
        <f>IF(AD15+AC18&lt;0,0,IF(AC18&lt;0,(AC18+AD15)*Исх!$C$19,AD15*Исх!$C$19))</f>
        <v>0</v>
      </c>
      <c r="AE16" s="102">
        <f>IF(AE15+AD18&lt;0,0,IF(AD18&lt;0,(AD18+AE15)*Исх!$C$19,AE15*Исх!$C$19))</f>
        <v>153.64797177777879</v>
      </c>
      <c r="AF16" s="102">
        <f>IF(AF15+AE18&lt;0,0,IF(AE18&lt;0,(AE18+AF15)*Исх!$C$19,AF15*Исх!$C$19))</f>
        <v>493.38971292498678</v>
      </c>
      <c r="AG16" s="102">
        <f>IF(AG15+AF18&lt;0,0,IF(AF18&lt;0,(AF18+AG15)*Исх!$C$19,AG15*Исх!$C$19))</f>
        <v>623.48777944535652</v>
      </c>
      <c r="AH16" s="102">
        <f>IF(AH15+AG18&lt;0,0,IF(AG18&lt;0,(AG18+AH15)*Исх!$C$19,AH15*Исх!$C$19))</f>
        <v>855.63872663973007</v>
      </c>
    </row>
    <row r="17" spans="1:177" ht="15" customHeight="1">
      <c r="A17" s="104" t="s">
        <v>4</v>
      </c>
      <c r="B17" s="98">
        <f t="shared" si="3"/>
        <v>33309.905655676353</v>
      </c>
      <c r="C17" s="103"/>
      <c r="D17" s="102">
        <f t="shared" ref="D17:Q17" si="10">D15-D16</f>
        <v>0</v>
      </c>
      <c r="E17" s="102">
        <f>E15-E16</f>
        <v>-28.626190513480335</v>
      </c>
      <c r="F17" s="102">
        <f t="shared" si="10"/>
        <v>-88.700210554900835</v>
      </c>
      <c r="G17" s="102">
        <f t="shared" si="10"/>
        <v>-1079.8213829744004</v>
      </c>
      <c r="H17" s="102">
        <f t="shared" si="10"/>
        <v>-1079.8213829744004</v>
      </c>
      <c r="I17" s="102">
        <f t="shared" si="10"/>
        <v>-1079.8213829744004</v>
      </c>
      <c r="J17" s="102">
        <f t="shared" si="10"/>
        <v>-1092.0713829744004</v>
      </c>
      <c r="K17" s="102">
        <f t="shared" si="10"/>
        <v>-1092.0713829744004</v>
      </c>
      <c r="L17" s="102">
        <f t="shared" si="10"/>
        <v>-1092.0713829744004</v>
      </c>
      <c r="M17" s="102">
        <f t="shared" si="10"/>
        <v>-1105.0770642825539</v>
      </c>
      <c r="N17" s="102">
        <f t="shared" si="10"/>
        <v>-1100.1281686072371</v>
      </c>
      <c r="O17" s="102">
        <f t="shared" si="10"/>
        <v>-1095.1792729319204</v>
      </c>
      <c r="P17" s="99">
        <f t="shared" si="6"/>
        <v>-9933.3892047364934</v>
      </c>
      <c r="Q17" s="102">
        <f t="shared" si="10"/>
        <v>6.0676859910680605</v>
      </c>
      <c r="R17" s="102">
        <f t="shared" ref="R17:AF17" si="11">R15-R16</f>
        <v>11.016581666384866</v>
      </c>
      <c r="S17" s="102">
        <f t="shared" si="11"/>
        <v>15.965477341701614</v>
      </c>
      <c r="T17" s="102">
        <f t="shared" si="11"/>
        <v>20.914373017018477</v>
      </c>
      <c r="U17" s="102">
        <f t="shared" si="11"/>
        <v>25.863268692335282</v>
      </c>
      <c r="V17" s="102">
        <f t="shared" si="11"/>
        <v>30.812164367652088</v>
      </c>
      <c r="W17" s="102">
        <f t="shared" si="11"/>
        <v>35.761060042968893</v>
      </c>
      <c r="X17" s="102">
        <f t="shared" si="11"/>
        <v>40.709955718285698</v>
      </c>
      <c r="Y17" s="102">
        <f t="shared" si="11"/>
        <v>45.658851393602561</v>
      </c>
      <c r="Z17" s="102">
        <f t="shared" si="11"/>
        <v>50.607747068919309</v>
      </c>
      <c r="AA17" s="102">
        <f t="shared" si="11"/>
        <v>55.556642744236171</v>
      </c>
      <c r="AB17" s="102">
        <f t="shared" si="11"/>
        <v>60.505538419552977</v>
      </c>
      <c r="AC17" s="99">
        <f t="shared" si="7"/>
        <v>399.439346463726</v>
      </c>
      <c r="AD17" s="102">
        <f t="shared" si="11"/>
        <v>6004.3256796308096</v>
      </c>
      <c r="AE17" s="102">
        <f t="shared" si="11"/>
        <v>5936.775736493827</v>
      </c>
      <c r="AF17" s="102">
        <f t="shared" si="11"/>
        <v>7729.7721691581264</v>
      </c>
      <c r="AG17" s="102">
        <f>AG15-AG16</f>
        <v>9767.975211310586</v>
      </c>
      <c r="AH17" s="102">
        <f>AH15-AH16</f>
        <v>13405.006717355771</v>
      </c>
    </row>
    <row r="18" spans="1:177" ht="15" customHeight="1">
      <c r="A18" s="104" t="s">
        <v>35</v>
      </c>
      <c r="B18" s="105">
        <f>AH18</f>
        <v>33309.905655676353</v>
      </c>
      <c r="C18" s="106"/>
      <c r="D18" s="102">
        <f>C18+D17</f>
        <v>0</v>
      </c>
      <c r="E18" s="102">
        <f>D18+E17</f>
        <v>-28.626190513480335</v>
      </c>
      <c r="F18" s="102">
        <f t="shared" ref="F18:O18" si="12">E18+F17</f>
        <v>-117.32640106838117</v>
      </c>
      <c r="G18" s="102">
        <f t="shared" si="12"/>
        <v>-1197.1477840427815</v>
      </c>
      <c r="H18" s="102">
        <f t="shared" si="12"/>
        <v>-2276.9691670171819</v>
      </c>
      <c r="I18" s="102">
        <f t="shared" si="12"/>
        <v>-3356.7905499915823</v>
      </c>
      <c r="J18" s="102">
        <f t="shared" si="12"/>
        <v>-4448.8619329659832</v>
      </c>
      <c r="K18" s="102">
        <f t="shared" si="12"/>
        <v>-5540.9333159403832</v>
      </c>
      <c r="L18" s="102">
        <f t="shared" si="12"/>
        <v>-6633.0046989147831</v>
      </c>
      <c r="M18" s="102">
        <f t="shared" si="12"/>
        <v>-7738.0817631973368</v>
      </c>
      <c r="N18" s="102">
        <f t="shared" si="12"/>
        <v>-8838.209931804573</v>
      </c>
      <c r="O18" s="102">
        <f t="shared" si="12"/>
        <v>-9933.3892047364934</v>
      </c>
      <c r="P18" s="99">
        <f>O18</f>
        <v>-9933.3892047364934</v>
      </c>
      <c r="Q18" s="102">
        <f>P18+Q17</f>
        <v>-9927.3215187454261</v>
      </c>
      <c r="R18" s="102">
        <f t="shared" ref="R18:AA18" si="13">Q18+R17</f>
        <v>-9916.3049370790413</v>
      </c>
      <c r="S18" s="102">
        <f t="shared" si="13"/>
        <v>-9900.339459737339</v>
      </c>
      <c r="T18" s="102">
        <f t="shared" si="13"/>
        <v>-9879.4250867203209</v>
      </c>
      <c r="U18" s="102">
        <f t="shared" si="13"/>
        <v>-9853.5618180279853</v>
      </c>
      <c r="V18" s="102">
        <f t="shared" si="13"/>
        <v>-9822.7496536603339</v>
      </c>
      <c r="W18" s="102">
        <f t="shared" si="13"/>
        <v>-9786.988593617365</v>
      </c>
      <c r="X18" s="102">
        <f t="shared" si="13"/>
        <v>-9746.2786378990786</v>
      </c>
      <c r="Y18" s="102">
        <f t="shared" si="13"/>
        <v>-9700.6197865054764</v>
      </c>
      <c r="Z18" s="102">
        <f t="shared" si="13"/>
        <v>-9650.0120394365567</v>
      </c>
      <c r="AA18" s="102">
        <f t="shared" si="13"/>
        <v>-9594.4553966923213</v>
      </c>
      <c r="AB18" s="102">
        <f>AA18+AB17</f>
        <v>-9533.9498582727683</v>
      </c>
      <c r="AC18" s="99">
        <f>AB18</f>
        <v>-9533.9498582727683</v>
      </c>
      <c r="AD18" s="102">
        <f>AC18+AD17</f>
        <v>-3529.6241786419587</v>
      </c>
      <c r="AE18" s="102">
        <f>AD18+AE17</f>
        <v>2407.1515578518683</v>
      </c>
      <c r="AF18" s="102">
        <f>AE18+AF17</f>
        <v>10136.923727009995</v>
      </c>
      <c r="AG18" s="102">
        <f>AF18+AG17</f>
        <v>19904.898938320581</v>
      </c>
      <c r="AH18" s="102">
        <f>AG18+AH17</f>
        <v>33309.905655676353</v>
      </c>
    </row>
    <row r="19" spans="1:177" ht="15" customHeight="1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</row>
    <row r="20" spans="1:177" ht="15" customHeight="1">
      <c r="A20" s="90"/>
      <c r="B20" s="108"/>
      <c r="C20" s="108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</row>
    <row r="21" spans="1:177" ht="15" customHeight="1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</row>
    <row r="22" spans="1:177">
      <c r="A22" s="109" t="s">
        <v>58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177" s="113" customFormat="1">
      <c r="A23" s="367" t="s">
        <v>3</v>
      </c>
      <c r="B23" s="370" t="s">
        <v>0</v>
      </c>
      <c r="C23" s="110"/>
      <c r="D23" s="361">
        <f>D3</f>
        <v>2013</v>
      </c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3"/>
      <c r="Q23" s="361">
        <f>Q3</f>
        <v>2014</v>
      </c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3"/>
      <c r="AD23" s="111">
        <f>AD3</f>
        <v>2015</v>
      </c>
      <c r="AE23" s="111">
        <f>AE3</f>
        <v>2016</v>
      </c>
      <c r="AF23" s="111">
        <f>AF3</f>
        <v>2017</v>
      </c>
      <c r="AG23" s="111">
        <f>AG3</f>
        <v>2018</v>
      </c>
      <c r="AH23" s="111">
        <f>AH3</f>
        <v>2019</v>
      </c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</row>
    <row r="24" spans="1:177" s="113" customFormat="1" ht="19.5" customHeight="1">
      <c r="A24" s="368"/>
      <c r="B24" s="371"/>
      <c r="C24" s="114"/>
      <c r="D24" s="115">
        <f>D4</f>
        <v>1</v>
      </c>
      <c r="E24" s="115">
        <f t="shared" ref="E24:O24" si="14">E4</f>
        <v>2</v>
      </c>
      <c r="F24" s="115">
        <f t="shared" si="14"/>
        <v>3</v>
      </c>
      <c r="G24" s="115">
        <f t="shared" si="14"/>
        <v>4</v>
      </c>
      <c r="H24" s="115">
        <f t="shared" si="14"/>
        <v>5</v>
      </c>
      <c r="I24" s="115">
        <f t="shared" si="14"/>
        <v>6</v>
      </c>
      <c r="J24" s="115">
        <f t="shared" si="14"/>
        <v>7</v>
      </c>
      <c r="K24" s="115">
        <f t="shared" si="14"/>
        <v>8</v>
      </c>
      <c r="L24" s="115">
        <f t="shared" si="14"/>
        <v>9</v>
      </c>
      <c r="M24" s="115">
        <f t="shared" si="14"/>
        <v>10</v>
      </c>
      <c r="N24" s="115">
        <f t="shared" si="14"/>
        <v>11</v>
      </c>
      <c r="O24" s="115">
        <f t="shared" si="14"/>
        <v>12</v>
      </c>
      <c r="P24" s="116" t="s">
        <v>0</v>
      </c>
      <c r="Q24" s="115">
        <f>Q4</f>
        <v>1</v>
      </c>
      <c r="R24" s="115">
        <f t="shared" ref="R24:AB24" si="15">R4</f>
        <v>2</v>
      </c>
      <c r="S24" s="115">
        <f t="shared" si="15"/>
        <v>3</v>
      </c>
      <c r="T24" s="115">
        <f t="shared" si="15"/>
        <v>4</v>
      </c>
      <c r="U24" s="115">
        <f t="shared" si="15"/>
        <v>5</v>
      </c>
      <c r="V24" s="115">
        <f t="shared" si="15"/>
        <v>6</v>
      </c>
      <c r="W24" s="115">
        <f t="shared" si="15"/>
        <v>7</v>
      </c>
      <c r="X24" s="115">
        <f t="shared" si="15"/>
        <v>8</v>
      </c>
      <c r="Y24" s="115">
        <f t="shared" si="15"/>
        <v>9</v>
      </c>
      <c r="Z24" s="115">
        <f t="shared" si="15"/>
        <v>10</v>
      </c>
      <c r="AA24" s="115">
        <f t="shared" si="15"/>
        <v>11</v>
      </c>
      <c r="AB24" s="115">
        <f t="shared" si="15"/>
        <v>12</v>
      </c>
      <c r="AC24" s="116" t="s">
        <v>0</v>
      </c>
      <c r="AD24" s="116"/>
      <c r="AE24" s="116"/>
      <c r="AF24" s="116"/>
      <c r="AG24" s="116"/>
      <c r="AH24" s="116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</row>
    <row r="25" spans="1:177" s="113" customFormat="1">
      <c r="A25" s="117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</row>
    <row r="26" spans="1:177" s="113" customFormat="1">
      <c r="A26" s="117" t="s">
        <v>186</v>
      </c>
      <c r="B26" s="105">
        <f>P26+AC26+AD26+AE26+AF26+AG26+AH26</f>
        <v>28309.367367111114</v>
      </c>
      <c r="C26" s="119"/>
      <c r="D26" s="119">
        <f>D5*ндс</f>
        <v>0</v>
      </c>
      <c r="E26" s="119">
        <f>E5*ндс</f>
        <v>0</v>
      </c>
      <c r="F26" s="119">
        <f t="shared" ref="F26:O26" si="16">F5*ндс</f>
        <v>0</v>
      </c>
      <c r="G26" s="119">
        <f t="shared" si="16"/>
        <v>168.95999999999998</v>
      </c>
      <c r="H26" s="119">
        <f t="shared" si="16"/>
        <v>168.95999999999998</v>
      </c>
      <c r="I26" s="119">
        <f t="shared" si="16"/>
        <v>168.95999999999998</v>
      </c>
      <c r="J26" s="119">
        <f t="shared" si="16"/>
        <v>168.95999999999998</v>
      </c>
      <c r="K26" s="119">
        <f t="shared" si="16"/>
        <v>168.95999999999998</v>
      </c>
      <c r="L26" s="119">
        <f t="shared" si="16"/>
        <v>168.95999999999998</v>
      </c>
      <c r="M26" s="119">
        <f>M5*ндс</f>
        <v>168.95999999999998</v>
      </c>
      <c r="N26" s="119">
        <f t="shared" si="16"/>
        <v>168.95999999999998</v>
      </c>
      <c r="O26" s="119">
        <f t="shared" si="16"/>
        <v>168.95999999999998</v>
      </c>
      <c r="P26" s="120">
        <f>SUM(D26:O26)</f>
        <v>1520.64</v>
      </c>
      <c r="Q26" s="119">
        <f t="shared" ref="Q26:AF26" si="17">Q5*ндс</f>
        <v>306.2928</v>
      </c>
      <c r="R26" s="119">
        <f t="shared" si="17"/>
        <v>306.2928</v>
      </c>
      <c r="S26" s="119">
        <f t="shared" si="17"/>
        <v>306.2928</v>
      </c>
      <c r="T26" s="119">
        <f t="shared" si="17"/>
        <v>306.2928</v>
      </c>
      <c r="U26" s="119">
        <f t="shared" si="17"/>
        <v>306.2928</v>
      </c>
      <c r="V26" s="119">
        <f t="shared" si="17"/>
        <v>306.2928</v>
      </c>
      <c r="W26" s="119">
        <f t="shared" si="17"/>
        <v>306.2928</v>
      </c>
      <c r="X26" s="119">
        <f t="shared" si="17"/>
        <v>306.2928</v>
      </c>
      <c r="Y26" s="119">
        <f t="shared" si="17"/>
        <v>306.2928</v>
      </c>
      <c r="Z26" s="119">
        <f t="shared" si="17"/>
        <v>306.2928</v>
      </c>
      <c r="AA26" s="119">
        <f t="shared" si="17"/>
        <v>306.2928</v>
      </c>
      <c r="AB26" s="119">
        <f t="shared" si="17"/>
        <v>306.2928</v>
      </c>
      <c r="AC26" s="120">
        <f>SUM(Q26:AB26)</f>
        <v>3675.5136000000007</v>
      </c>
      <c r="AD26" s="119">
        <f t="shared" si="17"/>
        <v>4278.8415999999997</v>
      </c>
      <c r="AE26" s="119">
        <f t="shared" si="17"/>
        <v>4259.3431466666671</v>
      </c>
      <c r="AF26" s="119">
        <f t="shared" si="17"/>
        <v>4490.7659377777782</v>
      </c>
      <c r="AG26" s="119">
        <f>AG5*ндс</f>
        <v>4791.1032106666671</v>
      </c>
      <c r="AH26" s="119">
        <f>AH5*ндс</f>
        <v>5293.1598720000011</v>
      </c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</row>
    <row r="27" spans="1:177" s="113" customFormat="1">
      <c r="A27" s="117" t="s">
        <v>187</v>
      </c>
      <c r="B27" s="105">
        <f>P27+AC27+AD27+AE27+AF27+AG27+AH27</f>
        <v>4459.2710089596349</v>
      </c>
      <c r="C27" s="119"/>
      <c r="D27" s="119"/>
      <c r="E27" s="119"/>
      <c r="F27" s="119">
        <f>'1-Ф3'!F13/Исх!$C$18*ндс</f>
        <v>75.682155133928561</v>
      </c>
      <c r="G27" s="119">
        <f>(G9+G12-Пост!$C$6-Пост!$C$18-Пост!$C$21)*ндс</f>
        <v>50.084527901785698</v>
      </c>
      <c r="H27" s="119">
        <f>(H9+H12-Пост!$C$6-Пост!$C$18-Пост!$C$21)*ндс</f>
        <v>50.084527901785698</v>
      </c>
      <c r="I27" s="119">
        <f>(I9+I12-Пост!$C$6-Пост!$C$18-Пост!$C$21)*ндс</f>
        <v>50.084527901785698</v>
      </c>
      <c r="J27" s="119">
        <f>(J9+J12-Пост!$C$6-Пост!$C$18-Пост!$C$21)*ндс</f>
        <v>50.084527901785698</v>
      </c>
      <c r="K27" s="119">
        <f>(K9+K12-Пост!$C$6-Пост!$C$18-Пост!$C$21)*ндс</f>
        <v>50.084527901785698</v>
      </c>
      <c r="L27" s="119">
        <f>(L9+L12-Пост!$C$6-Пост!$C$18-Пост!$C$21)*ндс</f>
        <v>50.084527901785698</v>
      </c>
      <c r="M27" s="119">
        <f>(M9+M12-Пост!$C$6-Пост!$C$18-Пост!$C$21)*ндс</f>
        <v>50.084527901785698</v>
      </c>
      <c r="N27" s="119">
        <f>(N9+N12-Пост!$C$6-Пост!$C$18-Пост!$C$21)*ндс</f>
        <v>50.084527901785698</v>
      </c>
      <c r="O27" s="119">
        <f>(O9+O12-Пост!$C$6-Пост!$C$18-Пост!$C$21)*ндс</f>
        <v>50.084527901785698</v>
      </c>
      <c r="P27" s="120">
        <f>SUM(D27:O27)</f>
        <v>526.44290624999985</v>
      </c>
      <c r="Q27" s="119">
        <f>(Q9+Q12-Пост!$D$6-Пост!$D$18-Пост!$D$21)*ндс</f>
        <v>51.354811941964279</v>
      </c>
      <c r="R27" s="119">
        <f>(R9+R12-Пост!$D$6-Пост!$D$18-Пост!$D$21)*ндс</f>
        <v>51.354811941964279</v>
      </c>
      <c r="S27" s="119">
        <f>(S9+S12-Пост!$D$6-Пост!$D$18-Пост!$D$21)*ндс</f>
        <v>51.354811941964279</v>
      </c>
      <c r="T27" s="119">
        <f>(T9+T12-Пост!$D$6-Пост!$D$18-Пост!$D$21)*ндс</f>
        <v>51.354811941964279</v>
      </c>
      <c r="U27" s="119">
        <f>(U9+U12-Пост!$D$6-Пост!$D$18-Пост!$D$21)*ндс</f>
        <v>51.354811941964279</v>
      </c>
      <c r="V27" s="119">
        <f>(V9+V12-Пост!$D$6-Пост!$D$18-Пост!$D$21)*ндс</f>
        <v>51.354811941964279</v>
      </c>
      <c r="W27" s="119">
        <f>(W9+W12-Пост!$D$6-Пост!$D$18-Пост!$D$21)*ндс</f>
        <v>51.354811941964279</v>
      </c>
      <c r="X27" s="119">
        <f>(X9+X12-Пост!$D$6-Пост!$D$18-Пост!$D$21)*ндс</f>
        <v>51.354811941964279</v>
      </c>
      <c r="Y27" s="119">
        <f>(Y9+Y12-Пост!$D$6-Пост!$D$18-Пост!$D$21)*ндс</f>
        <v>51.354811941964279</v>
      </c>
      <c r="Z27" s="119">
        <f>(Z9+Z12-Пост!$D$6-Пост!$D$18-Пост!$D$21)*ндс</f>
        <v>51.354811941964279</v>
      </c>
      <c r="AA27" s="119">
        <f>(AA9+AA12-Пост!$D$6-Пост!$D$18-Пост!$D$21)*ндс</f>
        <v>51.354811941964279</v>
      </c>
      <c r="AB27" s="119">
        <f>(AB9+AB12-Пост!$D$6-Пост!$D$18-Пост!$D$21)*ндс</f>
        <v>51.354811941964279</v>
      </c>
      <c r="AC27" s="120">
        <f>SUM(Q27:AB27)</f>
        <v>616.25774330357137</v>
      </c>
      <c r="AD27" s="119">
        <f>(AD9+AD12-(Пост!E6+Пост!E18+Пост!E21)*12)*ндс</f>
        <v>621.38208415178553</v>
      </c>
      <c r="AE27" s="119">
        <f>(AE9+AE12-(Пост!F6+Пост!F18+Пост!F21)*12)*ндс</f>
        <v>636.7993222098213</v>
      </c>
      <c r="AF27" s="119">
        <f>(AF9+AF12-(Пост!G6+Пост!G18+Пост!G21)*12)*ндс</f>
        <v>653.8747181584821</v>
      </c>
      <c r="AG27" s="119">
        <f>(AG9+AG12-(Пост!H6+Пост!H18+Пост!H21)*12)*ндс</f>
        <v>686.26707326822896</v>
      </c>
      <c r="AH27" s="119">
        <f>(AH9+AH12-(Пост!I6+Пост!I18+Пост!I21)*12)*ндс</f>
        <v>718.24716161774552</v>
      </c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</row>
    <row r="28" spans="1:177" s="113" customFormat="1">
      <c r="A28" s="117" t="s">
        <v>188</v>
      </c>
      <c r="B28" s="105">
        <f>P28+AC28+AD28+AE28+AF28+AG28+AH28</f>
        <v>9698.8969628110117</v>
      </c>
      <c r="C28" s="119"/>
      <c r="D28" s="119">
        <f>Инв!E20/Исх!$C$18*ндс</f>
        <v>808.90334261011913</v>
      </c>
      <c r="E28" s="119">
        <f>Инв!F20/Исх!$C$18*ндс</f>
        <v>1697.5390278580355</v>
      </c>
      <c r="F28" s="119">
        <f>Инв!G20/Исх!$C$18*ндс</f>
        <v>7192.4545923428568</v>
      </c>
      <c r="G28" s="119">
        <f>Инв!H20/Исх!$C$18*ндс</f>
        <v>0</v>
      </c>
      <c r="H28" s="119">
        <f>Инв!I20/Исх!$C$18*ндс</f>
        <v>0</v>
      </c>
      <c r="I28" s="119">
        <f>Инв!J20/Исх!$C$18*ндс</f>
        <v>0</v>
      </c>
      <c r="J28" s="119">
        <f>Инв!K20/Исх!$C$18*ндс</f>
        <v>0</v>
      </c>
      <c r="K28" s="119">
        <f>Инв!L20/Исх!$C$18*ндс</f>
        <v>0</v>
      </c>
      <c r="L28" s="119">
        <f>Инв!M20/Исх!$C$18*ндс</f>
        <v>0</v>
      </c>
      <c r="M28" s="119">
        <f>Инв!N20/Исх!$C$18*ндс</f>
        <v>0</v>
      </c>
      <c r="N28" s="119">
        <f>Инв!O20/Исх!$C$18*ндс</f>
        <v>0</v>
      </c>
      <c r="O28" s="119">
        <f>Инв!P20/Исх!$C$18*ндс</f>
        <v>0</v>
      </c>
      <c r="P28" s="120">
        <f>SUM(D28:O28)</f>
        <v>9698.8969628110117</v>
      </c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20"/>
      <c r="AD28" s="120"/>
      <c r="AE28" s="120"/>
      <c r="AF28" s="120"/>
      <c r="AG28" s="120"/>
      <c r="AH28" s="120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</row>
    <row r="29" spans="1:177" s="113" customFormat="1">
      <c r="A29" s="117" t="s">
        <v>33</v>
      </c>
      <c r="B29" s="105">
        <f>P29+AC29+AD29+AE29+AF29+AG29+AH29</f>
        <v>14151.199395340465</v>
      </c>
      <c r="C29" s="119"/>
      <c r="D29" s="119">
        <f>D26-D27-D28</f>
        <v>-808.90334261011913</v>
      </c>
      <c r="E29" s="119">
        <f t="shared" ref="E29:O29" si="18">E26-E27-E28</f>
        <v>-1697.5390278580355</v>
      </c>
      <c r="F29" s="119">
        <f t="shared" si="18"/>
        <v>-7268.1367474767858</v>
      </c>
      <c r="G29" s="119">
        <f t="shared" si="18"/>
        <v>118.87547209821429</v>
      </c>
      <c r="H29" s="119">
        <f t="shared" si="18"/>
        <v>118.87547209821429</v>
      </c>
      <c r="I29" s="119">
        <f t="shared" si="18"/>
        <v>118.87547209821429</v>
      </c>
      <c r="J29" s="119">
        <f t="shared" si="18"/>
        <v>118.87547209821429</v>
      </c>
      <c r="K29" s="119">
        <f t="shared" si="18"/>
        <v>118.87547209821429</v>
      </c>
      <c r="L29" s="119">
        <f t="shared" si="18"/>
        <v>118.87547209821429</v>
      </c>
      <c r="M29" s="119">
        <f t="shared" si="18"/>
        <v>118.87547209821429</v>
      </c>
      <c r="N29" s="119">
        <f t="shared" si="18"/>
        <v>118.87547209821429</v>
      </c>
      <c r="O29" s="119">
        <f t="shared" si="18"/>
        <v>118.87547209821429</v>
      </c>
      <c r="P29" s="120">
        <f>SUM(D29:O29)</f>
        <v>-8704.6998690610126</v>
      </c>
      <c r="Q29" s="119">
        <f t="shared" ref="Q29:AB29" si="19">Q26-Q27-Q28</f>
        <v>254.93798805803573</v>
      </c>
      <c r="R29" s="119">
        <f t="shared" si="19"/>
        <v>254.93798805803573</v>
      </c>
      <c r="S29" s="119">
        <f t="shared" si="19"/>
        <v>254.93798805803573</v>
      </c>
      <c r="T29" s="119">
        <f t="shared" si="19"/>
        <v>254.93798805803573</v>
      </c>
      <c r="U29" s="119">
        <f t="shared" si="19"/>
        <v>254.93798805803573</v>
      </c>
      <c r="V29" s="119">
        <f t="shared" si="19"/>
        <v>254.93798805803573</v>
      </c>
      <c r="W29" s="119">
        <f t="shared" si="19"/>
        <v>254.93798805803573</v>
      </c>
      <c r="X29" s="119">
        <f t="shared" si="19"/>
        <v>254.93798805803573</v>
      </c>
      <c r="Y29" s="119">
        <f t="shared" si="19"/>
        <v>254.93798805803573</v>
      </c>
      <c r="Z29" s="119">
        <f t="shared" si="19"/>
        <v>254.93798805803573</v>
      </c>
      <c r="AA29" s="119">
        <f t="shared" si="19"/>
        <v>254.93798805803573</v>
      </c>
      <c r="AB29" s="119">
        <f t="shared" si="19"/>
        <v>254.93798805803573</v>
      </c>
      <c r="AC29" s="120">
        <f>SUM(Q29:AB29)</f>
        <v>3059.255856696429</v>
      </c>
      <c r="AD29" s="119">
        <f>AD26-AD27-AD28</f>
        <v>3657.4595158482143</v>
      </c>
      <c r="AE29" s="119">
        <f>AE26-AE27-AE28</f>
        <v>3622.5438244568459</v>
      </c>
      <c r="AF29" s="119">
        <f>AF26-AF27-AF28</f>
        <v>3836.891219619296</v>
      </c>
      <c r="AG29" s="119">
        <f>AG26-AG27-AG28</f>
        <v>4104.836137398438</v>
      </c>
      <c r="AH29" s="119">
        <f>AH26-AH27-AH28</f>
        <v>4574.9127103822557</v>
      </c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</row>
    <row r="30" spans="1:177" s="113" customFormat="1">
      <c r="A30" s="117" t="s">
        <v>189</v>
      </c>
      <c r="B30" s="105">
        <f>AH30</f>
        <v>14151.199395340465</v>
      </c>
      <c r="C30" s="119"/>
      <c r="D30" s="119">
        <f>D29</f>
        <v>-808.90334261011913</v>
      </c>
      <c r="E30" s="119">
        <f>D30+E29</f>
        <v>-2506.4423704681549</v>
      </c>
      <c r="F30" s="119">
        <f t="shared" ref="F30:O30" si="20">E30+F29</f>
        <v>-9774.5791179449407</v>
      </c>
      <c r="G30" s="119">
        <f t="shared" si="20"/>
        <v>-9655.7036458467264</v>
      </c>
      <c r="H30" s="119">
        <f t="shared" si="20"/>
        <v>-9536.8281737485122</v>
      </c>
      <c r="I30" s="119">
        <f t="shared" si="20"/>
        <v>-9417.952701650298</v>
      </c>
      <c r="J30" s="119">
        <f t="shared" si="20"/>
        <v>-9299.0772295520837</v>
      </c>
      <c r="K30" s="119">
        <f t="shared" si="20"/>
        <v>-9180.2017574538695</v>
      </c>
      <c r="L30" s="119">
        <f t="shared" si="20"/>
        <v>-9061.3262853556553</v>
      </c>
      <c r="M30" s="119">
        <f t="shared" si="20"/>
        <v>-8942.450813257441</v>
      </c>
      <c r="N30" s="119">
        <f t="shared" si="20"/>
        <v>-8823.5753411592268</v>
      </c>
      <c r="O30" s="119">
        <f t="shared" si="20"/>
        <v>-8704.6998690610126</v>
      </c>
      <c r="P30" s="120">
        <f>O30</f>
        <v>-8704.6998690610126</v>
      </c>
      <c r="Q30" s="119">
        <f t="shared" ref="Q30:AB30" si="21">P30+Q29</f>
        <v>-8449.7618810029762</v>
      </c>
      <c r="R30" s="119">
        <f t="shared" si="21"/>
        <v>-8194.8238929449399</v>
      </c>
      <c r="S30" s="119">
        <f t="shared" si="21"/>
        <v>-7939.8859048869044</v>
      </c>
      <c r="T30" s="119">
        <f t="shared" si="21"/>
        <v>-7684.947916828869</v>
      </c>
      <c r="U30" s="119">
        <f t="shared" si="21"/>
        <v>-7430.0099287708335</v>
      </c>
      <c r="V30" s="119">
        <f t="shared" si="21"/>
        <v>-7175.0719407127981</v>
      </c>
      <c r="W30" s="119">
        <f t="shared" si="21"/>
        <v>-6920.1339526547627</v>
      </c>
      <c r="X30" s="119">
        <f t="shared" si="21"/>
        <v>-6665.1959645967272</v>
      </c>
      <c r="Y30" s="119">
        <f t="shared" si="21"/>
        <v>-6410.2579765386918</v>
      </c>
      <c r="Z30" s="119">
        <f t="shared" si="21"/>
        <v>-6155.3199884806563</v>
      </c>
      <c r="AA30" s="119">
        <f t="shared" si="21"/>
        <v>-5900.3820004226209</v>
      </c>
      <c r="AB30" s="119">
        <f t="shared" si="21"/>
        <v>-5645.4440123645854</v>
      </c>
      <c r="AC30" s="120">
        <f>AB30</f>
        <v>-5645.4440123645854</v>
      </c>
      <c r="AD30" s="119">
        <f>AC30+AD29</f>
        <v>-1987.9844965163711</v>
      </c>
      <c r="AE30" s="119">
        <f>AD30+AE29</f>
        <v>1634.5593279404748</v>
      </c>
      <c r="AF30" s="119">
        <f>AE30+AF29</f>
        <v>5471.4505475597707</v>
      </c>
      <c r="AG30" s="119">
        <f>AF30+AG29</f>
        <v>9576.2866849582097</v>
      </c>
      <c r="AH30" s="119">
        <f>AG30+AH29</f>
        <v>14151.199395340465</v>
      </c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</row>
    <row r="31" spans="1:177" s="113" customFormat="1">
      <c r="A31" s="117" t="s">
        <v>190</v>
      </c>
      <c r="B31" s="105">
        <f>P31+AC31+AD31+AE31+AF31+AG31+AH31</f>
        <v>4245.3598186021391</v>
      </c>
      <c r="C31" s="119"/>
      <c r="D31" s="119">
        <f>IF(C30+D29&gt;=0,IF(C30&lt;0,C30+D29,D29),0)</f>
        <v>0</v>
      </c>
      <c r="E31" s="119">
        <f t="shared" ref="E31:AB31" si="22">IF(D30+E29&gt;=0,IF(D30&lt;0,D30+E29,E29),0)</f>
        <v>0</v>
      </c>
      <c r="F31" s="119">
        <f t="shared" si="22"/>
        <v>0</v>
      </c>
      <c r="G31" s="119">
        <f t="shared" si="22"/>
        <v>0</v>
      </c>
      <c r="H31" s="119">
        <f t="shared" si="22"/>
        <v>0</v>
      </c>
      <c r="I31" s="119">
        <f t="shared" si="22"/>
        <v>0</v>
      </c>
      <c r="J31" s="119">
        <f t="shared" si="22"/>
        <v>0</v>
      </c>
      <c r="K31" s="119">
        <f t="shared" si="22"/>
        <v>0</v>
      </c>
      <c r="L31" s="119">
        <f t="shared" si="22"/>
        <v>0</v>
      </c>
      <c r="M31" s="119">
        <f t="shared" si="22"/>
        <v>0</v>
      </c>
      <c r="N31" s="119">
        <f t="shared" si="22"/>
        <v>0</v>
      </c>
      <c r="O31" s="119">
        <f t="shared" si="22"/>
        <v>0</v>
      </c>
      <c r="P31" s="120">
        <f>SUM(D31:O31)</f>
        <v>0</v>
      </c>
      <c r="Q31" s="119">
        <f t="shared" si="22"/>
        <v>0</v>
      </c>
      <c r="R31" s="119">
        <f t="shared" si="22"/>
        <v>0</v>
      </c>
      <c r="S31" s="119">
        <f t="shared" si="22"/>
        <v>0</v>
      </c>
      <c r="T31" s="119">
        <f t="shared" si="22"/>
        <v>0</v>
      </c>
      <c r="U31" s="119">
        <f t="shared" si="22"/>
        <v>0</v>
      </c>
      <c r="V31" s="119">
        <f t="shared" si="22"/>
        <v>0</v>
      </c>
      <c r="W31" s="119">
        <f t="shared" si="22"/>
        <v>0</v>
      </c>
      <c r="X31" s="119">
        <f t="shared" si="22"/>
        <v>0</v>
      </c>
      <c r="Y31" s="119">
        <f t="shared" si="22"/>
        <v>0</v>
      </c>
      <c r="Z31" s="119">
        <f t="shared" si="22"/>
        <v>0</v>
      </c>
      <c r="AA31" s="119">
        <f t="shared" si="22"/>
        <v>0</v>
      </c>
      <c r="AB31" s="119">
        <f t="shared" si="22"/>
        <v>0</v>
      </c>
      <c r="AC31" s="120">
        <f>SUM(Q31:AB31)</f>
        <v>0</v>
      </c>
      <c r="AD31" s="119">
        <f>IF(AC30+AD29&gt;=0,IF(AC30&lt;0,(AC30+AD29)*0.3,AD29*0.3),0)</f>
        <v>0</v>
      </c>
      <c r="AE31" s="119">
        <f>IF(AD30+AE29&gt;=0,IF(AD30&lt;0,(AD30+AE29)*0.3,AE29*0.3),0)</f>
        <v>490.36779838214238</v>
      </c>
      <c r="AF31" s="119">
        <f t="shared" ref="AF31:AH31" si="23">IF(AE30+AF29&gt;=0,IF(AE30&lt;0,(AE30+AF29)*0.3,AF29*0.3),0)</f>
        <v>1151.0673658857888</v>
      </c>
      <c r="AG31" s="119">
        <f t="shared" si="23"/>
        <v>1231.4508412195314</v>
      </c>
      <c r="AH31" s="119">
        <f t="shared" si="23"/>
        <v>1372.4738131146767</v>
      </c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</row>
    <row r="33" spans="2:34" hidden="1">
      <c r="B33" s="121"/>
      <c r="AD33" s="351">
        <f>AD30-AD31</f>
        <v>-1987.9844965163711</v>
      </c>
      <c r="AE33" s="351">
        <f>AE29-AE31</f>
        <v>3132.1760260747033</v>
      </c>
      <c r="AF33" s="351">
        <f t="shared" ref="AF33:AH33" si="24">AF29-AF31</f>
        <v>2685.8238537335073</v>
      </c>
      <c r="AG33" s="351">
        <f t="shared" si="24"/>
        <v>2873.3852961789066</v>
      </c>
      <c r="AH33" s="351">
        <f t="shared" si="24"/>
        <v>3202.4388972675788</v>
      </c>
    </row>
    <row r="34" spans="2:34" hidden="1">
      <c r="AD34" s="351">
        <f>AC34+AD33</f>
        <v>-1987.9844965163711</v>
      </c>
      <c r="AE34" s="351">
        <f t="shared" ref="AE34:AH34" si="25">AD34+AE33</f>
        <v>1144.1915295583321</v>
      </c>
      <c r="AF34" s="351">
        <f t="shared" si="25"/>
        <v>3830.0153832918395</v>
      </c>
      <c r="AG34" s="351">
        <f t="shared" si="25"/>
        <v>6703.4006794707457</v>
      </c>
      <c r="AH34" s="351">
        <f t="shared" si="25"/>
        <v>9905.8395767383245</v>
      </c>
    </row>
  </sheetData>
  <mergeCells count="8">
    <mergeCell ref="Q23:AC23"/>
    <mergeCell ref="Q3:AC3"/>
    <mergeCell ref="A3:A4"/>
    <mergeCell ref="A23:A24"/>
    <mergeCell ref="B3:B4"/>
    <mergeCell ref="D23:P23"/>
    <mergeCell ref="B23:B24"/>
    <mergeCell ref="D3:P3"/>
  </mergeCells>
  <phoneticPr fontId="2" type="noConversion"/>
  <pageMargins left="0.35433070866141736" right="0.23622047244094491" top="0.74803149606299213" bottom="0.23622047244094491" header="0.47244094488188981" footer="0.15748031496062992"/>
  <pageSetup paperSize="9" orientation="landscape" r:id="rId1"/>
  <headerFooter alignWithMargins="0">
    <oddHeader>&amp;RПриложение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GA40"/>
  <sheetViews>
    <sheetView showGridLines="0" showZeros="0" workbookViewId="0">
      <pane xSplit="3" ySplit="4" topLeftCell="D5" activePane="bottomRight" state="frozen"/>
      <selection activeCell="G35" sqref="G35"/>
      <selection pane="topRight" activeCell="G35" sqref="G35"/>
      <selection pane="bottomLeft" activeCell="G35" sqref="G35"/>
      <selection pane="bottomRight" activeCell="A43" sqref="A43"/>
    </sheetView>
  </sheetViews>
  <sheetFormatPr defaultColWidth="10.140625" defaultRowHeight="12.75" outlineLevelCol="1"/>
  <cols>
    <col min="1" max="1" width="38.140625" style="123" customWidth="1"/>
    <col min="2" max="2" width="2.42578125" style="123" customWidth="1"/>
    <col min="3" max="3" width="7.140625" style="123" customWidth="1"/>
    <col min="4" max="4" width="11.42578125" style="123" customWidth="1" outlineLevel="1"/>
    <col min="5" max="11" width="7.42578125" style="123" customWidth="1" outlineLevel="1"/>
    <col min="12" max="12" width="8" style="123" customWidth="1" outlineLevel="1"/>
    <col min="13" max="13" width="7.85546875" style="123" customWidth="1" outlineLevel="1"/>
    <col min="14" max="15" width="8.140625" style="123" customWidth="1" outlineLevel="1"/>
    <col min="16" max="16" width="9.85546875" style="123" customWidth="1"/>
    <col min="17" max="23" width="8.42578125" style="123" hidden="1" customWidth="1" outlineLevel="1"/>
    <col min="24" max="25" width="8.7109375" style="123" hidden="1" customWidth="1" outlineLevel="1"/>
    <col min="26" max="26" width="8.5703125" style="123" hidden="1" customWidth="1" outlineLevel="1"/>
    <col min="27" max="27" width="9" style="123" hidden="1" customWidth="1" outlineLevel="1"/>
    <col min="28" max="28" width="9.140625" style="123" hidden="1" customWidth="1" outlineLevel="1"/>
    <col min="29" max="29" width="10.140625" style="123" customWidth="1" collapsed="1"/>
    <col min="30" max="30" width="9.85546875" style="123" customWidth="1"/>
    <col min="31" max="31" width="9.7109375" style="123" customWidth="1"/>
    <col min="32" max="32" width="9.5703125" style="123" customWidth="1"/>
    <col min="33" max="34" width="9.7109375" style="123" customWidth="1"/>
    <col min="35" max="16384" width="10.140625" style="123"/>
  </cols>
  <sheetData>
    <row r="1" spans="1:183">
      <c r="A1" s="62" t="s">
        <v>134</v>
      </c>
      <c r="B1" s="122"/>
      <c r="C1" s="122"/>
    </row>
    <row r="2" spans="1:183" ht="17.25" customHeight="1">
      <c r="A2" s="62"/>
      <c r="C2" s="12" t="str">
        <f>Исх!$C$9</f>
        <v>тыс.тг.</v>
      </c>
      <c r="P2" s="124"/>
      <c r="AC2" s="124"/>
      <c r="AD2" s="124"/>
      <c r="AE2" s="124"/>
      <c r="AF2" s="124"/>
      <c r="AG2" s="124"/>
      <c r="AH2" s="124"/>
    </row>
    <row r="3" spans="1:183" ht="12.75" customHeight="1">
      <c r="A3" s="372" t="s">
        <v>3</v>
      </c>
      <c r="B3" s="374"/>
      <c r="C3" s="126"/>
      <c r="D3" s="375">
        <v>2013</v>
      </c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>
        <v>2014</v>
      </c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127">
        <f>Q3+1</f>
        <v>2015</v>
      </c>
      <c r="AE3" s="127">
        <f>AD3+1</f>
        <v>2016</v>
      </c>
      <c r="AF3" s="127">
        <f>AE3+1</f>
        <v>2017</v>
      </c>
      <c r="AG3" s="127">
        <f>AF3+1</f>
        <v>2018</v>
      </c>
      <c r="AH3" s="127">
        <f>AG3+1</f>
        <v>2019</v>
      </c>
    </row>
    <row r="4" spans="1:183">
      <c r="A4" s="373"/>
      <c r="B4" s="374"/>
      <c r="C4" s="128"/>
      <c r="D4" s="129">
        <v>1</v>
      </c>
      <c r="E4" s="129">
        <f>D4+1</f>
        <v>2</v>
      </c>
      <c r="F4" s="129">
        <f t="shared" ref="F4:O4" si="0">E4+1</f>
        <v>3</v>
      </c>
      <c r="G4" s="129">
        <f t="shared" si="0"/>
        <v>4</v>
      </c>
      <c r="H4" s="129">
        <f t="shared" si="0"/>
        <v>5</v>
      </c>
      <c r="I4" s="129">
        <f t="shared" si="0"/>
        <v>6</v>
      </c>
      <c r="J4" s="129">
        <f t="shared" si="0"/>
        <v>7</v>
      </c>
      <c r="K4" s="129">
        <f t="shared" si="0"/>
        <v>8</v>
      </c>
      <c r="L4" s="129">
        <f t="shared" si="0"/>
        <v>9</v>
      </c>
      <c r="M4" s="129">
        <f t="shared" si="0"/>
        <v>10</v>
      </c>
      <c r="N4" s="129">
        <f t="shared" si="0"/>
        <v>11</v>
      </c>
      <c r="O4" s="129">
        <f t="shared" si="0"/>
        <v>12</v>
      </c>
      <c r="P4" s="125" t="s">
        <v>0</v>
      </c>
      <c r="Q4" s="129">
        <v>1</v>
      </c>
      <c r="R4" s="129">
        <f t="shared" ref="R4:AB4" si="1">Q4+1</f>
        <v>2</v>
      </c>
      <c r="S4" s="129">
        <f t="shared" si="1"/>
        <v>3</v>
      </c>
      <c r="T4" s="129">
        <f t="shared" si="1"/>
        <v>4</v>
      </c>
      <c r="U4" s="129">
        <f t="shared" si="1"/>
        <v>5</v>
      </c>
      <c r="V4" s="129">
        <f t="shared" si="1"/>
        <v>6</v>
      </c>
      <c r="W4" s="129">
        <f t="shared" si="1"/>
        <v>7</v>
      </c>
      <c r="X4" s="129">
        <f t="shared" si="1"/>
        <v>8</v>
      </c>
      <c r="Y4" s="129">
        <f t="shared" si="1"/>
        <v>9</v>
      </c>
      <c r="Z4" s="129">
        <f t="shared" si="1"/>
        <v>10</v>
      </c>
      <c r="AA4" s="129">
        <f t="shared" si="1"/>
        <v>11</v>
      </c>
      <c r="AB4" s="129">
        <f t="shared" si="1"/>
        <v>12</v>
      </c>
      <c r="AC4" s="125" t="s">
        <v>0</v>
      </c>
      <c r="AD4" s="125"/>
      <c r="AE4" s="125"/>
      <c r="AF4" s="125"/>
      <c r="AG4" s="125"/>
      <c r="AH4" s="125"/>
    </row>
    <row r="5" spans="1:183" s="134" customFormat="1" ht="15" customHeight="1">
      <c r="A5" s="130" t="s">
        <v>135</v>
      </c>
      <c r="B5" s="131"/>
      <c r="C5" s="132">
        <f>C11+C6</f>
        <v>0</v>
      </c>
      <c r="D5" s="132">
        <f>D11+D6</f>
        <v>7549.7645310277785</v>
      </c>
      <c r="E5" s="132">
        <f t="shared" ref="E5:AH5" si="2">E11+E6</f>
        <v>23393.462124369446</v>
      </c>
      <c r="F5" s="132">
        <f t="shared" si="2"/>
        <v>91229.405100819451</v>
      </c>
      <c r="G5" s="132">
        <f t="shared" si="2"/>
        <v>90495.495212185662</v>
      </c>
      <c r="H5" s="132">
        <f t="shared" si="2"/>
        <v>89761.585323551844</v>
      </c>
      <c r="I5" s="132">
        <f t="shared" si="2"/>
        <v>92027.675434918056</v>
      </c>
      <c r="J5" s="132">
        <f t="shared" si="2"/>
        <v>91293.765546284252</v>
      </c>
      <c r="K5" s="132">
        <f t="shared" si="2"/>
        <v>90559.855657650449</v>
      </c>
      <c r="L5" s="132">
        <f t="shared" si="2"/>
        <v>89825.945769016645</v>
      </c>
      <c r="M5" s="132">
        <f t="shared" si="2"/>
        <v>87872.48658896549</v>
      </c>
      <c r="N5" s="132">
        <f t="shared" si="2"/>
        <v>85923.976304589654</v>
      </c>
      <c r="O5" s="132">
        <f t="shared" si="2"/>
        <v>83980.414915889138</v>
      </c>
      <c r="P5" s="132">
        <f t="shared" si="2"/>
        <v>83980.414915889138</v>
      </c>
      <c r="Q5" s="132">
        <f t="shared" si="2"/>
        <v>83138.100486111609</v>
      </c>
      <c r="R5" s="132">
        <f t="shared" si="2"/>
        <v>82300.734952009385</v>
      </c>
      <c r="S5" s="132">
        <f t="shared" si="2"/>
        <v>81468.31831358248</v>
      </c>
      <c r="T5" s="132">
        <f t="shared" si="2"/>
        <v>80640.850570830895</v>
      </c>
      <c r="U5" s="132">
        <f t="shared" si="2"/>
        <v>79818.331723754629</v>
      </c>
      <c r="V5" s="132">
        <f t="shared" si="2"/>
        <v>79000.761772353668</v>
      </c>
      <c r="W5" s="132">
        <f t="shared" si="2"/>
        <v>78188.140716628055</v>
      </c>
      <c r="X5" s="132">
        <f t="shared" si="2"/>
        <v>77380.468556577733</v>
      </c>
      <c r="Y5" s="132">
        <f t="shared" si="2"/>
        <v>76577.74529220273</v>
      </c>
      <c r="Z5" s="132">
        <f t="shared" si="2"/>
        <v>75779.970923503046</v>
      </c>
      <c r="AA5" s="132">
        <f t="shared" si="2"/>
        <v>74987.145450478682</v>
      </c>
      <c r="AB5" s="132">
        <f t="shared" si="2"/>
        <v>74199.268873129637</v>
      </c>
      <c r="AC5" s="132">
        <f t="shared" si="2"/>
        <v>74199.268873129637</v>
      </c>
      <c r="AD5" s="132">
        <f t="shared" si="2"/>
        <v>70023.009163537281</v>
      </c>
      <c r="AE5" s="132">
        <f t="shared" si="2"/>
        <v>66923.391040366289</v>
      </c>
      <c r="AF5" s="132">
        <f t="shared" si="2"/>
        <v>67158.401674034758</v>
      </c>
      <c r="AG5" s="132">
        <f t="shared" si="2"/>
        <v>69619.176792301107</v>
      </c>
      <c r="AH5" s="132">
        <f t="shared" si="2"/>
        <v>76046.03701770131</v>
      </c>
      <c r="AI5" s="133"/>
      <c r="AJ5" s="133"/>
      <c r="AK5" s="133"/>
      <c r="AL5" s="133"/>
      <c r="AM5" s="133"/>
      <c r="AN5" s="133"/>
      <c r="AO5" s="133"/>
    </row>
    <row r="6" spans="1:183" s="134" customFormat="1" ht="15" customHeight="1">
      <c r="A6" s="130" t="s">
        <v>136</v>
      </c>
      <c r="B6" s="131"/>
      <c r="C6" s="132">
        <f>SUM(C7:C10)</f>
        <v>0</v>
      </c>
      <c r="D6" s="132">
        <f>SUM(D7:D10)</f>
        <v>0</v>
      </c>
      <c r="E6" s="132">
        <f t="shared" ref="E6:AH6" si="3">SUM(E7:E10)</f>
        <v>0</v>
      </c>
      <c r="F6" s="132">
        <f t="shared" si="3"/>
        <v>630.6846261160714</v>
      </c>
      <c r="G6" s="132">
        <f t="shared" si="3"/>
        <v>293.44658350746215</v>
      </c>
      <c r="H6" s="132">
        <f t="shared" si="3"/>
        <v>-43.791459101147097</v>
      </c>
      <c r="I6" s="132">
        <f t="shared" si="3"/>
        <v>2618.9704982902435</v>
      </c>
      <c r="J6" s="132">
        <f t="shared" si="3"/>
        <v>2281.7324556816343</v>
      </c>
      <c r="K6" s="132">
        <f t="shared" si="3"/>
        <v>1944.494413073025</v>
      </c>
      <c r="L6" s="132">
        <f t="shared" si="3"/>
        <v>1607.2563704644158</v>
      </c>
      <c r="M6" s="132">
        <f t="shared" si="3"/>
        <v>50.469036438450075</v>
      </c>
      <c r="N6" s="132">
        <f t="shared" si="3"/>
        <v>-1501.3694019121986</v>
      </c>
      <c r="O6" s="132">
        <f t="shared" si="3"/>
        <v>-3048.2589445875306</v>
      </c>
      <c r="P6" s="132">
        <f t="shared" si="3"/>
        <v>-3048.2589445875306</v>
      </c>
      <c r="Q6" s="132">
        <f t="shared" si="3"/>
        <v>-3357.8390123800523</v>
      </c>
      <c r="R6" s="132">
        <f t="shared" si="3"/>
        <v>-3662.4701844972574</v>
      </c>
      <c r="S6" s="132">
        <f t="shared" si="3"/>
        <v>-3962.1524609391458</v>
      </c>
      <c r="T6" s="132">
        <f t="shared" si="3"/>
        <v>-4256.8858417057172</v>
      </c>
      <c r="U6" s="132">
        <f t="shared" si="3"/>
        <v>-4546.6703267969724</v>
      </c>
      <c r="V6" s="132">
        <f t="shared" si="3"/>
        <v>-4831.505916212911</v>
      </c>
      <c r="W6" s="132">
        <f t="shared" si="3"/>
        <v>-5111.3926099535329</v>
      </c>
      <c r="X6" s="132">
        <f t="shared" si="3"/>
        <v>-5386.3304080188373</v>
      </c>
      <c r="Y6" s="132">
        <f t="shared" si="3"/>
        <v>-5656.319310408825</v>
      </c>
      <c r="Z6" s="132">
        <f t="shared" si="3"/>
        <v>-5921.3593171234961</v>
      </c>
      <c r="AA6" s="132">
        <f t="shared" si="3"/>
        <v>-6181.4504281628506</v>
      </c>
      <c r="AB6" s="132">
        <f t="shared" si="3"/>
        <v>-6436.5926435268884</v>
      </c>
      <c r="AC6" s="132">
        <f t="shared" si="3"/>
        <v>-6436.5926435268884</v>
      </c>
      <c r="AD6" s="132">
        <f t="shared" si="3"/>
        <v>-3621.8363501473855</v>
      </c>
      <c r="AE6" s="132">
        <f t="shared" si="3"/>
        <v>-1399.9134896783694</v>
      </c>
      <c r="AF6" s="132">
        <f t="shared" si="3"/>
        <v>2168.6536311137402</v>
      </c>
      <c r="AG6" s="132">
        <f t="shared" si="3"/>
        <v>7962.9852365037204</v>
      </c>
      <c r="AH6" s="132">
        <f t="shared" si="3"/>
        <v>17723.401949027564</v>
      </c>
    </row>
    <row r="7" spans="1:183" ht="15" customHeight="1">
      <c r="A7" s="135" t="s">
        <v>137</v>
      </c>
      <c r="B7" s="131"/>
      <c r="C7" s="136"/>
      <c r="D7" s="136">
        <f>'1-Ф3'!D36</f>
        <v>0</v>
      </c>
      <c r="E7" s="136">
        <f>'1-Ф3'!E36</f>
        <v>0</v>
      </c>
      <c r="F7" s="136">
        <f>'1-Ф3'!F36</f>
        <v>0</v>
      </c>
      <c r="G7" s="136">
        <f>'1-Ф3'!G36</f>
        <v>-337.23804260860925</v>
      </c>
      <c r="H7" s="136">
        <f>'1-Ф3'!H36</f>
        <v>-674.4760852172185</v>
      </c>
      <c r="I7" s="136">
        <f>'1-Ф3'!I36</f>
        <v>1988.2858721741723</v>
      </c>
      <c r="J7" s="136">
        <f>'1-Ф3'!J36</f>
        <v>1651.047829565563</v>
      </c>
      <c r="K7" s="136">
        <f>'1-Ф3'!K36</f>
        <v>1313.8097869569538</v>
      </c>
      <c r="L7" s="136">
        <f>'1-Ф3'!L36</f>
        <v>976.57174434834451</v>
      </c>
      <c r="M7" s="136">
        <f>'1-Ф3'!M36</f>
        <v>-580.21558967762132</v>
      </c>
      <c r="N7" s="136">
        <f>'1-Ф3'!N36</f>
        <v>-2132.0540280282698</v>
      </c>
      <c r="O7" s="136">
        <f>'1-Ф3'!O36</f>
        <v>-3678.9435707036018</v>
      </c>
      <c r="P7" s="136">
        <f>'1-Ф3'!P36</f>
        <v>-3678.9435707036018</v>
      </c>
      <c r="Q7" s="136">
        <f>'1-Ф3'!Q36</f>
        <v>-3988.5236384961236</v>
      </c>
      <c r="R7" s="136">
        <f>'1-Ф3'!R36</f>
        <v>-4293.1548106133287</v>
      </c>
      <c r="S7" s="136">
        <f>'1-Ф3'!S36</f>
        <v>-4592.8370870552171</v>
      </c>
      <c r="T7" s="136">
        <f>'1-Ф3'!T36</f>
        <v>-4887.570467821789</v>
      </c>
      <c r="U7" s="136">
        <f>'1-Ф3'!U36</f>
        <v>-5177.3549529130441</v>
      </c>
      <c r="V7" s="136">
        <f>'1-Ф3'!V36</f>
        <v>-5462.1905423289827</v>
      </c>
      <c r="W7" s="136">
        <f>'1-Ф3'!W36</f>
        <v>-5742.0772360696046</v>
      </c>
      <c r="X7" s="136">
        <f>'1-Ф3'!X36</f>
        <v>-6017.015034134909</v>
      </c>
      <c r="Y7" s="136">
        <f>'1-Ф3'!Y36</f>
        <v>-6287.0039365248967</v>
      </c>
      <c r="Z7" s="136">
        <f>'1-Ф3'!Z36</f>
        <v>-6552.0439432395679</v>
      </c>
      <c r="AA7" s="136">
        <f>'1-Ф3'!AA36</f>
        <v>-6812.1350542789223</v>
      </c>
      <c r="AB7" s="136">
        <f>'1-Ф3'!AB36</f>
        <v>-7067.2772696429602</v>
      </c>
      <c r="AC7" s="136">
        <f>'1-Ф3'!AC36</f>
        <v>-7067.2772696429602</v>
      </c>
      <c r="AD7" s="136">
        <f>'1-Ф3'!AD36</f>
        <v>-4252.5209762634568</v>
      </c>
      <c r="AE7" s="136">
        <f>'1-Ф3'!AE36</f>
        <v>-2030.5981157944407</v>
      </c>
      <c r="AF7" s="136">
        <f>'1-Ф3'!AF36</f>
        <v>1537.9690049976689</v>
      </c>
      <c r="AG7" s="136">
        <f>'1-Ф3'!AG36</f>
        <v>7332.3006103876487</v>
      </c>
      <c r="AH7" s="136">
        <f>'1-Ф3'!AH36</f>
        <v>17092.717322911492</v>
      </c>
    </row>
    <row r="8" spans="1:183" ht="15" customHeight="1">
      <c r="A8" s="135" t="s">
        <v>138</v>
      </c>
      <c r="B8" s="131"/>
      <c r="C8" s="136"/>
      <c r="D8" s="136">
        <f>C8+'2-ф2'!D5-'1-Ф3'!D9/Исх!$C$18</f>
        <v>0</v>
      </c>
      <c r="E8" s="136">
        <f>D8+'2-ф2'!E5-'1-Ф3'!E9/Исх!$C$18</f>
        <v>0</v>
      </c>
      <c r="F8" s="136">
        <f>E8+'2-ф2'!F5-'1-Ф3'!F9/Исх!$C$18</f>
        <v>0</v>
      </c>
      <c r="G8" s="136">
        <f>F8+'2-ф2'!G5-'1-Ф3'!G9/Исх!$C$18</f>
        <v>0</v>
      </c>
      <c r="H8" s="136">
        <f>G8+'2-ф2'!H5-'1-Ф3'!H9/Исх!$C$18</f>
        <v>0</v>
      </c>
      <c r="I8" s="136">
        <f>H8+'2-ф2'!I5-'1-Ф3'!I9/Исх!$C$18</f>
        <v>0</v>
      </c>
      <c r="J8" s="136">
        <f>I8+'2-ф2'!J5-'1-Ф3'!J9/Исх!$C$18</f>
        <v>0</v>
      </c>
      <c r="K8" s="136">
        <f>J8+'2-ф2'!K5-'1-Ф3'!K9/Исх!$C$18</f>
        <v>0</v>
      </c>
      <c r="L8" s="136">
        <f>K8+'2-ф2'!L5-'1-Ф3'!L9/Исх!$C$18</f>
        <v>0</v>
      </c>
      <c r="M8" s="136">
        <f>L8+'2-ф2'!M5-'1-Ф3'!M9/Исх!$C$18</f>
        <v>0</v>
      </c>
      <c r="N8" s="136">
        <f>M8+'2-ф2'!N5-'1-Ф3'!N9/Исх!$C$18</f>
        <v>0</v>
      </c>
      <c r="O8" s="136">
        <f>N8+'2-ф2'!O5-'1-Ф3'!O9/Исх!$C$18</f>
        <v>0</v>
      </c>
      <c r="P8" s="136">
        <f>O8</f>
        <v>0</v>
      </c>
      <c r="Q8" s="136">
        <f>P8+'2-ф2'!Q5-'1-Ф3'!Q9/Исх!$C$18</f>
        <v>0</v>
      </c>
      <c r="R8" s="136">
        <f>Q8+'2-ф2'!R5-'1-Ф3'!R9/Исх!$C$18</f>
        <v>0</v>
      </c>
      <c r="S8" s="136">
        <f>R8+'2-ф2'!S5-'1-Ф3'!S9/Исх!$C$18</f>
        <v>0</v>
      </c>
      <c r="T8" s="136">
        <f>S8+'2-ф2'!T5-'1-Ф3'!T9/Исх!$C$18</f>
        <v>0</v>
      </c>
      <c r="U8" s="136">
        <f>T8+'2-ф2'!U5-'1-Ф3'!U9/Исх!$C$18</f>
        <v>0</v>
      </c>
      <c r="V8" s="136">
        <f>U8+'2-ф2'!V5-'1-Ф3'!V9/Исх!$C$18</f>
        <v>0</v>
      </c>
      <c r="W8" s="136">
        <f>V8+'2-ф2'!W5-'1-Ф3'!W9/Исх!$C$18</f>
        <v>0</v>
      </c>
      <c r="X8" s="136">
        <f>W8+'2-ф2'!X5-'1-Ф3'!X9/Исх!$C$18</f>
        <v>0</v>
      </c>
      <c r="Y8" s="136">
        <f>X8+'2-ф2'!Y5-'1-Ф3'!Y9/Исх!$C$18</f>
        <v>0</v>
      </c>
      <c r="Z8" s="136">
        <f>Y8+'2-ф2'!Z5-'1-Ф3'!Z9/Исх!$C$18</f>
        <v>0</v>
      </c>
      <c r="AA8" s="136">
        <f>Z8+'2-ф2'!AA5-'1-Ф3'!AA9/Исх!$C$18</f>
        <v>0</v>
      </c>
      <c r="AB8" s="136">
        <f>AA8+'2-ф2'!AB5-'1-Ф3'!AB9/Исх!$C$18</f>
        <v>0</v>
      </c>
      <c r="AC8" s="136">
        <f>AB8</f>
        <v>0</v>
      </c>
      <c r="AD8" s="136">
        <f>AC8+'2-ф2'!AD5-'1-Ф3'!AD9/Исх!$C$18</f>
        <v>0</v>
      </c>
      <c r="AE8" s="136">
        <f>AD8+'2-ф2'!AE5-'1-Ф3'!AE9/Исх!$C$18</f>
        <v>0</v>
      </c>
      <c r="AF8" s="136">
        <f>AE8+'2-ф2'!AF5-'1-Ф3'!AF9/Исх!$C$18</f>
        <v>0</v>
      </c>
      <c r="AG8" s="136">
        <f>AF8+'2-ф2'!AG5-'1-Ф3'!AG9/Исх!$C$18</f>
        <v>0</v>
      </c>
      <c r="AH8" s="136">
        <f>AG8+'2-ф2'!AH5-'1-Ф3'!AH9/Исх!$C$18</f>
        <v>0</v>
      </c>
    </row>
    <row r="9" spans="1:183" ht="15" customHeight="1">
      <c r="A9" s="135" t="s">
        <v>139</v>
      </c>
      <c r="B9" s="131"/>
      <c r="C9" s="136"/>
      <c r="D9" s="136">
        <f>C9+'1-Ф3'!D13/Исх!$C$18-'2-ф2'!D9</f>
        <v>0</v>
      </c>
      <c r="E9" s="136">
        <f>D9+'1-Ф3'!E13/Исх!$C$18-'2-ф2'!E9</f>
        <v>0</v>
      </c>
      <c r="F9" s="136">
        <f>E9+'1-Ф3'!F13/Исх!$C$18-'2-ф2'!F9</f>
        <v>630.6846261160714</v>
      </c>
      <c r="G9" s="136">
        <f t="shared" ref="G9:I10" si="4">F9</f>
        <v>630.6846261160714</v>
      </c>
      <c r="H9" s="136">
        <f t="shared" si="4"/>
        <v>630.6846261160714</v>
      </c>
      <c r="I9" s="136">
        <f t="shared" si="4"/>
        <v>630.6846261160714</v>
      </c>
      <c r="J9" s="136">
        <f t="shared" ref="J9:O10" si="5">I9</f>
        <v>630.6846261160714</v>
      </c>
      <c r="K9" s="136">
        <f t="shared" si="5"/>
        <v>630.6846261160714</v>
      </c>
      <c r="L9" s="136">
        <f t="shared" si="5"/>
        <v>630.6846261160714</v>
      </c>
      <c r="M9" s="136">
        <f t="shared" si="5"/>
        <v>630.6846261160714</v>
      </c>
      <c r="N9" s="136">
        <f t="shared" si="5"/>
        <v>630.6846261160714</v>
      </c>
      <c r="O9" s="136">
        <f t="shared" si="5"/>
        <v>630.6846261160714</v>
      </c>
      <c r="P9" s="136">
        <f>O9</f>
        <v>630.6846261160714</v>
      </c>
      <c r="Q9" s="136">
        <f>O9</f>
        <v>630.6846261160714</v>
      </c>
      <c r="R9" s="136">
        <f t="shared" ref="R9:AB9" si="6">P9</f>
        <v>630.6846261160714</v>
      </c>
      <c r="S9" s="136">
        <f t="shared" si="6"/>
        <v>630.6846261160714</v>
      </c>
      <c r="T9" s="136">
        <f t="shared" si="6"/>
        <v>630.6846261160714</v>
      </c>
      <c r="U9" s="136">
        <f t="shared" si="6"/>
        <v>630.6846261160714</v>
      </c>
      <c r="V9" s="136">
        <f t="shared" si="6"/>
        <v>630.6846261160714</v>
      </c>
      <c r="W9" s="136">
        <f t="shared" si="6"/>
        <v>630.6846261160714</v>
      </c>
      <c r="X9" s="136">
        <f t="shared" si="6"/>
        <v>630.6846261160714</v>
      </c>
      <c r="Y9" s="136">
        <f t="shared" si="6"/>
        <v>630.6846261160714</v>
      </c>
      <c r="Z9" s="136">
        <f t="shared" si="6"/>
        <v>630.6846261160714</v>
      </c>
      <c r="AA9" s="136">
        <f t="shared" si="6"/>
        <v>630.6846261160714</v>
      </c>
      <c r="AB9" s="136">
        <f t="shared" si="6"/>
        <v>630.6846261160714</v>
      </c>
      <c r="AC9" s="136">
        <f>AB9</f>
        <v>630.6846261160714</v>
      </c>
      <c r="AD9" s="136">
        <f>AB9</f>
        <v>630.6846261160714</v>
      </c>
      <c r="AE9" s="136">
        <f>AC9</f>
        <v>630.6846261160714</v>
      </c>
      <c r="AF9" s="136">
        <f>AD9</f>
        <v>630.6846261160714</v>
      </c>
      <c r="AG9" s="136">
        <f>AE9</f>
        <v>630.6846261160714</v>
      </c>
      <c r="AH9" s="136">
        <f>AF9</f>
        <v>630.6846261160714</v>
      </c>
    </row>
    <row r="10" spans="1:183" ht="15" customHeight="1">
      <c r="A10" s="135" t="s">
        <v>140</v>
      </c>
      <c r="B10" s="131"/>
      <c r="C10" s="136"/>
      <c r="D10" s="136"/>
      <c r="E10" s="136"/>
      <c r="F10" s="136"/>
      <c r="G10" s="136">
        <f t="shared" si="4"/>
        <v>0</v>
      </c>
      <c r="H10" s="136">
        <f t="shared" si="4"/>
        <v>0</v>
      </c>
      <c r="I10" s="136">
        <f t="shared" si="4"/>
        <v>0</v>
      </c>
      <c r="J10" s="136">
        <f t="shared" si="5"/>
        <v>0</v>
      </c>
      <c r="K10" s="136">
        <f t="shared" si="5"/>
        <v>0</v>
      </c>
      <c r="L10" s="136">
        <f t="shared" si="5"/>
        <v>0</v>
      </c>
      <c r="M10" s="136">
        <f t="shared" si="5"/>
        <v>0</v>
      </c>
      <c r="N10" s="136">
        <f t="shared" si="5"/>
        <v>0</v>
      </c>
      <c r="O10" s="136">
        <f t="shared" si="5"/>
        <v>0</v>
      </c>
      <c r="P10" s="136">
        <f>O10</f>
        <v>0</v>
      </c>
      <c r="Q10" s="136">
        <f>P10+'1-Ф3'!Q13-'2-ф2'!Q9*Исх!$C$18</f>
        <v>0</v>
      </c>
      <c r="R10" s="136">
        <f>Q10+'1-Ф3'!R13-'2-ф2'!R9*Исх!$C$18</f>
        <v>0</v>
      </c>
      <c r="S10" s="136">
        <f>R10+'1-Ф3'!S13-'2-ф2'!S9*Исх!$C$18</f>
        <v>0</v>
      </c>
      <c r="T10" s="136">
        <f>S10+'1-Ф3'!T13-'2-ф2'!T9*Исх!$C$18</f>
        <v>0</v>
      </c>
      <c r="U10" s="136">
        <f>T10+'1-Ф3'!U13-'2-ф2'!U9*Исх!$C$18</f>
        <v>0</v>
      </c>
      <c r="V10" s="136">
        <f>U10+'1-Ф3'!V13-'2-ф2'!V9*Исх!$C$18</f>
        <v>0</v>
      </c>
      <c r="W10" s="136">
        <f>V10+'1-Ф3'!W13-'2-ф2'!W9*Исх!$C$18</f>
        <v>0</v>
      </c>
      <c r="X10" s="136">
        <f>W10+'1-Ф3'!X13-'2-ф2'!X9*Исх!$C$18</f>
        <v>0</v>
      </c>
      <c r="Y10" s="136">
        <f>X10+'1-Ф3'!Y13-'2-ф2'!Y9*Исх!$C$18</f>
        <v>0</v>
      </c>
      <c r="Z10" s="136">
        <f>Y10+'1-Ф3'!Z13-'2-ф2'!Z9*Исх!$C$18</f>
        <v>0</v>
      </c>
      <c r="AA10" s="136">
        <f>Z10+'1-Ф3'!AA13-'2-ф2'!AA9*Исх!$C$18</f>
        <v>0</v>
      </c>
      <c r="AB10" s="136">
        <f>AA10+'1-Ф3'!AB13-'2-ф2'!AB9*Исх!$C$18</f>
        <v>0</v>
      </c>
      <c r="AC10" s="136">
        <f>AB10</f>
        <v>0</v>
      </c>
      <c r="AD10" s="136">
        <f>AC10</f>
        <v>0</v>
      </c>
      <c r="AE10" s="136">
        <f>AD10</f>
        <v>0</v>
      </c>
      <c r="AF10" s="136">
        <f>AE10</f>
        <v>0</v>
      </c>
      <c r="AG10" s="136">
        <f>AF10</f>
        <v>0</v>
      </c>
      <c r="AH10" s="136">
        <f>AG10</f>
        <v>0</v>
      </c>
    </row>
    <row r="11" spans="1:183" ht="15" customHeight="1">
      <c r="A11" s="130" t="s">
        <v>141</v>
      </c>
      <c r="B11" s="131"/>
      <c r="C11" s="132">
        <f t="shared" ref="C11:AH11" si="7">SUM(C12:C14)</f>
        <v>0</v>
      </c>
      <c r="D11" s="132">
        <f t="shared" si="7"/>
        <v>7549.7645310277785</v>
      </c>
      <c r="E11" s="132">
        <f t="shared" si="7"/>
        <v>23393.462124369446</v>
      </c>
      <c r="F11" s="132">
        <f t="shared" si="7"/>
        <v>90598.720474703383</v>
      </c>
      <c r="G11" s="132">
        <f t="shared" si="7"/>
        <v>90202.048628678196</v>
      </c>
      <c r="H11" s="132">
        <f t="shared" si="7"/>
        <v>89805.376782652995</v>
      </c>
      <c r="I11" s="132">
        <f t="shared" si="7"/>
        <v>89408.704936627808</v>
      </c>
      <c r="J11" s="132">
        <f t="shared" si="7"/>
        <v>89012.033090602621</v>
      </c>
      <c r="K11" s="132">
        <f t="shared" si="7"/>
        <v>88615.36124457742</v>
      </c>
      <c r="L11" s="132">
        <f t="shared" si="7"/>
        <v>88218.689398552233</v>
      </c>
      <c r="M11" s="132">
        <f t="shared" si="7"/>
        <v>87822.017552527046</v>
      </c>
      <c r="N11" s="132">
        <f t="shared" si="7"/>
        <v>87425.345706501859</v>
      </c>
      <c r="O11" s="132">
        <f t="shared" si="7"/>
        <v>87028.673860476672</v>
      </c>
      <c r="P11" s="132">
        <f t="shared" si="7"/>
        <v>87028.673860476672</v>
      </c>
      <c r="Q11" s="132">
        <f t="shared" si="7"/>
        <v>86495.939498491658</v>
      </c>
      <c r="R11" s="132">
        <f t="shared" si="7"/>
        <v>85963.205136506644</v>
      </c>
      <c r="S11" s="132">
        <f t="shared" si="7"/>
        <v>85430.470774521629</v>
      </c>
      <c r="T11" s="132">
        <f t="shared" si="7"/>
        <v>84897.736412536615</v>
      </c>
      <c r="U11" s="132">
        <f t="shared" si="7"/>
        <v>84365.0020505516</v>
      </c>
      <c r="V11" s="132">
        <f t="shared" si="7"/>
        <v>83832.267688566586</v>
      </c>
      <c r="W11" s="132">
        <f t="shared" si="7"/>
        <v>83299.533326581586</v>
      </c>
      <c r="X11" s="132">
        <f t="shared" si="7"/>
        <v>82766.798964596572</v>
      </c>
      <c r="Y11" s="132">
        <f t="shared" si="7"/>
        <v>82234.064602611557</v>
      </c>
      <c r="Z11" s="132">
        <f t="shared" si="7"/>
        <v>81701.330240626543</v>
      </c>
      <c r="AA11" s="132">
        <f t="shared" si="7"/>
        <v>81168.595878641529</v>
      </c>
      <c r="AB11" s="132">
        <f t="shared" si="7"/>
        <v>80635.861516656529</v>
      </c>
      <c r="AC11" s="132">
        <f t="shared" si="7"/>
        <v>80635.861516656529</v>
      </c>
      <c r="AD11" s="132">
        <f t="shared" si="7"/>
        <v>73644.845513684661</v>
      </c>
      <c r="AE11" s="132">
        <f t="shared" si="7"/>
        <v>68323.304530044654</v>
      </c>
      <c r="AF11" s="132">
        <f t="shared" si="7"/>
        <v>64989.748042921019</v>
      </c>
      <c r="AG11" s="132">
        <f t="shared" si="7"/>
        <v>61656.191555797384</v>
      </c>
      <c r="AH11" s="132">
        <f t="shared" si="7"/>
        <v>58322.63506867375</v>
      </c>
    </row>
    <row r="12" spans="1:183">
      <c r="A12" s="135" t="s">
        <v>142</v>
      </c>
      <c r="B12" s="137"/>
      <c r="C12" s="136"/>
      <c r="D12" s="136">
        <f>C12+'1-Ф3'!D22/Исх!$C$18-'2-ф2'!D13</f>
        <v>6740.8611884176598</v>
      </c>
      <c r="E12" s="136">
        <f>D12+'1-Ф3'!E22/Исх!$C$18-'2-ф2'!E13</f>
        <v>20887.019753901292</v>
      </c>
      <c r="F12" s="136">
        <f>E12+'1-Ф3'!F22/Исх!$C$18-'2-ф2'!F13</f>
        <v>80824.141356758439</v>
      </c>
      <c r="G12" s="136">
        <f>F12+'1-Ф3'!G22/Исх!$C$18-'2-ф2'!G13</f>
        <v>80546.344982831462</v>
      </c>
      <c r="H12" s="136">
        <f>G12+'1-Ф3'!H22/Исх!$C$18-'2-ф2'!H13</f>
        <v>80268.548608904486</v>
      </c>
      <c r="I12" s="136">
        <f>H12+'1-Ф3'!I22/Исх!$C$18-'2-ф2'!I13</f>
        <v>79990.75223497751</v>
      </c>
      <c r="J12" s="136">
        <f>I12+'1-Ф3'!J22/Исх!$C$18-'2-ф2'!J13</f>
        <v>79712.955861050534</v>
      </c>
      <c r="K12" s="136">
        <f>J12+'1-Ф3'!K22/Исх!$C$18-'2-ф2'!K13</f>
        <v>79435.159487123557</v>
      </c>
      <c r="L12" s="136">
        <f>K12+'1-Ф3'!L22/Исх!$C$18-'2-ф2'!L13</f>
        <v>79157.363113196581</v>
      </c>
      <c r="M12" s="136">
        <f>L12+'1-Ф3'!M22/Исх!$C$18-'2-ф2'!M13</f>
        <v>78879.566739269605</v>
      </c>
      <c r="N12" s="136">
        <f>M12+'1-Ф3'!N22/Исх!$C$18-'2-ф2'!N13</f>
        <v>78601.770365342629</v>
      </c>
      <c r="O12" s="136">
        <f>N12+'1-Ф3'!O22/Исх!$C$18-'2-ф2'!O13</f>
        <v>78323.973991415653</v>
      </c>
      <c r="P12" s="136">
        <f>O12</f>
        <v>78323.973991415653</v>
      </c>
      <c r="Q12" s="136">
        <f>P12+'1-Ф3'!Q22/Исх!$C$18-'2-ф2'!Q13</f>
        <v>78046.177617488676</v>
      </c>
      <c r="R12" s="136">
        <f>Q12+'1-Ф3'!R22/Исх!$C$18-'2-ф2'!R13</f>
        <v>77768.3812435617</v>
      </c>
      <c r="S12" s="136">
        <f>R12+'1-Ф3'!S22/Исх!$C$18-'2-ф2'!S13</f>
        <v>77490.584869634724</v>
      </c>
      <c r="T12" s="136">
        <f>S12+'1-Ф3'!T22/Исх!$C$18-'2-ф2'!T13</f>
        <v>77212.788495707748</v>
      </c>
      <c r="U12" s="136">
        <f>T12+'1-Ф3'!U22/Исх!$C$18-'2-ф2'!U13</f>
        <v>76934.992121780771</v>
      </c>
      <c r="V12" s="136">
        <f>U12+'1-Ф3'!V22/Исх!$C$18-'2-ф2'!V13</f>
        <v>76657.195747853795</v>
      </c>
      <c r="W12" s="136">
        <f>V12+'1-Ф3'!W22/Исх!$C$18-'2-ф2'!W13</f>
        <v>76379.399373926819</v>
      </c>
      <c r="X12" s="136">
        <f>W12+'1-Ф3'!X22/Исх!$C$18-'2-ф2'!X13</f>
        <v>76101.602999999843</v>
      </c>
      <c r="Y12" s="136">
        <f>X12+'1-Ф3'!Y22/Исх!$C$18-'2-ф2'!Y13</f>
        <v>75823.806626072866</v>
      </c>
      <c r="Z12" s="136">
        <f>Y12+'1-Ф3'!Z22/Исх!$C$18-'2-ф2'!Z13</f>
        <v>75546.01025214589</v>
      </c>
      <c r="AA12" s="136">
        <f>Z12+'1-Ф3'!AA22/Исх!$C$18-'2-ф2'!AA13</f>
        <v>75268.213878218914</v>
      </c>
      <c r="AB12" s="136">
        <f>AA12+'1-Ф3'!AB22/Исх!$C$18-'2-ф2'!AB13</f>
        <v>74990.417504291938</v>
      </c>
      <c r="AC12" s="136">
        <f>AB12</f>
        <v>74990.417504291938</v>
      </c>
      <c r="AD12" s="136">
        <f>AC12+'1-Ф3'!AD22/Исх!$C$18-'2-ф2'!AD13</f>
        <v>71656.861017168296</v>
      </c>
      <c r="AE12" s="136">
        <f>AD12+'1-Ф3'!AE22/Исх!$C$18-'2-ф2'!AE13</f>
        <v>68323.304530044654</v>
      </c>
      <c r="AF12" s="136">
        <f>AE12+'1-Ф3'!AF22/Исх!$C$18-'2-ф2'!AF13</f>
        <v>64989.748042921019</v>
      </c>
      <c r="AG12" s="136">
        <f>AF12+'1-Ф3'!AG22/Исх!$C$18-'2-ф2'!AG13</f>
        <v>61656.191555797384</v>
      </c>
      <c r="AH12" s="136">
        <f>AG12+'1-Ф3'!AH22/Исх!$C$18-'2-ф2'!AH13</f>
        <v>58322.63506867375</v>
      </c>
    </row>
    <row r="13" spans="1:183" ht="15" hidden="1" customHeight="1">
      <c r="A13" s="135" t="s">
        <v>143</v>
      </c>
      <c r="B13" s="137"/>
      <c r="C13" s="136"/>
      <c r="D13" s="136">
        <f>C13</f>
        <v>0</v>
      </c>
      <c r="E13" s="136">
        <f>D13</f>
        <v>0</v>
      </c>
      <c r="F13" s="136">
        <f t="shared" ref="F13:AH14" si="8">E13</f>
        <v>0</v>
      </c>
      <c r="G13" s="136">
        <f t="shared" si="8"/>
        <v>0</v>
      </c>
      <c r="H13" s="136">
        <f t="shared" si="8"/>
        <v>0</v>
      </c>
      <c r="I13" s="136">
        <f t="shared" si="8"/>
        <v>0</v>
      </c>
      <c r="J13" s="136">
        <f t="shared" si="8"/>
        <v>0</v>
      </c>
      <c r="K13" s="136">
        <f t="shared" si="8"/>
        <v>0</v>
      </c>
      <c r="L13" s="136">
        <f t="shared" si="8"/>
        <v>0</v>
      </c>
      <c r="M13" s="136">
        <f t="shared" si="8"/>
        <v>0</v>
      </c>
      <c r="N13" s="136">
        <f t="shared" si="8"/>
        <v>0</v>
      </c>
      <c r="O13" s="136">
        <f t="shared" si="8"/>
        <v>0</v>
      </c>
      <c r="P13" s="136">
        <f t="shared" si="8"/>
        <v>0</v>
      </c>
      <c r="Q13" s="136">
        <f t="shared" si="8"/>
        <v>0</v>
      </c>
      <c r="R13" s="136">
        <f t="shared" si="8"/>
        <v>0</v>
      </c>
      <c r="S13" s="136">
        <f t="shared" si="8"/>
        <v>0</v>
      </c>
      <c r="T13" s="136">
        <f t="shared" si="8"/>
        <v>0</v>
      </c>
      <c r="U13" s="136">
        <f t="shared" si="8"/>
        <v>0</v>
      </c>
      <c r="V13" s="136">
        <f t="shared" si="8"/>
        <v>0</v>
      </c>
      <c r="W13" s="136">
        <f t="shared" si="8"/>
        <v>0</v>
      </c>
      <c r="X13" s="136">
        <f t="shared" si="8"/>
        <v>0</v>
      </c>
      <c r="Y13" s="136">
        <f t="shared" si="8"/>
        <v>0</v>
      </c>
      <c r="Z13" s="136">
        <f t="shared" si="8"/>
        <v>0</v>
      </c>
      <c r="AA13" s="136">
        <f t="shared" si="8"/>
        <v>0</v>
      </c>
      <c r="AB13" s="136">
        <f t="shared" si="8"/>
        <v>0</v>
      </c>
      <c r="AC13" s="136">
        <f t="shared" si="8"/>
        <v>0</v>
      </c>
      <c r="AD13" s="136">
        <f t="shared" si="8"/>
        <v>0</v>
      </c>
      <c r="AE13" s="136">
        <f t="shared" si="8"/>
        <v>0</v>
      </c>
      <c r="AF13" s="136">
        <f t="shared" si="8"/>
        <v>0</v>
      </c>
      <c r="AG13" s="136">
        <f t="shared" si="8"/>
        <v>0</v>
      </c>
      <c r="AH13" s="136">
        <f t="shared" si="8"/>
        <v>0</v>
      </c>
    </row>
    <row r="14" spans="1:183">
      <c r="A14" s="135" t="s">
        <v>144</v>
      </c>
      <c r="B14" s="137"/>
      <c r="C14" s="136"/>
      <c r="D14" s="136">
        <f>IF('2-ф2'!D30&lt;0,-'2-ф2'!D30,0)</f>
        <v>808.90334261011913</v>
      </c>
      <c r="E14" s="136">
        <f>IF('2-ф2'!E30&lt;0,-'2-ф2'!E30,0)</f>
        <v>2506.4423704681549</v>
      </c>
      <c r="F14" s="136">
        <f>IF('2-ф2'!F30&lt;0,-'2-ф2'!F30,0)</f>
        <v>9774.5791179449407</v>
      </c>
      <c r="G14" s="136">
        <f>IF('2-ф2'!G30&lt;0,-'2-ф2'!G30,0)</f>
        <v>9655.7036458467264</v>
      </c>
      <c r="H14" s="136">
        <f>IF('2-ф2'!H30&lt;0,-'2-ф2'!H30,0)</f>
        <v>9536.8281737485122</v>
      </c>
      <c r="I14" s="136">
        <f>IF('2-ф2'!I30&lt;0,-'2-ф2'!I30,0)</f>
        <v>9417.952701650298</v>
      </c>
      <c r="J14" s="136">
        <f>IF('2-ф2'!J30&lt;0,-'2-ф2'!J30,0)</f>
        <v>9299.0772295520837</v>
      </c>
      <c r="K14" s="136">
        <f>IF('2-ф2'!K30&lt;0,-'2-ф2'!K30,0)</f>
        <v>9180.2017574538695</v>
      </c>
      <c r="L14" s="136">
        <f>IF('2-ф2'!L30&lt;0,-'2-ф2'!L30,0)</f>
        <v>9061.3262853556553</v>
      </c>
      <c r="M14" s="136">
        <f>IF('2-ф2'!M30&lt;0,-'2-ф2'!M30,0)</f>
        <v>8942.450813257441</v>
      </c>
      <c r="N14" s="136">
        <f>IF('2-ф2'!N30&lt;0,-'2-ф2'!N30,0)</f>
        <v>8823.5753411592268</v>
      </c>
      <c r="O14" s="136">
        <f>IF('2-ф2'!O30&lt;0,-'2-ф2'!O30,0)</f>
        <v>8704.6998690610126</v>
      </c>
      <c r="P14" s="136">
        <f t="shared" si="8"/>
        <v>8704.6998690610126</v>
      </c>
      <c r="Q14" s="136">
        <f>IF('2-ф2'!Q30&lt;0,-'2-ф2'!Q30,0)</f>
        <v>8449.7618810029762</v>
      </c>
      <c r="R14" s="136">
        <f>IF('2-ф2'!R30&lt;0,-'2-ф2'!R30,0)</f>
        <v>8194.8238929449399</v>
      </c>
      <c r="S14" s="136">
        <f>IF('2-ф2'!S30&lt;0,-'2-ф2'!S30,0)</f>
        <v>7939.8859048869044</v>
      </c>
      <c r="T14" s="136">
        <f>IF('2-ф2'!T30&lt;0,-'2-ф2'!T30,0)</f>
        <v>7684.947916828869</v>
      </c>
      <c r="U14" s="136">
        <f>IF('2-ф2'!U30&lt;0,-'2-ф2'!U30,0)</f>
        <v>7430.0099287708335</v>
      </c>
      <c r="V14" s="136">
        <f>IF('2-ф2'!V30&lt;0,-'2-ф2'!V30,0)</f>
        <v>7175.0719407127981</v>
      </c>
      <c r="W14" s="136">
        <f>IF('2-ф2'!W30&lt;0,-'2-ф2'!W30,0)</f>
        <v>6920.1339526547627</v>
      </c>
      <c r="X14" s="136">
        <f>IF('2-ф2'!X30&lt;0,-'2-ф2'!X30,0)</f>
        <v>6665.1959645967272</v>
      </c>
      <c r="Y14" s="136">
        <f>IF('2-ф2'!Y30&lt;0,-'2-ф2'!Y30,0)</f>
        <v>6410.2579765386918</v>
      </c>
      <c r="Z14" s="136">
        <f>IF('2-ф2'!Z30&lt;0,-'2-ф2'!Z30,0)</f>
        <v>6155.3199884806563</v>
      </c>
      <c r="AA14" s="136">
        <f>IF('2-ф2'!AA30&lt;0,-'2-ф2'!AA30,0)</f>
        <v>5900.3820004226209</v>
      </c>
      <c r="AB14" s="136">
        <f>IF('2-ф2'!AB30&lt;0,-'2-ф2'!AB30,0)</f>
        <v>5645.4440123645854</v>
      </c>
      <c r="AC14" s="136">
        <f t="shared" si="8"/>
        <v>5645.4440123645854</v>
      </c>
      <c r="AD14" s="136">
        <f>IF('2-ф2'!AD30&lt;0,-'2-ф2'!AD30,0)</f>
        <v>1987.9844965163711</v>
      </c>
      <c r="AE14" s="136">
        <f>IF('2-ф2'!AE30&lt;0,-'2-ф2'!AE30,0)</f>
        <v>0</v>
      </c>
      <c r="AF14" s="136">
        <f>IF('2-ф2'!AF30&lt;0,-'2-ф2'!AF30,0)</f>
        <v>0</v>
      </c>
      <c r="AG14" s="136">
        <f>IF('2-ф2'!AG30&lt;0,-'2-ф2'!AG30,0)</f>
        <v>0</v>
      </c>
      <c r="AH14" s="136">
        <f>IF('2-ф2'!AH30&lt;0,-'2-ф2'!AH30,0)</f>
        <v>0</v>
      </c>
    </row>
    <row r="15" spans="1:183">
      <c r="A15" s="138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8"/>
      <c r="FF15" s="138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</row>
    <row r="16" spans="1:183" s="134" customFormat="1" ht="15" customHeight="1">
      <c r="A16" s="130" t="s">
        <v>145</v>
      </c>
      <c r="B16" s="131"/>
      <c r="C16" s="131">
        <f t="shared" ref="C16:AH16" si="9">C21+C24+C17</f>
        <v>0</v>
      </c>
      <c r="D16" s="131">
        <f t="shared" si="9"/>
        <v>7549.7645310277794</v>
      </c>
      <c r="E16" s="131">
        <f t="shared" si="9"/>
        <v>23393.462124369449</v>
      </c>
      <c r="F16" s="131">
        <f t="shared" si="9"/>
        <v>91229.405100819466</v>
      </c>
      <c r="G16" s="131">
        <f t="shared" si="9"/>
        <v>90495.495212185677</v>
      </c>
      <c r="H16" s="131">
        <f t="shared" si="9"/>
        <v>89761.585323551873</v>
      </c>
      <c r="I16" s="131">
        <f t="shared" si="9"/>
        <v>92027.675434918085</v>
      </c>
      <c r="J16" s="131">
        <f t="shared" si="9"/>
        <v>91293.765546284296</v>
      </c>
      <c r="K16" s="131">
        <f t="shared" si="9"/>
        <v>90559.855657650493</v>
      </c>
      <c r="L16" s="131">
        <f t="shared" si="9"/>
        <v>89825.945769016718</v>
      </c>
      <c r="M16" s="131">
        <f t="shared" si="9"/>
        <v>87872.486588965563</v>
      </c>
      <c r="N16" s="131">
        <f t="shared" si="9"/>
        <v>85923.976304589727</v>
      </c>
      <c r="O16" s="131">
        <f t="shared" si="9"/>
        <v>83980.414915889211</v>
      </c>
      <c r="P16" s="131">
        <f t="shared" si="9"/>
        <v>83980.414915889211</v>
      </c>
      <c r="Q16" s="131">
        <f t="shared" si="9"/>
        <v>83138.100486111682</v>
      </c>
      <c r="R16" s="131">
        <f t="shared" si="9"/>
        <v>82300.734952009472</v>
      </c>
      <c r="S16" s="131">
        <f t="shared" si="9"/>
        <v>81468.318313582567</v>
      </c>
      <c r="T16" s="131">
        <f t="shared" si="9"/>
        <v>80640.850570830997</v>
      </c>
      <c r="U16" s="131">
        <f t="shared" si="9"/>
        <v>79818.331723754731</v>
      </c>
      <c r="V16" s="131">
        <f t="shared" si="9"/>
        <v>79000.761772353784</v>
      </c>
      <c r="W16" s="131">
        <f t="shared" si="9"/>
        <v>78188.140716628172</v>
      </c>
      <c r="X16" s="131">
        <f t="shared" si="9"/>
        <v>77380.468556577864</v>
      </c>
      <c r="Y16" s="131">
        <f t="shared" si="9"/>
        <v>76577.745292202861</v>
      </c>
      <c r="Z16" s="131">
        <f t="shared" si="9"/>
        <v>75779.970923503191</v>
      </c>
      <c r="AA16" s="131">
        <f t="shared" si="9"/>
        <v>74987.145450478827</v>
      </c>
      <c r="AB16" s="131">
        <f t="shared" si="9"/>
        <v>74199.268873129782</v>
      </c>
      <c r="AC16" s="131">
        <f t="shared" si="9"/>
        <v>74199.268873129782</v>
      </c>
      <c r="AD16" s="131">
        <f t="shared" si="9"/>
        <v>68035.024667021062</v>
      </c>
      <c r="AE16" s="131">
        <f t="shared" si="9"/>
        <v>66923.391040366434</v>
      </c>
      <c r="AF16" s="131">
        <f t="shared" si="9"/>
        <v>67158.401674034918</v>
      </c>
      <c r="AG16" s="131">
        <f t="shared" si="9"/>
        <v>69619.176792301267</v>
      </c>
      <c r="AH16" s="131">
        <f t="shared" si="9"/>
        <v>76046.037017701456</v>
      </c>
      <c r="AI16" s="133"/>
      <c r="AJ16" s="133"/>
      <c r="AK16" s="133"/>
      <c r="AL16" s="133"/>
      <c r="AM16" s="133"/>
      <c r="AN16" s="133"/>
      <c r="AO16" s="133"/>
    </row>
    <row r="17" spans="1:35" ht="15" customHeight="1">
      <c r="A17" s="130" t="s">
        <v>146</v>
      </c>
      <c r="B17" s="131"/>
      <c r="C17" s="131">
        <f t="shared" ref="C17:AH17" si="10">SUM(C18:C20)</f>
        <v>0</v>
      </c>
      <c r="D17" s="131">
        <f t="shared" si="10"/>
        <v>0</v>
      </c>
      <c r="E17" s="131">
        <f t="shared" si="10"/>
        <v>28.626190513480335</v>
      </c>
      <c r="F17" s="131">
        <f t="shared" si="10"/>
        <v>117.32640106838117</v>
      </c>
      <c r="G17" s="131">
        <f t="shared" si="10"/>
        <v>463.23789540898832</v>
      </c>
      <c r="H17" s="131">
        <f t="shared" si="10"/>
        <v>809.14938974959546</v>
      </c>
      <c r="I17" s="131">
        <f t="shared" si="10"/>
        <v>1155.0608840902025</v>
      </c>
      <c r="J17" s="131">
        <f t="shared" si="10"/>
        <v>1513.2223784308096</v>
      </c>
      <c r="K17" s="131">
        <f t="shared" si="10"/>
        <v>1871.3838727714167</v>
      </c>
      <c r="L17" s="131">
        <f t="shared" si="10"/>
        <v>0</v>
      </c>
      <c r="M17" s="131">
        <f t="shared" si="10"/>
        <v>0</v>
      </c>
      <c r="N17" s="131">
        <f t="shared" si="10"/>
        <v>0</v>
      </c>
      <c r="O17" s="131">
        <f t="shared" si="10"/>
        <v>0</v>
      </c>
      <c r="P17" s="131">
        <f t="shared" si="10"/>
        <v>0</v>
      </c>
      <c r="Q17" s="131">
        <f t="shared" si="10"/>
        <v>0</v>
      </c>
      <c r="R17" s="131">
        <f t="shared" si="10"/>
        <v>0</v>
      </c>
      <c r="S17" s="131">
        <f t="shared" si="10"/>
        <v>0</v>
      </c>
      <c r="T17" s="131">
        <f t="shared" si="10"/>
        <v>0</v>
      </c>
      <c r="U17" s="131">
        <f t="shared" si="10"/>
        <v>0</v>
      </c>
      <c r="V17" s="131">
        <f t="shared" si="10"/>
        <v>0</v>
      </c>
      <c r="W17" s="131">
        <f t="shared" si="10"/>
        <v>0</v>
      </c>
      <c r="X17" s="131">
        <f t="shared" si="10"/>
        <v>0</v>
      </c>
      <c r="Y17" s="131">
        <f t="shared" si="10"/>
        <v>0</v>
      </c>
      <c r="Z17" s="131">
        <f t="shared" si="10"/>
        <v>0</v>
      </c>
      <c r="AA17" s="131">
        <f t="shared" si="10"/>
        <v>0</v>
      </c>
      <c r="AB17" s="131">
        <f t="shared" si="10"/>
        <v>0</v>
      </c>
      <c r="AC17" s="131">
        <f t="shared" si="10"/>
        <v>0</v>
      </c>
      <c r="AD17" s="131">
        <f t="shared" si="10"/>
        <v>0</v>
      </c>
      <c r="AE17" s="131">
        <f t="shared" si="10"/>
        <v>0</v>
      </c>
      <c r="AF17" s="131">
        <f t="shared" si="10"/>
        <v>0</v>
      </c>
      <c r="AG17" s="131">
        <f t="shared" si="10"/>
        <v>0</v>
      </c>
      <c r="AH17" s="131">
        <f t="shared" si="10"/>
        <v>0</v>
      </c>
    </row>
    <row r="18" spans="1:35" hidden="1">
      <c r="A18" s="135" t="s">
        <v>147</v>
      </c>
      <c r="B18" s="137"/>
      <c r="C18" s="137"/>
      <c r="D18" s="137">
        <f>C18</f>
        <v>0</v>
      </c>
      <c r="E18" s="137">
        <f>D18</f>
        <v>0</v>
      </c>
      <c r="F18" s="137">
        <f t="shared" ref="F18:O18" si="11">E18</f>
        <v>0</v>
      </c>
      <c r="G18" s="137">
        <f t="shared" si="11"/>
        <v>0</v>
      </c>
      <c r="H18" s="137">
        <f t="shared" si="11"/>
        <v>0</v>
      </c>
      <c r="I18" s="137">
        <f t="shared" si="11"/>
        <v>0</v>
      </c>
      <c r="J18" s="137">
        <f t="shared" si="11"/>
        <v>0</v>
      </c>
      <c r="K18" s="137">
        <f t="shared" si="11"/>
        <v>0</v>
      </c>
      <c r="L18" s="137">
        <f t="shared" si="11"/>
        <v>0</v>
      </c>
      <c r="M18" s="137">
        <f t="shared" si="11"/>
        <v>0</v>
      </c>
      <c r="N18" s="137">
        <f t="shared" si="11"/>
        <v>0</v>
      </c>
      <c r="O18" s="137">
        <f t="shared" si="11"/>
        <v>0</v>
      </c>
      <c r="P18" s="137">
        <f>O18</f>
        <v>0</v>
      </c>
      <c r="Q18" s="137">
        <f>P18</f>
        <v>0</v>
      </c>
      <c r="R18" s="137">
        <f>Q18</f>
        <v>0</v>
      </c>
      <c r="S18" s="137">
        <f>R18</f>
        <v>0</v>
      </c>
      <c r="T18" s="137">
        <f>S18</f>
        <v>0</v>
      </c>
      <c r="U18" s="137">
        <f t="shared" ref="U18:AF18" si="12">T18</f>
        <v>0</v>
      </c>
      <c r="V18" s="137">
        <f t="shared" si="12"/>
        <v>0</v>
      </c>
      <c r="W18" s="137">
        <f t="shared" si="12"/>
        <v>0</v>
      </c>
      <c r="X18" s="137">
        <f t="shared" si="12"/>
        <v>0</v>
      </c>
      <c r="Y18" s="137">
        <f t="shared" si="12"/>
        <v>0</v>
      </c>
      <c r="Z18" s="137">
        <f t="shared" si="12"/>
        <v>0</v>
      </c>
      <c r="AA18" s="137">
        <f t="shared" si="12"/>
        <v>0</v>
      </c>
      <c r="AB18" s="137">
        <f t="shared" si="12"/>
        <v>0</v>
      </c>
      <c r="AC18" s="137">
        <f t="shared" si="12"/>
        <v>0</v>
      </c>
      <c r="AD18" s="137">
        <f t="shared" si="12"/>
        <v>0</v>
      </c>
      <c r="AE18" s="137">
        <f t="shared" si="12"/>
        <v>0</v>
      </c>
      <c r="AF18" s="137">
        <f t="shared" si="12"/>
        <v>0</v>
      </c>
      <c r="AG18" s="137">
        <f>AF18</f>
        <v>0</v>
      </c>
      <c r="AH18" s="137">
        <f>AG18</f>
        <v>0</v>
      </c>
    </row>
    <row r="19" spans="1:35" ht="25.5">
      <c r="A19" s="135" t="s">
        <v>148</v>
      </c>
      <c r="B19" s="137"/>
      <c r="C19" s="137"/>
      <c r="D19" s="137">
        <f>C19+'2-ф2'!D14-'1-Ф3'!D16-кр!C8</f>
        <v>0</v>
      </c>
      <c r="E19" s="137">
        <f>D19+'2-ф2'!E14-'1-Ф3'!E16-кр!D8</f>
        <v>28.626190513480335</v>
      </c>
      <c r="F19" s="137">
        <f>E19+'2-ф2'!F14-'1-Ф3'!F16-кр!E8</f>
        <v>117.32640106838117</v>
      </c>
      <c r="G19" s="137">
        <f>F19+'2-ф2'!G14-'1-Ф3'!G16-кр!F8</f>
        <v>463.23789540898832</v>
      </c>
      <c r="H19" s="137">
        <f>G19+'2-ф2'!H14-'1-Ф3'!H16-кр!G8</f>
        <v>809.14938974959546</v>
      </c>
      <c r="I19" s="137">
        <f>H19+'2-ф2'!I14-'1-Ф3'!I16-кр!H8</f>
        <v>1155.0608840902025</v>
      </c>
      <c r="J19" s="137">
        <f>I19+'2-ф2'!J14-'1-Ф3'!J16-кр!I8</f>
        <v>1513.2223784308096</v>
      </c>
      <c r="K19" s="137">
        <f>J19+'2-ф2'!K14-'1-Ф3'!K16-кр!J8</f>
        <v>1871.3838727714167</v>
      </c>
      <c r="L19" s="137">
        <f>K19+'2-ф2'!L14-'1-Ф3'!L16-кр!K8</f>
        <v>0</v>
      </c>
      <c r="M19" s="137">
        <f>L19+'2-ф2'!M14-'1-Ф3'!M16-кр!L8</f>
        <v>0</v>
      </c>
      <c r="N19" s="137">
        <f>M19+'2-ф2'!N14-'1-Ф3'!N16-кр!M8</f>
        <v>0</v>
      </c>
      <c r="O19" s="137">
        <f>N19+'2-ф2'!O14-'1-Ф3'!O16-кр!N8</f>
        <v>0</v>
      </c>
      <c r="P19" s="137">
        <f>O19</f>
        <v>0</v>
      </c>
      <c r="Q19" s="137">
        <f>P19+'2-ф2'!Q14-'1-Ф3'!Q16</f>
        <v>0</v>
      </c>
      <c r="R19" s="137">
        <f>Q19+'2-ф2'!R14-'1-Ф3'!R16</f>
        <v>0</v>
      </c>
      <c r="S19" s="137">
        <f>R19+'2-ф2'!S14-'1-Ф3'!S16</f>
        <v>0</v>
      </c>
      <c r="T19" s="137">
        <f>S19+'2-ф2'!T14-'1-Ф3'!T16</f>
        <v>0</v>
      </c>
      <c r="U19" s="137">
        <f>T19+'2-ф2'!U14-'1-Ф3'!U16</f>
        <v>0</v>
      </c>
      <c r="V19" s="137">
        <f>U19+'2-ф2'!V14-'1-Ф3'!V16</f>
        <v>0</v>
      </c>
      <c r="W19" s="137">
        <f>V19+'2-ф2'!W14-'1-Ф3'!W16</f>
        <v>0</v>
      </c>
      <c r="X19" s="137">
        <f>W19+'2-ф2'!X14-'1-Ф3'!X16</f>
        <v>0</v>
      </c>
      <c r="Y19" s="137">
        <f>X19+'2-ф2'!Y14-'1-Ф3'!Y16</f>
        <v>0</v>
      </c>
      <c r="Z19" s="137">
        <f>Y19+'2-ф2'!Z14-'1-Ф3'!Z16</f>
        <v>0</v>
      </c>
      <c r="AA19" s="137">
        <f>Z19+'2-ф2'!AA14-'1-Ф3'!AA16</f>
        <v>0</v>
      </c>
      <c r="AB19" s="137">
        <f>AA19+'2-ф2'!AB14-'1-Ф3'!AB16</f>
        <v>0</v>
      </c>
      <c r="AC19" s="137">
        <f>AB19</f>
        <v>0</v>
      </c>
      <c r="AD19" s="137">
        <f>AC19+'2-ф2'!AD14-'1-Ф3'!AD16</f>
        <v>0</v>
      </c>
      <c r="AE19" s="137">
        <f>AD19+'2-ф2'!AE14-'1-Ф3'!AE16</f>
        <v>0</v>
      </c>
      <c r="AF19" s="137">
        <f>AE19+'2-ф2'!AF14-'1-Ф3'!AF16</f>
        <v>0</v>
      </c>
      <c r="AG19" s="137">
        <f>AF19+'2-ф2'!AG14-'1-Ф3'!AG16</f>
        <v>0</v>
      </c>
      <c r="AH19" s="137">
        <f>AG19+'2-ф2'!AH14-'1-Ф3'!AH16</f>
        <v>0</v>
      </c>
      <c r="AI19" s="124"/>
    </row>
    <row r="20" spans="1:35">
      <c r="A20" s="135" t="s">
        <v>150</v>
      </c>
      <c r="B20" s="137"/>
      <c r="C20" s="137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7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7">
        <f>AB20</f>
        <v>0</v>
      </c>
      <c r="AD20" s="137"/>
      <c r="AE20" s="137"/>
      <c r="AF20" s="137"/>
      <c r="AG20" s="137"/>
      <c r="AH20" s="137"/>
    </row>
    <row r="21" spans="1:35" ht="15" customHeight="1">
      <c r="A21" s="130" t="s">
        <v>151</v>
      </c>
      <c r="B21" s="131"/>
      <c r="C21" s="131">
        <f t="shared" ref="C21:AH21" si="13">SUM(C22:C23)</f>
        <v>0</v>
      </c>
      <c r="D21" s="131">
        <f t="shared" si="13"/>
        <v>4907.3469451680567</v>
      </c>
      <c r="E21" s="131">
        <f t="shared" si="13"/>
        <v>15205.750380840142</v>
      </c>
      <c r="F21" s="131">
        <f t="shared" si="13"/>
        <v>59299.113315532653</v>
      </c>
      <c r="G21" s="131">
        <f t="shared" si="13"/>
        <v>59299.113315532653</v>
      </c>
      <c r="H21" s="131">
        <f t="shared" si="13"/>
        <v>59299.113315532653</v>
      </c>
      <c r="I21" s="131">
        <f t="shared" si="13"/>
        <v>61399.113315532653</v>
      </c>
      <c r="J21" s="131">
        <f t="shared" si="13"/>
        <v>61399.113315532653</v>
      </c>
      <c r="K21" s="131">
        <f t="shared" si="13"/>
        <v>61399.113315532653</v>
      </c>
      <c r="L21" s="131">
        <f t="shared" si="13"/>
        <v>63628.65868264468</v>
      </c>
      <c r="M21" s="131">
        <f t="shared" si="13"/>
        <v>62780.276566876084</v>
      </c>
      <c r="N21" s="131">
        <f t="shared" si="13"/>
        <v>61931.894451107488</v>
      </c>
      <c r="O21" s="131">
        <f t="shared" si="13"/>
        <v>61083.512335338892</v>
      </c>
      <c r="P21" s="131">
        <f t="shared" si="13"/>
        <v>61083.512335338892</v>
      </c>
      <c r="Q21" s="131">
        <f t="shared" si="13"/>
        <v>60235.130219570296</v>
      </c>
      <c r="R21" s="131">
        <f t="shared" si="13"/>
        <v>59386.748103801699</v>
      </c>
      <c r="S21" s="131">
        <f t="shared" si="13"/>
        <v>58538.365988033103</v>
      </c>
      <c r="T21" s="131">
        <f t="shared" si="13"/>
        <v>57689.983872264507</v>
      </c>
      <c r="U21" s="131">
        <f t="shared" si="13"/>
        <v>56841.601756495911</v>
      </c>
      <c r="V21" s="131">
        <f t="shared" si="13"/>
        <v>55993.219640727315</v>
      </c>
      <c r="W21" s="131">
        <f t="shared" si="13"/>
        <v>55144.837524958719</v>
      </c>
      <c r="X21" s="131">
        <f t="shared" si="13"/>
        <v>54296.455409190123</v>
      </c>
      <c r="Y21" s="131">
        <f t="shared" si="13"/>
        <v>53448.073293421527</v>
      </c>
      <c r="Z21" s="131">
        <f t="shared" si="13"/>
        <v>52599.69117765293</v>
      </c>
      <c r="AA21" s="131">
        <f t="shared" si="13"/>
        <v>51751.309061884334</v>
      </c>
      <c r="AB21" s="131">
        <f t="shared" si="13"/>
        <v>50902.926946115738</v>
      </c>
      <c r="AC21" s="131">
        <f t="shared" si="13"/>
        <v>50902.926946115738</v>
      </c>
      <c r="AD21" s="131">
        <f t="shared" si="13"/>
        <v>40722.341556892585</v>
      </c>
      <c r="AE21" s="131">
        <f t="shared" si="13"/>
        <v>30541.756167669431</v>
      </c>
      <c r="AF21" s="131">
        <f t="shared" si="13"/>
        <v>20361.170778446278</v>
      </c>
      <c r="AG21" s="131">
        <f t="shared" si="13"/>
        <v>10180.585389223124</v>
      </c>
      <c r="AH21" s="131">
        <f t="shared" si="13"/>
        <v>-2.7057467377744615E-11</v>
      </c>
    </row>
    <row r="22" spans="1:35">
      <c r="A22" s="135" t="s">
        <v>149</v>
      </c>
      <c r="B22" s="137"/>
      <c r="C22" s="131"/>
      <c r="D22" s="137">
        <f>кр!C12</f>
        <v>4907.3469451680567</v>
      </c>
      <c r="E22" s="137">
        <f>кр!D12</f>
        <v>15205.750380840142</v>
      </c>
      <c r="F22" s="137">
        <f>кр!E12</f>
        <v>59299.113315532653</v>
      </c>
      <c r="G22" s="137">
        <f>кр!F12</f>
        <v>59299.113315532653</v>
      </c>
      <c r="H22" s="137">
        <f>кр!G12</f>
        <v>59299.113315532653</v>
      </c>
      <c r="I22" s="137">
        <f>кр!H12</f>
        <v>61399.113315532653</v>
      </c>
      <c r="J22" s="137">
        <f>кр!I12</f>
        <v>61399.113315532653</v>
      </c>
      <c r="K22" s="137">
        <f>кр!J12</f>
        <v>61399.113315532653</v>
      </c>
      <c r="L22" s="137">
        <f>кр!K12</f>
        <v>63628.65868264468</v>
      </c>
      <c r="M22" s="137">
        <f>кр!L12</f>
        <v>62780.276566876084</v>
      </c>
      <c r="N22" s="137">
        <f>кр!M12</f>
        <v>61931.894451107488</v>
      </c>
      <c r="O22" s="137">
        <f>кр!N12</f>
        <v>61083.512335338892</v>
      </c>
      <c r="P22" s="137">
        <f>кр!O12</f>
        <v>61083.512335338892</v>
      </c>
      <c r="Q22" s="137">
        <f>кр!P12</f>
        <v>60235.130219570296</v>
      </c>
      <c r="R22" s="137">
        <f>кр!Q12</f>
        <v>59386.748103801699</v>
      </c>
      <c r="S22" s="137">
        <f>кр!R12</f>
        <v>58538.365988033103</v>
      </c>
      <c r="T22" s="137">
        <f>кр!S12</f>
        <v>57689.983872264507</v>
      </c>
      <c r="U22" s="137">
        <f>кр!T12</f>
        <v>56841.601756495911</v>
      </c>
      <c r="V22" s="137">
        <f>кр!U12</f>
        <v>55993.219640727315</v>
      </c>
      <c r="W22" s="137">
        <f>кр!V12</f>
        <v>55144.837524958719</v>
      </c>
      <c r="X22" s="137">
        <f>кр!W12</f>
        <v>54296.455409190123</v>
      </c>
      <c r="Y22" s="137">
        <f>кр!X12</f>
        <v>53448.073293421527</v>
      </c>
      <c r="Z22" s="137">
        <f>кр!Y12</f>
        <v>52599.69117765293</v>
      </c>
      <c r="AA22" s="137">
        <f>кр!Z12</f>
        <v>51751.309061884334</v>
      </c>
      <c r="AB22" s="137">
        <f>кр!AA12</f>
        <v>50902.926946115738</v>
      </c>
      <c r="AC22" s="137">
        <f>кр!AB12</f>
        <v>50902.926946115738</v>
      </c>
      <c r="AD22" s="137">
        <f>кр!AO12</f>
        <v>40722.341556892585</v>
      </c>
      <c r="AE22" s="137">
        <f>кр!BB12</f>
        <v>30541.756167669431</v>
      </c>
      <c r="AF22" s="137">
        <f>кр!BO12</f>
        <v>20361.170778446278</v>
      </c>
      <c r="AG22" s="137">
        <f>кр!CB12</f>
        <v>10180.585389223124</v>
      </c>
      <c r="AH22" s="137">
        <f>кр!CO12</f>
        <v>-2.7057467377744615E-11</v>
      </c>
    </row>
    <row r="23" spans="1:35" ht="15" hidden="1" customHeight="1">
      <c r="A23" s="135" t="s">
        <v>152</v>
      </c>
      <c r="B23" s="137"/>
      <c r="C23" s="137"/>
      <c r="D23" s="137">
        <f>C23</f>
        <v>0</v>
      </c>
      <c r="E23" s="137">
        <f>D23</f>
        <v>0</v>
      </c>
      <c r="F23" s="137">
        <f t="shared" ref="F23:AH23" si="14">E23</f>
        <v>0</v>
      </c>
      <c r="G23" s="137">
        <f t="shared" si="14"/>
        <v>0</v>
      </c>
      <c r="H23" s="137">
        <f t="shared" si="14"/>
        <v>0</v>
      </c>
      <c r="I23" s="137">
        <f t="shared" si="14"/>
        <v>0</v>
      </c>
      <c r="J23" s="137">
        <f t="shared" si="14"/>
        <v>0</v>
      </c>
      <c r="K23" s="137">
        <f t="shared" si="14"/>
        <v>0</v>
      </c>
      <c r="L23" s="137">
        <f t="shared" si="14"/>
        <v>0</v>
      </c>
      <c r="M23" s="137">
        <f t="shared" si="14"/>
        <v>0</v>
      </c>
      <c r="N23" s="137">
        <f t="shared" si="14"/>
        <v>0</v>
      </c>
      <c r="O23" s="137">
        <f t="shared" si="14"/>
        <v>0</v>
      </c>
      <c r="P23" s="137">
        <f t="shared" si="14"/>
        <v>0</v>
      </c>
      <c r="Q23" s="137">
        <f t="shared" si="14"/>
        <v>0</v>
      </c>
      <c r="R23" s="137">
        <f t="shared" si="14"/>
        <v>0</v>
      </c>
      <c r="S23" s="137">
        <f t="shared" si="14"/>
        <v>0</v>
      </c>
      <c r="T23" s="137">
        <f t="shared" si="14"/>
        <v>0</v>
      </c>
      <c r="U23" s="137">
        <f t="shared" si="14"/>
        <v>0</v>
      </c>
      <c r="V23" s="137">
        <f t="shared" si="14"/>
        <v>0</v>
      </c>
      <c r="W23" s="137">
        <f t="shared" si="14"/>
        <v>0</v>
      </c>
      <c r="X23" s="137">
        <f t="shared" si="14"/>
        <v>0</v>
      </c>
      <c r="Y23" s="137">
        <f t="shared" si="14"/>
        <v>0</v>
      </c>
      <c r="Z23" s="137">
        <f t="shared" si="14"/>
        <v>0</v>
      </c>
      <c r="AA23" s="137">
        <f t="shared" si="14"/>
        <v>0</v>
      </c>
      <c r="AB23" s="137">
        <f t="shared" si="14"/>
        <v>0</v>
      </c>
      <c r="AC23" s="131">
        <f>AB23</f>
        <v>0</v>
      </c>
      <c r="AD23" s="137">
        <f t="shared" si="14"/>
        <v>0</v>
      </c>
      <c r="AE23" s="137">
        <f t="shared" si="14"/>
        <v>0</v>
      </c>
      <c r="AF23" s="137">
        <f t="shared" si="14"/>
        <v>0</v>
      </c>
      <c r="AG23" s="137">
        <f t="shared" si="14"/>
        <v>0</v>
      </c>
      <c r="AH23" s="137">
        <f t="shared" si="14"/>
        <v>0</v>
      </c>
    </row>
    <row r="24" spans="1:35" s="134" customFormat="1" ht="15" customHeight="1">
      <c r="A24" s="130" t="s">
        <v>153</v>
      </c>
      <c r="B24" s="131"/>
      <c r="C24" s="131">
        <f t="shared" ref="C24:AH24" si="15">SUM(C25:C26)</f>
        <v>0</v>
      </c>
      <c r="D24" s="131">
        <f t="shared" si="15"/>
        <v>2642.4175858597227</v>
      </c>
      <c r="E24" s="131">
        <f t="shared" si="15"/>
        <v>8159.085553015826</v>
      </c>
      <c r="F24" s="131">
        <f t="shared" si="15"/>
        <v>31812.965384218427</v>
      </c>
      <c r="G24" s="131">
        <f t="shared" si="15"/>
        <v>30733.144001244029</v>
      </c>
      <c r="H24" s="131">
        <f t="shared" si="15"/>
        <v>29653.322618269627</v>
      </c>
      <c r="I24" s="131">
        <f t="shared" si="15"/>
        <v>29473.501235295229</v>
      </c>
      <c r="J24" s="131">
        <f t="shared" si="15"/>
        <v>28381.429852320827</v>
      </c>
      <c r="K24" s="131">
        <f t="shared" si="15"/>
        <v>27289.358469346429</v>
      </c>
      <c r="L24" s="131">
        <f t="shared" si="15"/>
        <v>26197.287086372031</v>
      </c>
      <c r="M24" s="131">
        <f t="shared" si="15"/>
        <v>25092.210022089475</v>
      </c>
      <c r="N24" s="131">
        <f t="shared" si="15"/>
        <v>23992.081853482239</v>
      </c>
      <c r="O24" s="131">
        <f t="shared" si="15"/>
        <v>22896.902580550319</v>
      </c>
      <c r="P24" s="131">
        <f t="shared" si="15"/>
        <v>22896.902580550319</v>
      </c>
      <c r="Q24" s="131">
        <f t="shared" si="15"/>
        <v>22902.970266541386</v>
      </c>
      <c r="R24" s="131">
        <f t="shared" si="15"/>
        <v>22913.986848207773</v>
      </c>
      <c r="S24" s="131">
        <f t="shared" si="15"/>
        <v>22929.952325549471</v>
      </c>
      <c r="T24" s="131">
        <f t="shared" si="15"/>
        <v>22950.86669856649</v>
      </c>
      <c r="U24" s="131">
        <f t="shared" si="15"/>
        <v>22976.729967258827</v>
      </c>
      <c r="V24" s="131">
        <f t="shared" si="15"/>
        <v>23007.542131626476</v>
      </c>
      <c r="W24" s="131">
        <f t="shared" si="15"/>
        <v>23043.303191669445</v>
      </c>
      <c r="X24" s="131">
        <f t="shared" si="15"/>
        <v>23084.013147387734</v>
      </c>
      <c r="Y24" s="131">
        <f t="shared" si="15"/>
        <v>23129.671998781334</v>
      </c>
      <c r="Z24" s="131">
        <f t="shared" si="15"/>
        <v>23180.279745850254</v>
      </c>
      <c r="AA24" s="131">
        <f t="shared" si="15"/>
        <v>23235.836388594493</v>
      </c>
      <c r="AB24" s="131">
        <f t="shared" si="15"/>
        <v>23296.341927014044</v>
      </c>
      <c r="AC24" s="131">
        <f t="shared" si="15"/>
        <v>23296.341927014044</v>
      </c>
      <c r="AD24" s="131">
        <f t="shared" si="15"/>
        <v>27312.683110128484</v>
      </c>
      <c r="AE24" s="131">
        <f t="shared" si="15"/>
        <v>36381.63487269701</v>
      </c>
      <c r="AF24" s="131">
        <f t="shared" si="15"/>
        <v>46797.230895588647</v>
      </c>
      <c r="AG24" s="131">
        <f t="shared" si="15"/>
        <v>59438.591403078142</v>
      </c>
      <c r="AH24" s="131">
        <f t="shared" si="15"/>
        <v>76046.037017701485</v>
      </c>
    </row>
    <row r="25" spans="1:35" ht="15" customHeight="1">
      <c r="A25" s="135" t="s">
        <v>154</v>
      </c>
      <c r="B25" s="131"/>
      <c r="C25" s="137"/>
      <c r="D25" s="137">
        <f>C25+'1-Ф3'!D29</f>
        <v>2642.4175858597227</v>
      </c>
      <c r="E25" s="137">
        <f>D25+'1-Ф3'!E29</f>
        <v>8187.7117435293067</v>
      </c>
      <c r="F25" s="137">
        <f>E25+'1-Ф3'!F29</f>
        <v>31930.291785286809</v>
      </c>
      <c r="G25" s="137">
        <f>F25+'1-Ф3'!G29</f>
        <v>31930.291785286809</v>
      </c>
      <c r="H25" s="137">
        <f>G25+'1-Ф3'!H29</f>
        <v>31930.291785286809</v>
      </c>
      <c r="I25" s="137">
        <f>H25+'1-Ф3'!I29</f>
        <v>32830.291785286812</v>
      </c>
      <c r="J25" s="137">
        <f>I25+'1-Ф3'!J29</f>
        <v>32830.291785286812</v>
      </c>
      <c r="K25" s="137">
        <f>J25+'1-Ф3'!K29</f>
        <v>32830.291785286812</v>
      </c>
      <c r="L25" s="137">
        <f>K25+'1-Ф3'!L29</f>
        <v>32830.291785286812</v>
      </c>
      <c r="M25" s="137">
        <f>L25+'1-Ф3'!M29</f>
        <v>32830.291785286812</v>
      </c>
      <c r="N25" s="137">
        <f>M25+'1-Ф3'!N29</f>
        <v>32830.291785286812</v>
      </c>
      <c r="O25" s="137">
        <f>N25+'1-Ф3'!O29</f>
        <v>32830.291785286812</v>
      </c>
      <c r="P25" s="137">
        <f>O25</f>
        <v>32830.291785286812</v>
      </c>
      <c r="Q25" s="137">
        <f>P25+'1-Ф3'!Q29</f>
        <v>32830.291785286812</v>
      </c>
      <c r="R25" s="137">
        <f>Q25+'1-Ф3'!R29</f>
        <v>32830.291785286812</v>
      </c>
      <c r="S25" s="137">
        <f>R25+'1-Ф3'!S29</f>
        <v>32830.291785286812</v>
      </c>
      <c r="T25" s="137">
        <f>S25+'1-Ф3'!T29</f>
        <v>32830.291785286812</v>
      </c>
      <c r="U25" s="137">
        <f>T25+'1-Ф3'!U29</f>
        <v>32830.291785286812</v>
      </c>
      <c r="V25" s="137">
        <f>U25+'1-Ф3'!V29</f>
        <v>32830.291785286812</v>
      </c>
      <c r="W25" s="137">
        <f>V25+'1-Ф3'!W29</f>
        <v>32830.291785286812</v>
      </c>
      <c r="X25" s="137">
        <f>W25+'1-Ф3'!X29</f>
        <v>32830.291785286812</v>
      </c>
      <c r="Y25" s="137">
        <f>X25+'1-Ф3'!Y29</f>
        <v>32830.291785286812</v>
      </c>
      <c r="Z25" s="137">
        <f>Y25+'1-Ф3'!Z29</f>
        <v>32830.291785286812</v>
      </c>
      <c r="AA25" s="137">
        <f>Z25+'1-Ф3'!AA29</f>
        <v>32830.291785286812</v>
      </c>
      <c r="AB25" s="137">
        <f>AA25+'1-Ф3'!AB29</f>
        <v>32830.291785286812</v>
      </c>
      <c r="AC25" s="137">
        <f>AB25</f>
        <v>32830.291785286812</v>
      </c>
      <c r="AD25" s="137">
        <f>AC25+'1-Ф3'!AD29</f>
        <v>32830.291785286812</v>
      </c>
      <c r="AE25" s="137">
        <f>AD25+'1-Ф3'!AE29</f>
        <v>32830.291785286812</v>
      </c>
      <c r="AF25" s="137">
        <f>AE25+'1-Ф3'!AF29</f>
        <v>32830.291785286812</v>
      </c>
      <c r="AG25" s="137">
        <f>AF25+'1-Ф3'!AG29</f>
        <v>32830.291785286812</v>
      </c>
      <c r="AH25" s="137">
        <f>AG25+'1-Ф3'!AH29</f>
        <v>32830.291785286812</v>
      </c>
    </row>
    <row r="26" spans="1:35" ht="15" customHeight="1">
      <c r="A26" s="135" t="s">
        <v>155</v>
      </c>
      <c r="B26" s="131"/>
      <c r="C26" s="137"/>
      <c r="D26" s="137">
        <f>'2-ф2'!D18</f>
        <v>0</v>
      </c>
      <c r="E26" s="137">
        <f>'2-ф2'!E18</f>
        <v>-28.626190513480335</v>
      </c>
      <c r="F26" s="137">
        <f>'2-ф2'!F18</f>
        <v>-117.32640106838117</v>
      </c>
      <c r="G26" s="137">
        <f>'2-ф2'!G18</f>
        <v>-1197.1477840427815</v>
      </c>
      <c r="H26" s="137">
        <f>'2-ф2'!H18</f>
        <v>-2276.9691670171819</v>
      </c>
      <c r="I26" s="137">
        <f>'2-ф2'!I18</f>
        <v>-3356.7905499915823</v>
      </c>
      <c r="J26" s="137">
        <f>'2-ф2'!J18</f>
        <v>-4448.8619329659832</v>
      </c>
      <c r="K26" s="137">
        <f>'2-ф2'!K18</f>
        <v>-5540.9333159403832</v>
      </c>
      <c r="L26" s="137">
        <f>'2-ф2'!L18</f>
        <v>-6633.0046989147831</v>
      </c>
      <c r="M26" s="137">
        <f>'2-ф2'!M18</f>
        <v>-7738.0817631973368</v>
      </c>
      <c r="N26" s="137">
        <f>'2-ф2'!N18</f>
        <v>-8838.209931804573</v>
      </c>
      <c r="O26" s="137">
        <f>'2-ф2'!O18</f>
        <v>-9933.3892047364934</v>
      </c>
      <c r="P26" s="137">
        <f>'2-ф2'!P18</f>
        <v>-9933.3892047364934</v>
      </c>
      <c r="Q26" s="137">
        <f>'2-ф2'!Q18</f>
        <v>-9927.3215187454261</v>
      </c>
      <c r="R26" s="137">
        <f>'2-ф2'!R18</f>
        <v>-9916.3049370790413</v>
      </c>
      <c r="S26" s="137">
        <f>'2-ф2'!S18</f>
        <v>-9900.339459737339</v>
      </c>
      <c r="T26" s="137">
        <f>'2-ф2'!T18</f>
        <v>-9879.4250867203209</v>
      </c>
      <c r="U26" s="137">
        <f>'2-ф2'!U18</f>
        <v>-9853.5618180279853</v>
      </c>
      <c r="V26" s="137">
        <f>'2-ф2'!V18</f>
        <v>-9822.7496536603339</v>
      </c>
      <c r="W26" s="137">
        <f>'2-ф2'!W18</f>
        <v>-9786.988593617365</v>
      </c>
      <c r="X26" s="137">
        <f>'2-ф2'!X18</f>
        <v>-9746.2786378990786</v>
      </c>
      <c r="Y26" s="137">
        <f>'2-ф2'!Y18</f>
        <v>-9700.6197865054764</v>
      </c>
      <c r="Z26" s="137">
        <f>'2-ф2'!Z18</f>
        <v>-9650.0120394365567</v>
      </c>
      <c r="AA26" s="137">
        <f>'2-ф2'!AA18</f>
        <v>-9594.4553966923213</v>
      </c>
      <c r="AB26" s="137">
        <f>'2-ф2'!AB18</f>
        <v>-9533.9498582727683</v>
      </c>
      <c r="AC26" s="137">
        <f>'2-ф2'!AC18</f>
        <v>-9533.9498582727683</v>
      </c>
      <c r="AD26" s="137">
        <f>'2-ф2'!AD18+'2-ф2'!AD34</f>
        <v>-5517.6086751583298</v>
      </c>
      <c r="AE26" s="137">
        <f>'2-ф2'!AE18+'2-ф2'!AE34</f>
        <v>3551.3430874102005</v>
      </c>
      <c r="AF26" s="137">
        <f>'2-ф2'!AF18+'2-ф2'!AF34</f>
        <v>13966.939110301835</v>
      </c>
      <c r="AG26" s="137">
        <f>'2-ф2'!AG18+'2-ф2'!AG34</f>
        <v>26608.299617791326</v>
      </c>
      <c r="AH26" s="137">
        <f>'2-ф2'!AH18+'2-ф2'!AH34</f>
        <v>43215.74523241468</v>
      </c>
    </row>
    <row r="28" spans="1:35">
      <c r="A28" s="140" t="s">
        <v>156</v>
      </c>
      <c r="B28" s="141"/>
      <c r="C28" s="142">
        <f t="shared" ref="C28:AH28" si="16">C5-C16</f>
        <v>0</v>
      </c>
      <c r="D28" s="143">
        <f t="shared" si="16"/>
        <v>0</v>
      </c>
      <c r="E28" s="143">
        <f t="shared" si="16"/>
        <v>0</v>
      </c>
      <c r="F28" s="143">
        <f t="shared" si="16"/>
        <v>0</v>
      </c>
      <c r="G28" s="143">
        <f t="shared" si="16"/>
        <v>0</v>
      </c>
      <c r="H28" s="143">
        <f t="shared" si="16"/>
        <v>0</v>
      </c>
      <c r="I28" s="143">
        <f t="shared" si="16"/>
        <v>0</v>
      </c>
      <c r="J28" s="143">
        <f t="shared" si="16"/>
        <v>0</v>
      </c>
      <c r="K28" s="143">
        <f t="shared" si="16"/>
        <v>0</v>
      </c>
      <c r="L28" s="143">
        <f t="shared" si="16"/>
        <v>0</v>
      </c>
      <c r="M28" s="143">
        <f t="shared" si="16"/>
        <v>0</v>
      </c>
      <c r="N28" s="143">
        <f t="shared" si="16"/>
        <v>0</v>
      </c>
      <c r="O28" s="143">
        <f t="shared" si="16"/>
        <v>0</v>
      </c>
      <c r="P28" s="143">
        <f>P5-P16</f>
        <v>0</v>
      </c>
      <c r="Q28" s="143">
        <f t="shared" si="16"/>
        <v>0</v>
      </c>
      <c r="R28" s="143">
        <f t="shared" si="16"/>
        <v>0</v>
      </c>
      <c r="S28" s="143">
        <f t="shared" si="16"/>
        <v>0</v>
      </c>
      <c r="T28" s="143">
        <f t="shared" si="16"/>
        <v>0</v>
      </c>
      <c r="U28" s="143">
        <f t="shared" si="16"/>
        <v>0</v>
      </c>
      <c r="V28" s="143">
        <f t="shared" si="16"/>
        <v>-1.1641532182693481E-10</v>
      </c>
      <c r="W28" s="143">
        <f t="shared" si="16"/>
        <v>-1.1641532182693481E-10</v>
      </c>
      <c r="X28" s="143">
        <f t="shared" si="16"/>
        <v>-1.3096723705530167E-10</v>
      </c>
      <c r="Y28" s="143">
        <f t="shared" si="16"/>
        <v>-1.3096723705530167E-10</v>
      </c>
      <c r="Z28" s="143">
        <f t="shared" si="16"/>
        <v>-1.4551915228366852E-10</v>
      </c>
      <c r="AA28" s="143">
        <f t="shared" si="16"/>
        <v>-1.4551915228366852E-10</v>
      </c>
      <c r="AB28" s="143">
        <f t="shared" si="16"/>
        <v>-1.4551915228366852E-10</v>
      </c>
      <c r="AC28" s="143">
        <f t="shared" si="16"/>
        <v>-1.4551915228366852E-10</v>
      </c>
      <c r="AD28" s="143">
        <f t="shared" si="16"/>
        <v>1987.9844965162192</v>
      </c>
      <c r="AE28" s="143">
        <f t="shared" si="16"/>
        <v>-1.4551915228366852E-10</v>
      </c>
      <c r="AF28" s="143">
        <f t="shared" si="16"/>
        <v>-1.6007106751203537E-10</v>
      </c>
      <c r="AG28" s="143">
        <f t="shared" si="16"/>
        <v>-1.6007106751203537E-10</v>
      </c>
      <c r="AH28" s="143">
        <f t="shared" si="16"/>
        <v>-1.4551915228366852E-10</v>
      </c>
    </row>
    <row r="29" spans="1:35" hidden="1"/>
    <row r="30" spans="1:35" hidden="1">
      <c r="A30" s="123" t="s">
        <v>155</v>
      </c>
      <c r="P30" s="124">
        <f>P26</f>
        <v>-9933.3892047364934</v>
      </c>
      <c r="Q30" s="124">
        <v>109.48954266069855</v>
      </c>
      <c r="R30" s="124">
        <v>109.48954266069855</v>
      </c>
      <c r="S30" s="124">
        <v>108.45296951069854</v>
      </c>
      <c r="T30" s="124">
        <v>106.37982321069852</v>
      </c>
      <c r="U30" s="124">
        <v>103.27010376069849</v>
      </c>
      <c r="V30" s="124">
        <v>103.27010376069849</v>
      </c>
      <c r="W30" s="124">
        <v>103.27010376069849</v>
      </c>
      <c r="X30" s="124">
        <v>99.201253408558813</v>
      </c>
      <c r="Y30" s="124">
        <v>99.201253408558813</v>
      </c>
      <c r="Z30" s="124">
        <v>99.201253408558813</v>
      </c>
      <c r="AA30" s="124">
        <v>99.201253408558813</v>
      </c>
      <c r="AB30" s="124">
        <v>82.616083008558789</v>
      </c>
      <c r="AC30" s="124">
        <f>AC26-P26</f>
        <v>399.43934646372509</v>
      </c>
      <c r="AD30" s="124">
        <f>AD26-AC26</f>
        <v>4016.3411831144385</v>
      </c>
      <c r="AE30" s="124">
        <f>AE26-AD26</f>
        <v>9068.9517625685294</v>
      </c>
      <c r="AF30" s="124">
        <f>AF26-AE26</f>
        <v>10415.596022891634</v>
      </c>
      <c r="AG30" s="124">
        <f>AG26-AF26</f>
        <v>12641.360507489491</v>
      </c>
      <c r="AH30" s="124">
        <f>AH26-AG26</f>
        <v>16607.445614623353</v>
      </c>
    </row>
    <row r="31" spans="1:35" hidden="1">
      <c r="A31" s="123" t="s">
        <v>157</v>
      </c>
      <c r="P31" s="124">
        <f>(P8+P10+P13+P14)-(C8+C10+C13+C14)</f>
        <v>8704.6998690610126</v>
      </c>
      <c r="AC31" s="124">
        <f>(AC8+AC10+AC13+AC14)-(P8+P10+P13+P14)</f>
        <v>-3059.2558566964271</v>
      </c>
      <c r="AD31" s="124">
        <f>(AD8+AD10+AD13+AD14)-(AC8+AC10+AC13+AC14)</f>
        <v>-3657.4595158482143</v>
      </c>
      <c r="AE31" s="124">
        <f>(AE8+AE10+AE13+AE14)-(AD8+AD10+AD13+AD14)</f>
        <v>-1987.9844965163711</v>
      </c>
      <c r="AF31" s="124">
        <f>(AF8+AF10+AF13+AF14)-(AE8+AE10+AE13+AE14)</f>
        <v>0</v>
      </c>
      <c r="AG31" s="124">
        <f>(AG8+AG10+AG13+AG14)-(AF8+AF10+AF13+AF14)</f>
        <v>0</v>
      </c>
      <c r="AH31" s="124">
        <f>(AH8+AH10+AH13+AH14)-(AG8+AG10+AG13+AG14)</f>
        <v>0</v>
      </c>
    </row>
    <row r="32" spans="1:35" hidden="1">
      <c r="A32" s="123" t="s">
        <v>158</v>
      </c>
      <c r="P32" s="124">
        <f>P9-C9</f>
        <v>630.6846261160714</v>
      </c>
      <c r="AC32" s="124">
        <f>AC9-P9</f>
        <v>0</v>
      </c>
      <c r="AD32" s="124">
        <f>AD9-AC9</f>
        <v>0</v>
      </c>
      <c r="AE32" s="124">
        <f>AE9-AD9</f>
        <v>0</v>
      </c>
      <c r="AF32" s="124">
        <f>AF9-AE9</f>
        <v>0</v>
      </c>
      <c r="AG32" s="124">
        <f>AG9-AF9</f>
        <v>0</v>
      </c>
      <c r="AH32" s="124">
        <f>AH9-AG9</f>
        <v>0</v>
      </c>
    </row>
    <row r="33" spans="1:34" hidden="1">
      <c r="A33" s="123" t="s">
        <v>159</v>
      </c>
      <c r="P33" s="124">
        <f>(P21+P17)-(C21+C17)</f>
        <v>61083.512335338892</v>
      </c>
      <c r="AC33" s="124">
        <f>(AC21+AC17)-(P21+P17)</f>
        <v>-10180.585389223153</v>
      </c>
      <c r="AD33" s="124">
        <f>(AD21+AD17)-(AC21+AC17)</f>
        <v>-10180.585389223153</v>
      </c>
      <c r="AE33" s="124">
        <f>(AE21+AE17)-(AD21+AD17)</f>
        <v>-10180.585389223153</v>
      </c>
      <c r="AF33" s="124">
        <f>(AF21+AF17)-(AE21+AE17)</f>
        <v>-10180.585389223153</v>
      </c>
      <c r="AG33" s="124">
        <f>(AG21+AG17)-(AF21+AF17)</f>
        <v>-10180.585389223153</v>
      </c>
      <c r="AH33" s="124">
        <f>(AH21+AH17)-(AG21+AG17)</f>
        <v>-10180.585389223152</v>
      </c>
    </row>
    <row r="34" spans="1:34" hidden="1">
      <c r="A34" s="123" t="s">
        <v>160</v>
      </c>
      <c r="P34" s="124">
        <f>-P31+P32+P33</f>
        <v>53009.497092393955</v>
      </c>
      <c r="Q34" s="124">
        <f t="shared" ref="Q34:AB34" si="17">Q31+Q32+Q33</f>
        <v>0</v>
      </c>
      <c r="R34" s="124">
        <f t="shared" si="17"/>
        <v>0</v>
      </c>
      <c r="S34" s="124">
        <f t="shared" si="17"/>
        <v>0</v>
      </c>
      <c r="T34" s="124">
        <f t="shared" si="17"/>
        <v>0</v>
      </c>
      <c r="U34" s="124">
        <f t="shared" si="17"/>
        <v>0</v>
      </c>
      <c r="V34" s="124">
        <f t="shared" si="17"/>
        <v>0</v>
      </c>
      <c r="W34" s="124">
        <f t="shared" si="17"/>
        <v>0</v>
      </c>
      <c r="X34" s="124">
        <f t="shared" si="17"/>
        <v>0</v>
      </c>
      <c r="Y34" s="124">
        <f t="shared" si="17"/>
        <v>0</v>
      </c>
      <c r="Z34" s="124">
        <f t="shared" si="17"/>
        <v>0</v>
      </c>
      <c r="AA34" s="124">
        <f t="shared" si="17"/>
        <v>0</v>
      </c>
      <c r="AB34" s="124">
        <f t="shared" si="17"/>
        <v>0</v>
      </c>
      <c r="AC34" s="124">
        <f t="shared" ref="AC34:AH34" si="18">-AC31+AC32+AC33</f>
        <v>-7121.3295325267263</v>
      </c>
      <c r="AD34" s="124">
        <f t="shared" si="18"/>
        <v>-6523.1258733749391</v>
      </c>
      <c r="AE34" s="124">
        <f t="shared" si="18"/>
        <v>-8192.6008927067815</v>
      </c>
      <c r="AF34" s="124">
        <f t="shared" si="18"/>
        <v>-10180.585389223153</v>
      </c>
      <c r="AG34" s="124">
        <f t="shared" si="18"/>
        <v>-10180.585389223153</v>
      </c>
      <c r="AH34" s="124">
        <f t="shared" si="18"/>
        <v>-10180.585389223152</v>
      </c>
    </row>
    <row r="35" spans="1:34" hidden="1">
      <c r="A35" s="123" t="s">
        <v>84</v>
      </c>
      <c r="P35" s="124">
        <f>'2-ф2'!P13</f>
        <v>2500.167365342727</v>
      </c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>
        <f>'2-ф2'!AC13</f>
        <v>3333.5564871236365</v>
      </c>
      <c r="AD35" s="124">
        <f>'2-ф2'!AD13</f>
        <v>3333.5564871236356</v>
      </c>
      <c r="AE35" s="124">
        <f>'2-ф2'!AE13</f>
        <v>3333.5564871236356</v>
      </c>
      <c r="AF35" s="124">
        <f>'2-ф2'!AF13</f>
        <v>3333.5564871236356</v>
      </c>
      <c r="AG35" s="124">
        <f>'2-ф2'!AG13</f>
        <v>3333.5564871236356</v>
      </c>
      <c r="AH35" s="124">
        <f>'2-ф2'!AH13</f>
        <v>3333.5564871236356</v>
      </c>
    </row>
    <row r="36" spans="1:34" hidden="1">
      <c r="A36" s="123" t="s">
        <v>161</v>
      </c>
      <c r="P36" s="124">
        <f>-'1-Ф3'!P22</f>
        <v>-90523.038319569459</v>
      </c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>
        <f>-'1-Ф3'!AC22</f>
        <v>0</v>
      </c>
      <c r="AD36" s="124">
        <f>-'1-Ф3'!AD22</f>
        <v>0</v>
      </c>
      <c r="AE36" s="124">
        <f>-'1-Ф3'!AE22</f>
        <v>0</v>
      </c>
      <c r="AF36" s="124">
        <f>-'1-Ф3'!AF22</f>
        <v>0</v>
      </c>
      <c r="AG36" s="124">
        <f>-'1-Ф3'!AG22</f>
        <v>0</v>
      </c>
      <c r="AH36" s="124">
        <f>-'1-Ф3'!AH22</f>
        <v>0</v>
      </c>
    </row>
    <row r="37" spans="1:34" hidden="1">
      <c r="A37" s="123" t="s">
        <v>162</v>
      </c>
      <c r="P37" s="124">
        <f>P30+P34+P35+P36+P25</f>
        <v>-12116.471281282458</v>
      </c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>
        <f t="shared" ref="AC37:AH37" si="19">AC30+AC34+AC35+AC36</f>
        <v>-3388.3336989393647</v>
      </c>
      <c r="AD37" s="124">
        <f t="shared" si="19"/>
        <v>826.77179686313502</v>
      </c>
      <c r="AE37" s="124">
        <f t="shared" si="19"/>
        <v>4209.9073569853836</v>
      </c>
      <c r="AF37" s="124">
        <f t="shared" si="19"/>
        <v>3568.5671207921159</v>
      </c>
      <c r="AG37" s="124">
        <f t="shared" si="19"/>
        <v>5794.3316053899734</v>
      </c>
      <c r="AH37" s="124">
        <f t="shared" si="19"/>
        <v>9760.4167125238382</v>
      </c>
    </row>
    <row r="38" spans="1:34" hidden="1"/>
    <row r="39" spans="1:34" hidden="1">
      <c r="A39" s="123" t="s">
        <v>168</v>
      </c>
      <c r="P39" s="124">
        <f>'1-Ф3'!P35</f>
        <v>-3678.9435707035882</v>
      </c>
      <c r="AC39" s="124">
        <f>'1-Ф3'!AC35</f>
        <v>-3388.3336989393665</v>
      </c>
      <c r="AD39" s="124">
        <f>'1-Ф3'!AD35</f>
        <v>2814.7562933795034</v>
      </c>
      <c r="AE39" s="124">
        <f>'1-Ф3'!AE35</f>
        <v>2221.9228604690161</v>
      </c>
      <c r="AF39" s="124">
        <f>'1-Ф3'!AF35</f>
        <v>3568.5671207921096</v>
      </c>
      <c r="AG39" s="124">
        <f>'1-Ф3'!AG35</f>
        <v>5794.3316053899816</v>
      </c>
      <c r="AH39" s="124">
        <f>'1-Ф3'!AH35</f>
        <v>9760.4167125238473</v>
      </c>
    </row>
    <row r="40" spans="1:34" hidden="1">
      <c r="A40" s="140" t="s">
        <v>156</v>
      </c>
      <c r="B40" s="141"/>
      <c r="C40" s="142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>
        <f>P39-P37</f>
        <v>8437.52771057887</v>
      </c>
      <c r="Q40" s="143">
        <f t="shared" ref="Q40:AB40" si="20">Q39-Q37</f>
        <v>0</v>
      </c>
      <c r="R40" s="143">
        <f t="shared" si="20"/>
        <v>0</v>
      </c>
      <c r="S40" s="143">
        <f t="shared" si="20"/>
        <v>0</v>
      </c>
      <c r="T40" s="143">
        <f t="shared" si="20"/>
        <v>0</v>
      </c>
      <c r="U40" s="143">
        <f t="shared" si="20"/>
        <v>0</v>
      </c>
      <c r="V40" s="143">
        <f t="shared" si="20"/>
        <v>0</v>
      </c>
      <c r="W40" s="143">
        <f t="shared" si="20"/>
        <v>0</v>
      </c>
      <c r="X40" s="143">
        <f t="shared" si="20"/>
        <v>0</v>
      </c>
      <c r="Y40" s="143">
        <f t="shared" si="20"/>
        <v>0</v>
      </c>
      <c r="Z40" s="143">
        <f t="shared" si="20"/>
        <v>0</v>
      </c>
      <c r="AA40" s="143">
        <f t="shared" si="20"/>
        <v>0</v>
      </c>
      <c r="AB40" s="143">
        <f t="shared" si="20"/>
        <v>0</v>
      </c>
      <c r="AC40" s="143">
        <f t="shared" ref="AC40:AH40" si="21">AC39-AC37</f>
        <v>0</v>
      </c>
      <c r="AD40" s="143">
        <f t="shared" si="21"/>
        <v>1987.9844965163684</v>
      </c>
      <c r="AE40" s="143">
        <f t="shared" si="21"/>
        <v>-1987.9844965163675</v>
      </c>
      <c r="AF40" s="143">
        <f t="shared" si="21"/>
        <v>-6.3664629124104977E-12</v>
      </c>
      <c r="AG40" s="143">
        <f t="shared" si="21"/>
        <v>8.1854523159563541E-12</v>
      </c>
      <c r="AH40" s="143">
        <f t="shared" si="21"/>
        <v>0</v>
      </c>
    </row>
  </sheetData>
  <mergeCells count="4">
    <mergeCell ref="A3:A4"/>
    <mergeCell ref="B3:B4"/>
    <mergeCell ref="D3:P3"/>
    <mergeCell ref="Q3:AC3"/>
  </mergeCells>
  <pageMargins left="0.35433070866141736" right="0.23622047244094491" top="0.78740157480314965" bottom="0.23622047244094491" header="0.4" footer="0.15748031496062992"/>
  <pageSetup paperSize="9" orientation="landscape" r:id="rId1"/>
  <headerFooter alignWithMargins="0">
    <oddHeader>&amp;RПриложение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J39"/>
  <sheetViews>
    <sheetView showGridLines="0" workbookViewId="0">
      <pane ySplit="3" topLeftCell="A31" activePane="bottomLeft" state="frozen"/>
      <selection activeCell="A34" sqref="A34"/>
      <selection pane="bottomLeft" activeCell="I28" sqref="I28"/>
    </sheetView>
  </sheetViews>
  <sheetFormatPr defaultRowHeight="12.75"/>
  <cols>
    <col min="1" max="1" width="30.7109375" style="78" customWidth="1"/>
    <col min="2" max="2" width="14.7109375" style="78" customWidth="1"/>
    <col min="3" max="3" width="11.5703125" style="78" customWidth="1"/>
    <col min="4" max="4" width="2.140625" style="78" customWidth="1"/>
    <col min="5" max="5" width="37.5703125" style="78" customWidth="1"/>
    <col min="6" max="8" width="9.140625" style="78"/>
    <col min="9" max="9" width="33" style="78" customWidth="1"/>
    <col min="10" max="13" width="9.140625" style="78"/>
    <col min="14" max="14" width="14.42578125" style="78" customWidth="1"/>
    <col min="15" max="16384" width="9.140625" style="78"/>
  </cols>
  <sheetData>
    <row r="1" spans="1:8" ht="15.75" customHeight="1">
      <c r="A1" s="376" t="s">
        <v>43</v>
      </c>
      <c r="B1" s="376"/>
      <c r="C1" s="376"/>
    </row>
    <row r="2" spans="1:8" ht="12" customHeight="1">
      <c r="A2" s="62"/>
      <c r="G2" s="332">
        <f>'1-Ф3'!B36</f>
        <v>17092.717322911485</v>
      </c>
      <c r="H2" s="332">
        <f>'1-Ф3'!B2</f>
        <v>-7067.2772696429602</v>
      </c>
    </row>
    <row r="3" spans="1:8">
      <c r="A3" s="79" t="s">
        <v>31</v>
      </c>
      <c r="B3" s="80" t="s">
        <v>44</v>
      </c>
      <c r="C3" s="80" t="s">
        <v>9</v>
      </c>
    </row>
    <row r="4" spans="1:8">
      <c r="A4" s="62" t="s">
        <v>171</v>
      </c>
    </row>
    <row r="5" spans="1:8">
      <c r="A5" s="81" t="s">
        <v>115</v>
      </c>
      <c r="B5" s="81"/>
      <c r="C5" s="149">
        <v>150</v>
      </c>
    </row>
    <row r="6" spans="1:8">
      <c r="A6" s="81" t="s">
        <v>181</v>
      </c>
      <c r="B6" s="81"/>
      <c r="C6" s="252">
        <v>4.84</v>
      </c>
    </row>
    <row r="7" spans="1:8">
      <c r="A7" s="81" t="s">
        <v>80</v>
      </c>
      <c r="B7" s="81"/>
      <c r="C7" s="163">
        <f>18%*C8+C32*(1-C19)*(1-C8)</f>
        <v>0.10577</v>
      </c>
      <c r="E7" s="78" t="s">
        <v>182</v>
      </c>
    </row>
    <row r="8" spans="1:8">
      <c r="A8" s="81" t="s">
        <v>308</v>
      </c>
      <c r="B8" s="81"/>
      <c r="C8" s="84">
        <v>0.35</v>
      </c>
    </row>
    <row r="9" spans="1:8">
      <c r="A9" s="81" t="s">
        <v>163</v>
      </c>
      <c r="B9" s="81"/>
      <c r="C9" s="85" t="s">
        <v>65</v>
      </c>
    </row>
    <row r="10" spans="1:8">
      <c r="A10" s="62" t="s">
        <v>164</v>
      </c>
    </row>
    <row r="11" spans="1:8">
      <c r="A11" s="81" t="s">
        <v>52</v>
      </c>
      <c r="B11" s="83" t="s">
        <v>46</v>
      </c>
      <c r="C11" s="84">
        <v>0.1</v>
      </c>
    </row>
    <row r="12" spans="1:8">
      <c r="A12" s="81" t="s">
        <v>57</v>
      </c>
      <c r="B12" s="83" t="s">
        <v>46</v>
      </c>
      <c r="C12" s="84">
        <v>0.05</v>
      </c>
    </row>
    <row r="13" spans="1:8">
      <c r="A13" s="81" t="s">
        <v>53</v>
      </c>
      <c r="B13" s="83" t="s">
        <v>46</v>
      </c>
      <c r="C13" s="84">
        <v>0.1</v>
      </c>
    </row>
    <row r="14" spans="1:8">
      <c r="A14" s="81" t="s">
        <v>55</v>
      </c>
      <c r="B14" s="83" t="s">
        <v>46</v>
      </c>
      <c r="C14" s="84">
        <v>0.11</v>
      </c>
      <c r="E14" s="78" t="s">
        <v>346</v>
      </c>
    </row>
    <row r="15" spans="1:8">
      <c r="A15" s="81" t="s">
        <v>128</v>
      </c>
      <c r="B15" s="83" t="s">
        <v>65</v>
      </c>
      <c r="C15" s="86">
        <v>17.439</v>
      </c>
    </row>
    <row r="16" spans="1:8">
      <c r="A16" s="81" t="s">
        <v>2</v>
      </c>
      <c r="B16" s="83"/>
      <c r="C16" s="257">
        <f>1.5%*0.3</f>
        <v>4.4999999999999997E-3</v>
      </c>
      <c r="E16" s="78" t="s">
        <v>346</v>
      </c>
    </row>
    <row r="17" spans="1:5">
      <c r="A17" s="81" t="s">
        <v>45</v>
      </c>
      <c r="B17" s="83" t="s">
        <v>46</v>
      </c>
      <c r="C17" s="84">
        <v>0.12</v>
      </c>
    </row>
    <row r="18" spans="1:5">
      <c r="A18" s="81" t="s">
        <v>67</v>
      </c>
      <c r="B18" s="81"/>
      <c r="C18" s="82">
        <v>1.1200000000000001</v>
      </c>
    </row>
    <row r="19" spans="1:5">
      <c r="A19" s="81" t="s">
        <v>64</v>
      </c>
      <c r="B19" s="81"/>
      <c r="C19" s="84">
        <f>20%*0.3</f>
        <v>0.06</v>
      </c>
      <c r="E19" s="78" t="s">
        <v>346</v>
      </c>
    </row>
    <row r="20" spans="1:5">
      <c r="A20" s="62" t="s">
        <v>170</v>
      </c>
    </row>
    <row r="21" spans="1:5">
      <c r="A21" s="81" t="s">
        <v>275</v>
      </c>
      <c r="B21" s="83" t="s">
        <v>276</v>
      </c>
      <c r="C21" s="149">
        <v>455</v>
      </c>
    </row>
    <row r="22" spans="1:5">
      <c r="A22" s="81" t="s">
        <v>277</v>
      </c>
      <c r="B22" s="83" t="s">
        <v>46</v>
      </c>
      <c r="C22" s="255">
        <v>0.55000000000000004</v>
      </c>
    </row>
    <row r="23" spans="1:5">
      <c r="A23" s="81" t="s">
        <v>256</v>
      </c>
      <c r="B23" s="83" t="s">
        <v>46</v>
      </c>
      <c r="C23" s="255">
        <f>1/3</f>
        <v>0.33333333333333331</v>
      </c>
    </row>
    <row r="24" spans="1:5">
      <c r="A24" s="81" t="s">
        <v>280</v>
      </c>
      <c r="B24" s="83" t="s">
        <v>46</v>
      </c>
      <c r="C24" s="255">
        <v>0.6</v>
      </c>
    </row>
    <row r="25" spans="1:5" ht="25.5">
      <c r="A25" s="170" t="s">
        <v>348</v>
      </c>
      <c r="B25" s="83" t="s">
        <v>46</v>
      </c>
      <c r="C25" s="255">
        <v>0.5</v>
      </c>
    </row>
    <row r="26" spans="1:5" ht="25.5">
      <c r="A26" s="170" t="s">
        <v>374</v>
      </c>
      <c r="B26" s="83" t="s">
        <v>46</v>
      </c>
      <c r="C26" s="163">
        <f>1-C25</f>
        <v>0.5</v>
      </c>
      <c r="D26" s="256"/>
    </row>
    <row r="27" spans="1:5">
      <c r="A27" s="81" t="s">
        <v>349</v>
      </c>
      <c r="B27" s="83" t="s">
        <v>278</v>
      </c>
      <c r="C27" s="149">
        <v>1920</v>
      </c>
      <c r="E27" s="78" t="s">
        <v>350</v>
      </c>
    </row>
    <row r="28" spans="1:5" ht="25.5">
      <c r="A28" s="170" t="s">
        <v>377</v>
      </c>
      <c r="B28" s="228" t="s">
        <v>279</v>
      </c>
      <c r="C28" s="229">
        <v>50</v>
      </c>
    </row>
    <row r="29" spans="1:5" ht="25.5">
      <c r="A29" s="170" t="s">
        <v>351</v>
      </c>
      <c r="B29" s="228" t="s">
        <v>279</v>
      </c>
      <c r="C29" s="229">
        <v>5</v>
      </c>
    </row>
    <row r="30" spans="1:5" ht="25.5">
      <c r="A30" s="170" t="s">
        <v>352</v>
      </c>
      <c r="B30" s="228" t="s">
        <v>279</v>
      </c>
      <c r="C30" s="336">
        <f>MAX(Производство!E1:L1)</f>
        <v>129.74565972222226</v>
      </c>
      <c r="E30" s="208"/>
    </row>
    <row r="31" spans="1:5">
      <c r="A31" s="62" t="s">
        <v>172</v>
      </c>
    </row>
    <row r="32" spans="1:5">
      <c r="A32" s="81" t="s">
        <v>62</v>
      </c>
      <c r="B32" s="83" t="s">
        <v>46</v>
      </c>
      <c r="C32" s="84">
        <v>7.0000000000000007E-2</v>
      </c>
    </row>
    <row r="33" spans="1:10">
      <c r="A33" s="81" t="s">
        <v>173</v>
      </c>
      <c r="B33" s="83" t="s">
        <v>174</v>
      </c>
      <c r="C33" s="252">
        <v>7</v>
      </c>
    </row>
    <row r="34" spans="1:10">
      <c r="A34" s="81" t="s">
        <v>175</v>
      </c>
      <c r="B34" s="83" t="s">
        <v>177</v>
      </c>
      <c r="C34" s="149">
        <v>9</v>
      </c>
    </row>
    <row r="35" spans="1:10">
      <c r="A35" s="81" t="s">
        <v>176</v>
      </c>
      <c r="B35" s="83" t="s">
        <v>177</v>
      </c>
      <c r="C35" s="149">
        <v>9</v>
      </c>
    </row>
    <row r="37" spans="1:10">
      <c r="A37" s="62" t="s">
        <v>235</v>
      </c>
      <c r="J37" s="151" t="s">
        <v>309</v>
      </c>
    </row>
    <row r="38" spans="1:10" ht="25.5">
      <c r="A38" s="81" t="s">
        <v>353</v>
      </c>
      <c r="B38" s="83" t="s">
        <v>293</v>
      </c>
      <c r="C38" s="328">
        <v>528</v>
      </c>
      <c r="E38" s="350" t="s">
        <v>354</v>
      </c>
      <c r="J38" s="335">
        <f>C38*$C$18</f>
        <v>591.36</v>
      </c>
    </row>
    <row r="39" spans="1:10" ht="25.5">
      <c r="A39" s="81" t="s">
        <v>347</v>
      </c>
      <c r="B39" s="83" t="s">
        <v>294</v>
      </c>
      <c r="C39" s="328">
        <v>1408</v>
      </c>
      <c r="E39" s="350" t="s">
        <v>324</v>
      </c>
      <c r="J39" s="335">
        <f>C39*$C$18</f>
        <v>1576.96</v>
      </c>
    </row>
  </sheetData>
  <mergeCells count="1">
    <mergeCell ref="A1:C1"/>
  </mergeCells>
  <phoneticPr fontId="3" type="noConversion"/>
  <pageMargins left="0.26" right="0.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I7"/>
  <sheetViews>
    <sheetView showGridLines="0" topLeftCell="B1" workbookViewId="0">
      <pane ySplit="4" topLeftCell="A5" activePane="bottomLeft" state="frozen"/>
      <selection activeCell="C8" sqref="C8"/>
      <selection pane="bottomLeft" activeCell="D21" sqref="D21"/>
    </sheetView>
  </sheetViews>
  <sheetFormatPr defaultColWidth="8.85546875" defaultRowHeight="12.75"/>
  <cols>
    <col min="1" max="1" width="29.7109375" style="78" customWidth="1"/>
    <col min="2" max="2" width="13.28515625" style="78" customWidth="1"/>
    <col min="3" max="7" width="8.85546875" style="78" customWidth="1"/>
    <col min="8" max="16384" width="8.85546875" style="78"/>
  </cols>
  <sheetData>
    <row r="1" spans="1:9">
      <c r="A1" s="62" t="s">
        <v>323</v>
      </c>
    </row>
    <row r="2" spans="1:9">
      <c r="A2" s="62"/>
    </row>
    <row r="3" spans="1:9">
      <c r="A3" s="78" t="s">
        <v>47</v>
      </c>
      <c r="C3" s="144"/>
      <c r="D3" s="144"/>
      <c r="E3" s="144"/>
      <c r="F3" s="144"/>
      <c r="G3" s="144"/>
    </row>
    <row r="4" spans="1:9" ht="25.5">
      <c r="A4" s="330" t="s">
        <v>105</v>
      </c>
      <c r="B4" s="331" t="s">
        <v>307</v>
      </c>
      <c r="C4" s="320">
        <v>2013</v>
      </c>
      <c r="D4" s="320">
        <f t="shared" ref="D4:I4" si="0">C4+1</f>
        <v>2014</v>
      </c>
      <c r="E4" s="320">
        <f t="shared" si="0"/>
        <v>2015</v>
      </c>
      <c r="F4" s="320">
        <f t="shared" si="0"/>
        <v>2016</v>
      </c>
      <c r="G4" s="320">
        <f t="shared" si="0"/>
        <v>2017</v>
      </c>
      <c r="H4" s="320">
        <f t="shared" si="0"/>
        <v>2018</v>
      </c>
      <c r="I4" s="320">
        <f t="shared" si="0"/>
        <v>2019</v>
      </c>
    </row>
    <row r="5" spans="1:9">
      <c r="A5" s="81" t="s">
        <v>375</v>
      </c>
      <c r="B5" s="248" t="s">
        <v>366</v>
      </c>
      <c r="C5" s="150">
        <f>Производство!E75*Исх!$C$38/1000</f>
        <v>16896</v>
      </c>
      <c r="D5" s="150">
        <f>Производство!F75*Исх!$C$38/1000</f>
        <v>25344</v>
      </c>
      <c r="E5" s="150">
        <f>Производство!G75*Исх!$C$38/1000</f>
        <v>24499.200000000001</v>
      </c>
      <c r="F5" s="150">
        <f>Производство!H75*Исх!$C$38/1000</f>
        <v>26470.400000000005</v>
      </c>
      <c r="G5" s="150">
        <f>Производство!I75*Исх!$C$38/1000</f>
        <v>27531.093333333338</v>
      </c>
      <c r="H5" s="150">
        <f>Производство!J75*Исх!$C$38/1000</f>
        <v>31248.213333333344</v>
      </c>
      <c r="I5" s="150">
        <f>Производство!K75*Исх!$C$38/1000</f>
        <v>33227.861333333341</v>
      </c>
    </row>
    <row r="6" spans="1:9">
      <c r="A6" s="81" t="s">
        <v>295</v>
      </c>
      <c r="B6" s="248" t="s">
        <v>365</v>
      </c>
      <c r="C6" s="150">
        <f>Производство!F80*Исх!$C$39/1000*0</f>
        <v>0</v>
      </c>
      <c r="D6" s="150">
        <f>Производство!F80*Исх!$C$39/1000</f>
        <v>5285.2800000000007</v>
      </c>
      <c r="E6" s="150">
        <f>Производство!G80*Исх!$C$39/1000</f>
        <v>11157.813333333334</v>
      </c>
      <c r="F6" s="150">
        <f>Производство!H80*Исх!$C$39/1000</f>
        <v>9024.1262222222231</v>
      </c>
      <c r="G6" s="150">
        <f>Производство!I80*Исх!$C$39/1000</f>
        <v>9891.9561481481487</v>
      </c>
      <c r="H6" s="150">
        <f>Производство!J80*Исх!$C$39/1000</f>
        <v>8677.6467555555555</v>
      </c>
      <c r="I6" s="150">
        <f>Производство!K80*Исх!$C$39/1000</f>
        <v>10881.804266666668</v>
      </c>
    </row>
    <row r="7" spans="1:9">
      <c r="A7" s="159" t="s">
        <v>96</v>
      </c>
      <c r="B7" s="159"/>
      <c r="C7" s="158">
        <f t="shared" ref="C7:I7" si="1">SUM(C5:C6)</f>
        <v>16896</v>
      </c>
      <c r="D7" s="158">
        <f t="shared" si="1"/>
        <v>30629.279999999999</v>
      </c>
      <c r="E7" s="158">
        <f t="shared" si="1"/>
        <v>35657.013333333336</v>
      </c>
      <c r="F7" s="158">
        <f t="shared" si="1"/>
        <v>35494.52622222223</v>
      </c>
      <c r="G7" s="158">
        <f t="shared" si="1"/>
        <v>37423.049481481488</v>
      </c>
      <c r="H7" s="158">
        <f t="shared" si="1"/>
        <v>39925.860088888898</v>
      </c>
      <c r="I7" s="158">
        <f t="shared" si="1"/>
        <v>44109.665600000008</v>
      </c>
    </row>
  </sheetData>
  <phoneticPr fontId="3" type="noConversion"/>
  <pageMargins left="0.49" right="0.18" top="0.3" bottom="2.11" header="0.2" footer="0.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N29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3" sqref="A33"/>
    </sheetView>
  </sheetViews>
  <sheetFormatPr defaultColWidth="8.85546875" defaultRowHeight="12.75"/>
  <cols>
    <col min="1" max="1" width="42.42578125" style="78" customWidth="1"/>
    <col min="2" max="2" width="10.28515625" style="78" customWidth="1"/>
    <col min="3" max="3" width="9.140625" style="78" customWidth="1"/>
    <col min="4" max="4" width="11.28515625" style="78" customWidth="1"/>
    <col min="5" max="7" width="10.7109375" style="78" customWidth="1"/>
    <col min="8" max="16384" width="8.85546875" style="78"/>
  </cols>
  <sheetData>
    <row r="1" spans="1:14">
      <c r="A1" s="62" t="s">
        <v>285</v>
      </c>
      <c r="B1" s="62"/>
    </row>
    <row r="2" spans="1:14" ht="7.5" customHeight="1">
      <c r="A2" s="62"/>
      <c r="B2" s="62"/>
    </row>
    <row r="3" spans="1:14">
      <c r="A3" s="78" t="s">
        <v>47</v>
      </c>
      <c r="M3" s="332">
        <f>'1-Ф3'!B36</f>
        <v>17092.717322911485</v>
      </c>
      <c r="N3" s="332">
        <f>'1-Ф3'!B2</f>
        <v>-7067.2772696429602</v>
      </c>
    </row>
    <row r="4" spans="1:14" ht="25.5">
      <c r="A4" s="316" t="s">
        <v>269</v>
      </c>
      <c r="B4" s="317" t="s">
        <v>242</v>
      </c>
      <c r="C4" s="317" t="s">
        <v>326</v>
      </c>
      <c r="D4" s="317" t="s">
        <v>327</v>
      </c>
      <c r="E4" s="320">
        <v>2013</v>
      </c>
      <c r="F4" s="320">
        <f t="shared" ref="F4:K4" si="0">E4+1</f>
        <v>2014</v>
      </c>
      <c r="G4" s="320">
        <f t="shared" si="0"/>
        <v>2015</v>
      </c>
      <c r="H4" s="320">
        <f t="shared" si="0"/>
        <v>2016</v>
      </c>
      <c r="I4" s="320">
        <f t="shared" si="0"/>
        <v>2017</v>
      </c>
      <c r="J4" s="320">
        <f t="shared" si="0"/>
        <v>2018</v>
      </c>
      <c r="K4" s="320">
        <f t="shared" si="0"/>
        <v>2019</v>
      </c>
    </row>
    <row r="5" spans="1:14" ht="12.75" customHeight="1">
      <c r="A5" s="325" t="s">
        <v>291</v>
      </c>
      <c r="B5" s="270" t="s">
        <v>279</v>
      </c>
      <c r="C5" s="326"/>
      <c r="D5" s="326"/>
      <c r="E5" s="346">
        <f>Производство!E65</f>
        <v>55</v>
      </c>
      <c r="F5" s="346">
        <f>Производство!F65</f>
        <v>55</v>
      </c>
      <c r="G5" s="346">
        <f>Производство!G65</f>
        <v>54.166666666666671</v>
      </c>
      <c r="H5" s="346">
        <f>Производство!H65</f>
        <v>55.69444444444445</v>
      </c>
      <c r="I5" s="346">
        <f>Производство!I65</f>
        <v>57.504629629629633</v>
      </c>
      <c r="J5" s="346">
        <f>Производство!J65</f>
        <v>62.0763888888889</v>
      </c>
      <c r="K5" s="346">
        <f>Производство!K65</f>
        <v>66.315046296296316</v>
      </c>
    </row>
    <row r="6" spans="1:14">
      <c r="A6" s="81" t="s">
        <v>270</v>
      </c>
      <c r="B6" s="83" t="s">
        <v>65</v>
      </c>
      <c r="C6" s="252">
        <f>11*0.75/1.12</f>
        <v>7.3660714285714279</v>
      </c>
      <c r="D6" s="252">
        <f>10.5*1.5/10</f>
        <v>1.575</v>
      </c>
      <c r="E6" s="150">
        <f>$C6*$D6*E$5</f>
        <v>638.08593749999989</v>
      </c>
      <c r="F6" s="150">
        <f t="shared" ref="F6:K10" si="1">$C6*$D6*F$5</f>
        <v>638.08593749999989</v>
      </c>
      <c r="G6" s="150">
        <f t="shared" si="1"/>
        <v>628.41796875</v>
      </c>
      <c r="H6" s="150">
        <f t="shared" si="1"/>
        <v>646.142578125</v>
      </c>
      <c r="I6" s="150">
        <f t="shared" si="1"/>
        <v>667.14355468749989</v>
      </c>
      <c r="J6" s="150">
        <f t="shared" si="1"/>
        <v>720.18310546875</v>
      </c>
      <c r="K6" s="150">
        <f t="shared" si="1"/>
        <v>769.35815429687511</v>
      </c>
      <c r="L6" s="78" t="s">
        <v>271</v>
      </c>
    </row>
    <row r="7" spans="1:14">
      <c r="A7" s="170" t="s">
        <v>272</v>
      </c>
      <c r="B7" s="83" t="s">
        <v>65</v>
      </c>
      <c r="C7" s="252">
        <f>C6/2</f>
        <v>3.683035714285714</v>
      </c>
      <c r="D7" s="252">
        <f>5.3*1.5/10</f>
        <v>0.79499999999999993</v>
      </c>
      <c r="E7" s="150">
        <f>$C7*$D7*E$5</f>
        <v>161.04073660714283</v>
      </c>
      <c r="F7" s="150">
        <f t="shared" si="1"/>
        <v>161.04073660714283</v>
      </c>
      <c r="G7" s="150">
        <f t="shared" si="1"/>
        <v>158.60072544642856</v>
      </c>
      <c r="H7" s="150">
        <f t="shared" si="1"/>
        <v>163.07407924107142</v>
      </c>
      <c r="I7" s="150">
        <f t="shared" si="1"/>
        <v>168.37432570684521</v>
      </c>
      <c r="J7" s="150">
        <f t="shared" si="1"/>
        <v>181.760498046875</v>
      </c>
      <c r="K7" s="150">
        <f t="shared" si="1"/>
        <v>194.17134370349706</v>
      </c>
    </row>
    <row r="8" spans="1:14">
      <c r="A8" s="81" t="s">
        <v>273</v>
      </c>
      <c r="B8" s="83" t="s">
        <v>65</v>
      </c>
      <c r="C8" s="252">
        <f>23*0.75/1.12</f>
        <v>15.401785714285714</v>
      </c>
      <c r="D8" s="252">
        <f>5.6*1.5/10</f>
        <v>0.83999999999999986</v>
      </c>
      <c r="E8" s="150">
        <f>$C8*$D8*E$5</f>
        <v>711.56249999999977</v>
      </c>
      <c r="F8" s="150">
        <f t="shared" si="1"/>
        <v>711.56249999999977</v>
      </c>
      <c r="G8" s="150">
        <f t="shared" si="1"/>
        <v>700.78124999999989</v>
      </c>
      <c r="H8" s="150">
        <f t="shared" si="1"/>
        <v>720.54687499999989</v>
      </c>
      <c r="I8" s="150">
        <f t="shared" si="1"/>
        <v>743.96614583333314</v>
      </c>
      <c r="J8" s="150">
        <f t="shared" si="1"/>
        <v>803.11328124999989</v>
      </c>
      <c r="K8" s="150">
        <f t="shared" si="1"/>
        <v>857.95091145833339</v>
      </c>
    </row>
    <row r="9" spans="1:14">
      <c r="A9" s="81" t="s">
        <v>328</v>
      </c>
      <c r="B9" s="83" t="s">
        <v>65</v>
      </c>
      <c r="C9" s="252">
        <f>24*0.75/1.12</f>
        <v>16.071428571428569</v>
      </c>
      <c r="D9" s="252">
        <f>9.6/2/10</f>
        <v>0.48</v>
      </c>
      <c r="E9" s="150">
        <f>$C9*$D9*E$5</f>
        <v>424.28571428571422</v>
      </c>
      <c r="F9" s="150">
        <f t="shared" si="1"/>
        <v>424.28571428571422</v>
      </c>
      <c r="G9" s="150">
        <f t="shared" si="1"/>
        <v>417.85714285714278</v>
      </c>
      <c r="H9" s="150">
        <f t="shared" si="1"/>
        <v>429.64285714285711</v>
      </c>
      <c r="I9" s="150">
        <f t="shared" si="1"/>
        <v>443.60714285714278</v>
      </c>
      <c r="J9" s="150">
        <f t="shared" si="1"/>
        <v>478.875</v>
      </c>
      <c r="K9" s="150">
        <f t="shared" si="1"/>
        <v>511.57321428571436</v>
      </c>
    </row>
    <row r="10" spans="1:14">
      <c r="A10" s="81" t="s">
        <v>329</v>
      </c>
      <c r="B10" s="83" t="s">
        <v>65</v>
      </c>
      <c r="C10" s="252">
        <f>25*Исх!C6</f>
        <v>121</v>
      </c>
      <c r="D10" s="337">
        <f>0.2*1.5/10</f>
        <v>3.0000000000000006E-2</v>
      </c>
      <c r="E10" s="150">
        <f>$C10*$D10*E$5</f>
        <v>199.65000000000003</v>
      </c>
      <c r="F10" s="150">
        <f t="shared" si="1"/>
        <v>199.65000000000003</v>
      </c>
      <c r="G10" s="150">
        <f t="shared" si="1"/>
        <v>196.62500000000006</v>
      </c>
      <c r="H10" s="150">
        <f t="shared" si="1"/>
        <v>202.17083333333341</v>
      </c>
      <c r="I10" s="150">
        <f t="shared" si="1"/>
        <v>208.7418055555556</v>
      </c>
      <c r="J10" s="150">
        <f t="shared" si="1"/>
        <v>225.33729166666674</v>
      </c>
      <c r="K10" s="150">
        <f t="shared" si="1"/>
        <v>240.72361805555568</v>
      </c>
      <c r="L10" t="s">
        <v>330</v>
      </c>
    </row>
    <row r="11" spans="1:14">
      <c r="A11" s="159" t="s">
        <v>0</v>
      </c>
      <c r="B11" s="318" t="s">
        <v>65</v>
      </c>
      <c r="C11" s="327"/>
      <c r="D11" s="327"/>
      <c r="E11" s="323">
        <f>SUM(E6:E10)</f>
        <v>2134.6248883928565</v>
      </c>
      <c r="F11" s="323">
        <f t="shared" ref="F11:K11" si="2">SUM(F6:F10)</f>
        <v>2134.6248883928565</v>
      </c>
      <c r="G11" s="323">
        <f t="shared" si="2"/>
        <v>2102.2820870535711</v>
      </c>
      <c r="H11" s="323">
        <f t="shared" si="2"/>
        <v>2161.577222842262</v>
      </c>
      <c r="I11" s="323">
        <f t="shared" si="2"/>
        <v>2231.8329746403765</v>
      </c>
      <c r="J11" s="323">
        <f t="shared" si="2"/>
        <v>2409.2691764322917</v>
      </c>
      <c r="K11" s="323">
        <f t="shared" si="2"/>
        <v>2573.7772417999759</v>
      </c>
    </row>
    <row r="12" spans="1:14" ht="12.75" customHeight="1">
      <c r="A12" s="325" t="s">
        <v>292</v>
      </c>
      <c r="B12" s="270" t="s">
        <v>279</v>
      </c>
      <c r="C12" s="326"/>
      <c r="D12" s="326"/>
      <c r="E12" s="346">
        <f>Производство!E66</f>
        <v>30</v>
      </c>
      <c r="F12" s="346">
        <f>Производство!F66</f>
        <v>37.5</v>
      </c>
      <c r="G12" s="346">
        <f>Производство!G66</f>
        <v>40.75</v>
      </c>
      <c r="H12" s="346">
        <f>Производство!H66</f>
        <v>43.291666666666671</v>
      </c>
      <c r="I12" s="346">
        <f>Производство!I66</f>
        <v>45.773611111111116</v>
      </c>
      <c r="J12" s="346">
        <f>Производство!J66</f>
        <v>49.528472222222234</v>
      </c>
      <c r="K12" s="346">
        <f>Производство!K66</f>
        <v>53.677569444444458</v>
      </c>
    </row>
    <row r="13" spans="1:14">
      <c r="A13" s="81" t="s">
        <v>270</v>
      </c>
      <c r="B13" s="83" t="s">
        <v>65</v>
      </c>
      <c r="C13" s="298">
        <f>C6</f>
        <v>7.3660714285714279</v>
      </c>
      <c r="D13" s="298">
        <f>D6/3</f>
        <v>0.52500000000000002</v>
      </c>
      <c r="E13" s="150">
        <f>$C13*$D13*E$12</f>
        <v>116.015625</v>
      </c>
      <c r="F13" s="150">
        <f t="shared" ref="F13:K13" si="3">$C13*$D13*F$12</f>
        <v>145.01953125</v>
      </c>
      <c r="G13" s="150">
        <f t="shared" si="3"/>
        <v>157.587890625</v>
      </c>
      <c r="H13" s="150">
        <f t="shared" si="3"/>
        <v>167.41699218750003</v>
      </c>
      <c r="I13" s="150">
        <f t="shared" si="3"/>
        <v>177.01513671875003</v>
      </c>
      <c r="J13" s="150">
        <f t="shared" si="3"/>
        <v>191.53588867187506</v>
      </c>
      <c r="K13" s="150">
        <f t="shared" si="3"/>
        <v>207.58122558593755</v>
      </c>
      <c r="L13" s="78" t="s">
        <v>271</v>
      </c>
    </row>
    <row r="14" spans="1:14">
      <c r="A14" s="170" t="s">
        <v>272</v>
      </c>
      <c r="B14" s="83" t="s">
        <v>65</v>
      </c>
      <c r="C14" s="298">
        <f>C7</f>
        <v>3.683035714285714</v>
      </c>
      <c r="D14" s="298">
        <f t="shared" ref="D14:D17" si="4">D7/3</f>
        <v>0.26499999999999996</v>
      </c>
      <c r="E14" s="150">
        <f t="shared" ref="E14:K17" si="5">$C14*$D14*E$12</f>
        <v>29.280133928571423</v>
      </c>
      <c r="F14" s="150">
        <f>$C14*$D14*F$12</f>
        <v>36.600167410714278</v>
      </c>
      <c r="G14" s="150">
        <f t="shared" si="5"/>
        <v>39.772181919642847</v>
      </c>
      <c r="H14" s="150">
        <f t="shared" si="5"/>
        <v>42.252859933035708</v>
      </c>
      <c r="I14" s="150">
        <f t="shared" si="5"/>
        <v>44.675248790922616</v>
      </c>
      <c r="J14" s="150">
        <f t="shared" si="5"/>
        <v>48.340009998139884</v>
      </c>
      <c r="K14" s="150">
        <f t="shared" si="5"/>
        <v>52.389547409784228</v>
      </c>
    </row>
    <row r="15" spans="1:14">
      <c r="A15" s="81" t="s">
        <v>273</v>
      </c>
      <c r="B15" s="83" t="s">
        <v>65</v>
      </c>
      <c r="C15" s="298">
        <f t="shared" ref="C15:C17" si="6">C8</f>
        <v>15.401785714285714</v>
      </c>
      <c r="D15" s="298">
        <f t="shared" si="4"/>
        <v>0.27999999999999997</v>
      </c>
      <c r="E15" s="150">
        <f t="shared" si="5"/>
        <v>129.37499999999997</v>
      </c>
      <c r="F15" s="150">
        <f t="shared" si="5"/>
        <v>161.71874999999997</v>
      </c>
      <c r="G15" s="150">
        <f t="shared" si="5"/>
        <v>175.73437499999997</v>
      </c>
      <c r="H15" s="150">
        <f t="shared" si="5"/>
        <v>186.69531249999997</v>
      </c>
      <c r="I15" s="150">
        <f t="shared" si="5"/>
        <v>197.39869791666663</v>
      </c>
      <c r="J15" s="150">
        <f t="shared" si="5"/>
        <v>213.59153645833334</v>
      </c>
      <c r="K15" s="150">
        <f t="shared" si="5"/>
        <v>231.48451822916667</v>
      </c>
    </row>
    <row r="16" spans="1:14">
      <c r="A16" s="81" t="s">
        <v>328</v>
      </c>
      <c r="B16" s="83" t="s">
        <v>65</v>
      </c>
      <c r="C16" s="298">
        <f t="shared" si="6"/>
        <v>16.071428571428569</v>
      </c>
      <c r="D16" s="298">
        <f t="shared" si="4"/>
        <v>0.16</v>
      </c>
      <c r="E16" s="150">
        <f t="shared" si="5"/>
        <v>77.142857142857139</v>
      </c>
      <c r="F16" s="150">
        <f t="shared" si="5"/>
        <v>96.428571428571416</v>
      </c>
      <c r="G16" s="150">
        <f t="shared" si="5"/>
        <v>104.78571428571428</v>
      </c>
      <c r="H16" s="150">
        <f t="shared" si="5"/>
        <v>111.32142857142857</v>
      </c>
      <c r="I16" s="150">
        <f t="shared" si="5"/>
        <v>117.70357142857142</v>
      </c>
      <c r="J16" s="150">
        <f t="shared" si="5"/>
        <v>127.35892857142859</v>
      </c>
      <c r="K16" s="150">
        <f t="shared" si="5"/>
        <v>138.02803571428575</v>
      </c>
    </row>
    <row r="17" spans="1:11">
      <c r="A17" s="81" t="s">
        <v>325</v>
      </c>
      <c r="B17" s="83" t="s">
        <v>65</v>
      </c>
      <c r="C17" s="298">
        <f t="shared" si="6"/>
        <v>121</v>
      </c>
      <c r="D17" s="298">
        <f t="shared" si="4"/>
        <v>1.0000000000000002E-2</v>
      </c>
      <c r="E17" s="150">
        <f t="shared" si="5"/>
        <v>36.300000000000004</v>
      </c>
      <c r="F17" s="150">
        <f t="shared" si="5"/>
        <v>45.375000000000007</v>
      </c>
      <c r="G17" s="150">
        <f t="shared" si="5"/>
        <v>49.307500000000005</v>
      </c>
      <c r="H17" s="150">
        <f t="shared" si="5"/>
        <v>52.382916666666681</v>
      </c>
      <c r="I17" s="150">
        <f t="shared" si="5"/>
        <v>55.386069444444459</v>
      </c>
      <c r="J17" s="150">
        <f t="shared" si="5"/>
        <v>59.929451388888914</v>
      </c>
      <c r="K17" s="150">
        <f t="shared" si="5"/>
        <v>64.949859027777805</v>
      </c>
    </row>
    <row r="18" spans="1:11">
      <c r="A18" s="159" t="s">
        <v>0</v>
      </c>
      <c r="B18" s="318" t="s">
        <v>65</v>
      </c>
      <c r="C18" s="327"/>
      <c r="D18" s="327"/>
      <c r="E18" s="323">
        <f t="shared" ref="E18:K18" si="7">SUM(E13:E17)</f>
        <v>388.11361607142857</v>
      </c>
      <c r="F18" s="323">
        <f t="shared" si="7"/>
        <v>485.14202008928567</v>
      </c>
      <c r="G18" s="323">
        <f t="shared" si="7"/>
        <v>527.187661830357</v>
      </c>
      <c r="H18" s="323">
        <f t="shared" si="7"/>
        <v>560.06950985863091</v>
      </c>
      <c r="I18" s="323">
        <f t="shared" si="7"/>
        <v>592.17872429935517</v>
      </c>
      <c r="J18" s="323">
        <f t="shared" si="7"/>
        <v>640.75581508866571</v>
      </c>
      <c r="K18" s="323">
        <f t="shared" si="7"/>
        <v>694.43318596695201</v>
      </c>
    </row>
    <row r="19" spans="1:11">
      <c r="A19" s="159" t="s">
        <v>96</v>
      </c>
      <c r="B19" s="318"/>
      <c r="C19" s="327"/>
      <c r="D19" s="327"/>
      <c r="E19" s="323">
        <f>E11+E18</f>
        <v>2522.7385044642851</v>
      </c>
      <c r="F19" s="323">
        <f t="shared" ref="F19:K19" si="8">F11+F18</f>
        <v>2619.7669084821423</v>
      </c>
      <c r="G19" s="323">
        <f t="shared" si="8"/>
        <v>2629.4697488839283</v>
      </c>
      <c r="H19" s="323">
        <f t="shared" si="8"/>
        <v>2721.6467327008932</v>
      </c>
      <c r="I19" s="323">
        <f t="shared" si="8"/>
        <v>2824.0116989397316</v>
      </c>
      <c r="J19" s="323">
        <f t="shared" si="8"/>
        <v>3050.0249915209574</v>
      </c>
      <c r="K19" s="323">
        <f t="shared" si="8"/>
        <v>3268.2104277669278</v>
      </c>
    </row>
    <row r="22" spans="1:11">
      <c r="A22" s="316" t="s">
        <v>165</v>
      </c>
      <c r="B22" s="317" t="str">
        <f>B4</f>
        <v>Ед.изм.</v>
      </c>
      <c r="C22" s="317"/>
      <c r="D22" s="317"/>
      <c r="E22" s="320">
        <f>E4</f>
        <v>2013</v>
      </c>
      <c r="F22" s="320">
        <f t="shared" ref="F22:K22" si="9">F4</f>
        <v>2014</v>
      </c>
      <c r="G22" s="320">
        <f t="shared" si="9"/>
        <v>2015</v>
      </c>
      <c r="H22" s="320">
        <f t="shared" si="9"/>
        <v>2016</v>
      </c>
      <c r="I22" s="320">
        <f t="shared" si="9"/>
        <v>2017</v>
      </c>
      <c r="J22" s="320">
        <f t="shared" si="9"/>
        <v>2018</v>
      </c>
      <c r="K22" s="320">
        <f t="shared" si="9"/>
        <v>2019</v>
      </c>
    </row>
    <row r="23" spans="1:11">
      <c r="A23" s="294" t="s">
        <v>317</v>
      </c>
      <c r="B23" s="295" t="s">
        <v>279</v>
      </c>
      <c r="C23" s="296">
        <f>Исх!C28+Исх!C29</f>
        <v>55</v>
      </c>
    </row>
    <row r="24" spans="1:11">
      <c r="A24" s="294" t="s">
        <v>318</v>
      </c>
      <c r="B24" s="295" t="s">
        <v>279</v>
      </c>
      <c r="C24" s="296">
        <f>Исх!C28*Исх!C24</f>
        <v>30</v>
      </c>
    </row>
    <row r="25" spans="1:11">
      <c r="A25" s="81" t="s">
        <v>319</v>
      </c>
      <c r="B25" s="83" t="s">
        <v>279</v>
      </c>
      <c r="C25" s="157">
        <f>C23+C24/2</f>
        <v>70</v>
      </c>
    </row>
    <row r="26" spans="1:11">
      <c r="A26" s="81" t="s">
        <v>316</v>
      </c>
      <c r="B26" s="83" t="s">
        <v>65</v>
      </c>
      <c r="C26" s="157">
        <f>ФОТ!K17</f>
        <v>705.69799999999998</v>
      </c>
    </row>
    <row r="27" spans="1:11">
      <c r="A27" s="81" t="s">
        <v>314</v>
      </c>
      <c r="B27" s="83" t="s">
        <v>65</v>
      </c>
      <c r="C27" s="157">
        <f>C26/C25</f>
        <v>10.0814</v>
      </c>
    </row>
    <row r="28" spans="1:11">
      <c r="A28" s="159" t="s">
        <v>315</v>
      </c>
      <c r="B28" s="318" t="s">
        <v>279</v>
      </c>
      <c r="C28" s="81"/>
      <c r="D28" s="81"/>
      <c r="E28" s="158">
        <f>Производство!E65+Производство!E66/2</f>
        <v>70</v>
      </c>
      <c r="F28" s="158">
        <f>Производство!F65+Производство!F66/2</f>
        <v>73.75</v>
      </c>
      <c r="G28" s="158">
        <f>Производство!G65+Производство!G66/2</f>
        <v>74.541666666666671</v>
      </c>
      <c r="H28" s="158">
        <f>Производство!H65+Производство!H66/2</f>
        <v>77.340277777777786</v>
      </c>
      <c r="I28" s="158">
        <f>Производство!I65+Производство!I66/2</f>
        <v>80.391435185185188</v>
      </c>
      <c r="J28" s="158">
        <f>Производство!J65+Производство!J66/2</f>
        <v>86.840625000000017</v>
      </c>
      <c r="K28" s="158">
        <f>Производство!K65+Производство!K66/2</f>
        <v>93.153831018518545</v>
      </c>
    </row>
    <row r="29" spans="1:11">
      <c r="A29" s="159" t="s">
        <v>49</v>
      </c>
      <c r="B29" s="318" t="s">
        <v>65</v>
      </c>
      <c r="C29" s="159"/>
      <c r="D29" s="159"/>
      <c r="E29" s="158">
        <f>E28*$C$27</f>
        <v>705.69799999999998</v>
      </c>
      <c r="F29" s="158">
        <f t="shared" ref="F29:K29" si="10">F28*$C$27</f>
        <v>743.50324999999998</v>
      </c>
      <c r="G29" s="158">
        <f t="shared" si="10"/>
        <v>751.48435833333338</v>
      </c>
      <c r="H29" s="158">
        <f t="shared" si="10"/>
        <v>779.69827638888898</v>
      </c>
      <c r="I29" s="158">
        <f t="shared" si="10"/>
        <v>810.458214675926</v>
      </c>
      <c r="J29" s="158">
        <f t="shared" si="10"/>
        <v>875.47507687500024</v>
      </c>
      <c r="K29" s="158">
        <f t="shared" si="10"/>
        <v>939.12103203009292</v>
      </c>
    </row>
  </sheetData>
  <phoneticPr fontId="3" type="noConversion"/>
  <pageMargins left="0.34" right="0.43" top="0.45" bottom="0.38" header="0.2" footer="0.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R91"/>
  <sheetViews>
    <sheetView showGridLines="0" workbookViewId="0">
      <pane xSplit="1" ySplit="4" topLeftCell="B68" activePane="bottomRight" state="frozen"/>
      <selection pane="topRight" activeCell="B1" sqref="B1"/>
      <selection pane="bottomLeft" activeCell="A8" sqref="A8"/>
      <selection pane="bottomRight" activeCell="E75" sqref="E75:K75"/>
    </sheetView>
  </sheetViews>
  <sheetFormatPr defaultRowHeight="12.75" outlineLevelRow="1"/>
  <cols>
    <col min="1" max="1" width="34.5703125" style="78" customWidth="1"/>
    <col min="2" max="2" width="7.28515625" style="151" customWidth="1"/>
    <col min="3" max="3" width="9" style="78" customWidth="1"/>
    <col min="4" max="4" width="8.85546875" style="78" customWidth="1"/>
    <col min="5" max="5" width="9.140625" style="78"/>
    <col min="6" max="12" width="9" style="78" customWidth="1"/>
    <col min="13" max="13" width="11.140625" style="78" customWidth="1"/>
    <col min="14" max="14" width="2.85546875" style="78" customWidth="1"/>
    <col min="15" max="16384" width="9.140625" style="78"/>
  </cols>
  <sheetData>
    <row r="1" spans="1:15" ht="17.25" customHeight="1">
      <c r="A1" s="62" t="s">
        <v>376</v>
      </c>
      <c r="B1" s="144"/>
      <c r="C1" s="62"/>
      <c r="E1" s="332">
        <f>E65+E66</f>
        <v>85</v>
      </c>
      <c r="F1" s="332">
        <f t="shared" ref="F1:K1" si="0">F65+F66</f>
        <v>92.5</v>
      </c>
      <c r="G1" s="332">
        <f t="shared" si="0"/>
        <v>94.916666666666671</v>
      </c>
      <c r="H1" s="332">
        <f t="shared" si="0"/>
        <v>98.986111111111114</v>
      </c>
      <c r="I1" s="332">
        <f t="shared" si="0"/>
        <v>103.27824074074076</v>
      </c>
      <c r="J1" s="332">
        <f t="shared" si="0"/>
        <v>111.60486111111113</v>
      </c>
      <c r="K1" s="332">
        <f t="shared" si="0"/>
        <v>119.99261574074077</v>
      </c>
      <c r="L1" s="332">
        <f>L65+L66</f>
        <v>129.74565972222226</v>
      </c>
      <c r="O1" s="208"/>
    </row>
    <row r="2" spans="1:15">
      <c r="E2" s="144"/>
      <c r="F2" s="144"/>
      <c r="G2" s="144"/>
      <c r="H2" s="144"/>
      <c r="I2" s="144"/>
    </row>
    <row r="3" spans="1:15">
      <c r="A3" s="226"/>
      <c r="B3" s="251" t="s">
        <v>226</v>
      </c>
      <c r="C3" s="251" t="s">
        <v>120</v>
      </c>
      <c r="D3" s="251" t="s">
        <v>251</v>
      </c>
      <c r="E3" s="251">
        <v>2013</v>
      </c>
      <c r="F3" s="251">
        <f>E3+1</f>
        <v>2014</v>
      </c>
      <c r="G3" s="251">
        <f t="shared" ref="G3:L3" si="1">F3+1</f>
        <v>2015</v>
      </c>
      <c r="H3" s="251">
        <f t="shared" si="1"/>
        <v>2016</v>
      </c>
      <c r="I3" s="251">
        <f t="shared" si="1"/>
        <v>2017</v>
      </c>
      <c r="J3" s="251">
        <f t="shared" si="1"/>
        <v>2018</v>
      </c>
      <c r="K3" s="251">
        <f t="shared" si="1"/>
        <v>2019</v>
      </c>
      <c r="L3" s="251">
        <f t="shared" si="1"/>
        <v>2020</v>
      </c>
      <c r="O3" s="332">
        <f>'1-Ф3'!B2</f>
        <v>-7067.2772696429602</v>
      </c>
    </row>
    <row r="4" spans="1:15" ht="13.5" thickBot="1">
      <c r="A4" s="258" t="s">
        <v>342</v>
      </c>
      <c r="B4" s="259"/>
      <c r="C4" s="259"/>
      <c r="D4" s="260"/>
      <c r="E4" s="261"/>
      <c r="F4" s="261"/>
      <c r="G4" s="261"/>
      <c r="H4" s="261"/>
      <c r="I4" s="261"/>
      <c r="J4" s="261"/>
      <c r="K4" s="261"/>
      <c r="L4" s="261"/>
    </row>
    <row r="5" spans="1:15" outlineLevel="1">
      <c r="A5" s="262" t="s">
        <v>378</v>
      </c>
      <c r="B5" s="263"/>
      <c r="C5" s="264"/>
      <c r="D5" s="265"/>
      <c r="E5" s="266">
        <f>Исх!C28</f>
        <v>50</v>
      </c>
      <c r="F5" s="267"/>
      <c r="G5" s="267"/>
      <c r="H5" s="267"/>
      <c r="I5" s="267"/>
      <c r="J5" s="267"/>
      <c r="K5" s="267"/>
      <c r="L5" s="268"/>
    </row>
    <row r="6" spans="1:15" ht="25.5" outlineLevel="1">
      <c r="A6" s="269" t="s">
        <v>252</v>
      </c>
      <c r="B6" s="270"/>
      <c r="C6" s="150"/>
      <c r="D6" s="271">
        <f>Исх!$C$23</f>
        <v>0.33333333333333331</v>
      </c>
      <c r="E6" s="150"/>
      <c r="F6" s="157"/>
      <c r="G6" s="272">
        <f>$E$5*$D$6-F7-E7</f>
        <v>16.666666666666664</v>
      </c>
      <c r="H6" s="272">
        <f>G8*$D$6-G7</f>
        <v>11.111111111111111</v>
      </c>
      <c r="I6" s="272">
        <f>H8*$D$6-H7</f>
        <v>7.4074074074074083</v>
      </c>
      <c r="J6" s="149"/>
      <c r="K6" s="149"/>
      <c r="L6" s="273"/>
    </row>
    <row r="7" spans="1:15" outlineLevel="1">
      <c r="A7" s="269" t="s">
        <v>253</v>
      </c>
      <c r="B7" s="270"/>
      <c r="C7" s="150"/>
      <c r="D7" s="271"/>
      <c r="E7" s="149"/>
      <c r="F7" s="149"/>
      <c r="G7" s="149"/>
      <c r="H7" s="149"/>
      <c r="I7" s="149"/>
      <c r="J7" s="149"/>
      <c r="K7" s="149"/>
      <c r="L7" s="273"/>
    </row>
    <row r="8" spans="1:15" outlineLevel="1">
      <c r="A8" s="269" t="s">
        <v>359</v>
      </c>
      <c r="B8" s="270"/>
      <c r="C8" s="150"/>
      <c r="D8" s="271"/>
      <c r="E8" s="150">
        <f>E5-E6-E7</f>
        <v>50</v>
      </c>
      <c r="F8" s="150">
        <f>E8+F5-F6-F7</f>
        <v>50</v>
      </c>
      <c r="G8" s="150">
        <f>F8+G5-G6-G7</f>
        <v>33.333333333333336</v>
      </c>
      <c r="H8" s="150">
        <f>G8+H5-H6-H7</f>
        <v>22.222222222222225</v>
      </c>
      <c r="I8" s="150">
        <f t="shared" ref="I8:L8" si="2">H8+I5-I6-I7</f>
        <v>14.814814814814817</v>
      </c>
      <c r="J8" s="150">
        <f>I8+J5-J6-J7</f>
        <v>14.814814814814817</v>
      </c>
      <c r="K8" s="150">
        <f t="shared" si="2"/>
        <v>14.814814814814817</v>
      </c>
      <c r="L8" s="274">
        <f t="shared" si="2"/>
        <v>14.814814814814817</v>
      </c>
    </row>
    <row r="9" spans="1:15" outlineLevel="1">
      <c r="A9" s="275" t="s">
        <v>254</v>
      </c>
      <c r="B9" s="270"/>
      <c r="C9" s="150"/>
      <c r="D9" s="271">
        <f>Исх!C24</f>
        <v>0.6</v>
      </c>
      <c r="E9" s="150">
        <f>E8*$D$9</f>
        <v>30</v>
      </c>
      <c r="F9" s="150">
        <f t="shared" ref="F9:L9" si="3">F8*$D$9</f>
        <v>30</v>
      </c>
      <c r="G9" s="150">
        <f>G8*$D$9</f>
        <v>20</v>
      </c>
      <c r="H9" s="150">
        <f t="shared" si="3"/>
        <v>13.333333333333334</v>
      </c>
      <c r="I9" s="150">
        <f t="shared" si="3"/>
        <v>8.8888888888888893</v>
      </c>
      <c r="J9" s="150">
        <f t="shared" si="3"/>
        <v>8.8888888888888893</v>
      </c>
      <c r="K9" s="150">
        <f t="shared" si="3"/>
        <v>8.8888888888888893</v>
      </c>
      <c r="L9" s="274">
        <f t="shared" si="3"/>
        <v>8.8888888888888893</v>
      </c>
    </row>
    <row r="10" spans="1:15" outlineLevel="1">
      <c r="A10" s="275" t="s">
        <v>355</v>
      </c>
      <c r="B10" s="270"/>
      <c r="C10" s="150"/>
      <c r="D10" s="271">
        <f>Исх!C25</f>
        <v>0.5</v>
      </c>
      <c r="E10" s="150">
        <f>E9*$D$10</f>
        <v>15</v>
      </c>
      <c r="F10" s="150">
        <f t="shared" ref="F10:L10" si="4">F9*$D$10</f>
        <v>15</v>
      </c>
      <c r="G10" s="150">
        <f>G9*$D$10</f>
        <v>10</v>
      </c>
      <c r="H10" s="150">
        <f t="shared" si="4"/>
        <v>6.666666666666667</v>
      </c>
      <c r="I10" s="150">
        <f t="shared" si="4"/>
        <v>4.4444444444444446</v>
      </c>
      <c r="J10" s="150">
        <f t="shared" si="4"/>
        <v>4.4444444444444446</v>
      </c>
      <c r="K10" s="150">
        <f t="shared" si="4"/>
        <v>4.4444444444444446</v>
      </c>
      <c r="L10" s="274">
        <f t="shared" si="4"/>
        <v>4.4444444444444446</v>
      </c>
    </row>
    <row r="11" spans="1:15" ht="13.5" outlineLevel="1" thickBot="1">
      <c r="A11" s="276" t="s">
        <v>356</v>
      </c>
      <c r="B11" s="277"/>
      <c r="C11" s="278"/>
      <c r="D11" s="285">
        <f>Исх!C26</f>
        <v>0.5</v>
      </c>
      <c r="E11" s="278">
        <f>E9*$D$11</f>
        <v>15</v>
      </c>
      <c r="F11" s="278">
        <f t="shared" ref="F11:L11" si="5">F9*$D$11</f>
        <v>15</v>
      </c>
      <c r="G11" s="278">
        <f>G9*$D$11</f>
        <v>10</v>
      </c>
      <c r="H11" s="278">
        <f t="shared" si="5"/>
        <v>6.666666666666667</v>
      </c>
      <c r="I11" s="278">
        <f t="shared" si="5"/>
        <v>4.4444444444444446</v>
      </c>
      <c r="J11" s="278">
        <f t="shared" si="5"/>
        <v>4.4444444444444446</v>
      </c>
      <c r="K11" s="278">
        <f t="shared" si="5"/>
        <v>4.4444444444444446</v>
      </c>
      <c r="L11" s="279">
        <f t="shared" si="5"/>
        <v>4.4444444444444446</v>
      </c>
    </row>
    <row r="12" spans="1:15" ht="13.5" thickBot="1">
      <c r="A12" s="280" t="s">
        <v>255</v>
      </c>
      <c r="B12" s="281"/>
      <c r="C12" s="282"/>
      <c r="D12" s="283"/>
      <c r="E12" s="282"/>
      <c r="F12" s="282"/>
      <c r="G12" s="282"/>
      <c r="H12" s="282"/>
      <c r="I12" s="282"/>
      <c r="J12" s="282"/>
      <c r="K12" s="282"/>
      <c r="L12" s="284"/>
    </row>
    <row r="13" spans="1:15" outlineLevel="1">
      <c r="A13" s="262" t="s">
        <v>357</v>
      </c>
      <c r="B13" s="263"/>
      <c r="C13" s="264"/>
      <c r="D13" s="265"/>
      <c r="E13" s="267"/>
      <c r="F13" s="267"/>
      <c r="G13" s="267">
        <f>E11</f>
        <v>15</v>
      </c>
      <c r="H13" s="267"/>
      <c r="I13" s="267"/>
      <c r="J13" s="267"/>
      <c r="K13" s="267"/>
      <c r="L13" s="268"/>
    </row>
    <row r="14" spans="1:15" outlineLevel="1">
      <c r="A14" s="269" t="s">
        <v>256</v>
      </c>
      <c r="B14" s="270"/>
      <c r="C14" s="150"/>
      <c r="D14" s="271">
        <f>D6</f>
        <v>0.33333333333333331</v>
      </c>
      <c r="E14" s="150"/>
      <c r="F14" s="157"/>
      <c r="G14" s="157"/>
      <c r="H14" s="157"/>
      <c r="I14" s="272">
        <f>$G$13*$D$14-H15</f>
        <v>5</v>
      </c>
      <c r="J14" s="272">
        <f>I16*$D$14-I15</f>
        <v>3.333333333333333</v>
      </c>
      <c r="K14" s="272">
        <f>J16*$D$14-J15</f>
        <v>2.2222222222222223</v>
      </c>
      <c r="L14" s="273"/>
    </row>
    <row r="15" spans="1:15" outlineLevel="1">
      <c r="A15" s="269" t="s">
        <v>253</v>
      </c>
      <c r="B15" s="270"/>
      <c r="C15" s="150"/>
      <c r="D15" s="271"/>
      <c r="E15" s="149"/>
      <c r="F15" s="149"/>
      <c r="G15" s="149"/>
      <c r="H15" s="149"/>
      <c r="I15" s="149"/>
      <c r="J15" s="149"/>
      <c r="K15" s="149"/>
      <c r="L15" s="273"/>
    </row>
    <row r="16" spans="1:15" outlineLevel="1">
      <c r="A16" s="269" t="s">
        <v>357</v>
      </c>
      <c r="B16" s="270"/>
      <c r="C16" s="150"/>
      <c r="D16" s="271"/>
      <c r="E16" s="150">
        <f>E13-E14-E15</f>
        <v>0</v>
      </c>
      <c r="F16" s="150">
        <f t="shared" ref="F16:L16" si="6">E16+F13-F14-F15</f>
        <v>0</v>
      </c>
      <c r="G16" s="150">
        <f t="shared" si="6"/>
        <v>15</v>
      </c>
      <c r="H16" s="150">
        <f>G16+H13-H14-H15</f>
        <v>15</v>
      </c>
      <c r="I16" s="150">
        <f t="shared" si="6"/>
        <v>10</v>
      </c>
      <c r="J16" s="150">
        <f t="shared" si="6"/>
        <v>6.666666666666667</v>
      </c>
      <c r="K16" s="150">
        <f t="shared" si="6"/>
        <v>4.4444444444444446</v>
      </c>
      <c r="L16" s="274">
        <f t="shared" si="6"/>
        <v>4.4444444444444446</v>
      </c>
    </row>
    <row r="17" spans="1:12" outlineLevel="1">
      <c r="A17" s="275" t="s">
        <v>254</v>
      </c>
      <c r="B17" s="270"/>
      <c r="C17" s="150"/>
      <c r="D17" s="271">
        <f>D9</f>
        <v>0.6</v>
      </c>
      <c r="E17" s="150">
        <f t="shared" ref="E17:L17" si="7">E16*$D$9</f>
        <v>0</v>
      </c>
      <c r="F17" s="150">
        <f t="shared" si="7"/>
        <v>0</v>
      </c>
      <c r="G17" s="150">
        <f t="shared" si="7"/>
        <v>9</v>
      </c>
      <c r="H17" s="150">
        <f t="shared" si="7"/>
        <v>9</v>
      </c>
      <c r="I17" s="150">
        <f t="shared" si="7"/>
        <v>6</v>
      </c>
      <c r="J17" s="150">
        <f t="shared" si="7"/>
        <v>4</v>
      </c>
      <c r="K17" s="150">
        <f t="shared" si="7"/>
        <v>2.6666666666666665</v>
      </c>
      <c r="L17" s="274">
        <f t="shared" si="7"/>
        <v>2.6666666666666665</v>
      </c>
    </row>
    <row r="18" spans="1:12" outlineLevel="1">
      <c r="A18" s="275" t="s">
        <v>355</v>
      </c>
      <c r="B18" s="270"/>
      <c r="C18" s="150"/>
      <c r="D18" s="271">
        <f>D10</f>
        <v>0.5</v>
      </c>
      <c r="E18" s="150">
        <f t="shared" ref="E18:L18" si="8">E17*$D$10</f>
        <v>0</v>
      </c>
      <c r="F18" s="150">
        <f t="shared" si="8"/>
        <v>0</v>
      </c>
      <c r="G18" s="150">
        <f t="shared" si="8"/>
        <v>4.5</v>
      </c>
      <c r="H18" s="150">
        <f t="shared" si="8"/>
        <v>4.5</v>
      </c>
      <c r="I18" s="150">
        <f t="shared" si="8"/>
        <v>3</v>
      </c>
      <c r="J18" s="150">
        <f t="shared" si="8"/>
        <v>2</v>
      </c>
      <c r="K18" s="150">
        <f t="shared" si="8"/>
        <v>1.3333333333333333</v>
      </c>
      <c r="L18" s="274">
        <f t="shared" si="8"/>
        <v>1.3333333333333333</v>
      </c>
    </row>
    <row r="19" spans="1:12" ht="13.5" outlineLevel="1" thickBot="1">
      <c r="A19" s="276" t="s">
        <v>356</v>
      </c>
      <c r="B19" s="277"/>
      <c r="C19" s="278"/>
      <c r="D19" s="285">
        <f>D11</f>
        <v>0.5</v>
      </c>
      <c r="E19" s="278">
        <f t="shared" ref="E19:L19" si="9">E17*$D$11</f>
        <v>0</v>
      </c>
      <c r="F19" s="278">
        <f t="shared" si="9"/>
        <v>0</v>
      </c>
      <c r="G19" s="278">
        <f t="shared" si="9"/>
        <v>4.5</v>
      </c>
      <c r="H19" s="278">
        <f t="shared" si="9"/>
        <v>4.5</v>
      </c>
      <c r="I19" s="278">
        <f t="shared" si="9"/>
        <v>3</v>
      </c>
      <c r="J19" s="278">
        <f t="shared" si="9"/>
        <v>2</v>
      </c>
      <c r="K19" s="278">
        <f t="shared" si="9"/>
        <v>1.3333333333333333</v>
      </c>
      <c r="L19" s="279">
        <f t="shared" si="9"/>
        <v>1.3333333333333333</v>
      </c>
    </row>
    <row r="20" spans="1:12" ht="13.5" thickBot="1">
      <c r="A20" s="280" t="s">
        <v>257</v>
      </c>
      <c r="B20" s="281"/>
      <c r="C20" s="282"/>
      <c r="D20" s="283"/>
      <c r="E20" s="282"/>
      <c r="F20" s="282"/>
      <c r="G20" s="282"/>
      <c r="H20" s="282"/>
      <c r="I20" s="282"/>
      <c r="J20" s="282"/>
      <c r="K20" s="282"/>
      <c r="L20" s="284"/>
    </row>
    <row r="21" spans="1:12" outlineLevel="1">
      <c r="A21" s="262" t="str">
        <f>A13</f>
        <v>Поголовье лошадей</v>
      </c>
      <c r="B21" s="263"/>
      <c r="C21" s="264"/>
      <c r="D21" s="265"/>
      <c r="E21" s="267"/>
      <c r="F21" s="267"/>
      <c r="G21" s="267"/>
      <c r="H21" s="267">
        <f>F11</f>
        <v>15</v>
      </c>
      <c r="I21" s="267"/>
      <c r="J21" s="267"/>
      <c r="K21" s="267"/>
      <c r="L21" s="268"/>
    </row>
    <row r="22" spans="1:12" outlineLevel="1">
      <c r="A22" s="269" t="str">
        <f>A14</f>
        <v>Выбраковка</v>
      </c>
      <c r="B22" s="270"/>
      <c r="C22" s="150"/>
      <c r="D22" s="271">
        <f>D14</f>
        <v>0.33333333333333331</v>
      </c>
      <c r="E22" s="150"/>
      <c r="F22" s="157"/>
      <c r="G22" s="157"/>
      <c r="H22" s="157"/>
      <c r="I22" s="157"/>
      <c r="J22" s="272">
        <f>$H$21*$D$14-I23</f>
        <v>5</v>
      </c>
      <c r="K22" s="272">
        <f>J24*$D$14-J23</f>
        <v>3.333333333333333</v>
      </c>
      <c r="L22" s="286">
        <f>K24*$D$14-K23</f>
        <v>2.2222222222222223</v>
      </c>
    </row>
    <row r="23" spans="1:12" outlineLevel="1">
      <c r="A23" s="269" t="s">
        <v>253</v>
      </c>
      <c r="B23" s="270"/>
      <c r="C23" s="150"/>
      <c r="D23" s="271"/>
      <c r="E23" s="149"/>
      <c r="F23" s="149"/>
      <c r="G23" s="149"/>
      <c r="H23" s="149"/>
      <c r="I23" s="149"/>
      <c r="J23" s="149"/>
      <c r="K23" s="149"/>
      <c r="L23" s="273"/>
    </row>
    <row r="24" spans="1:12" outlineLevel="1">
      <c r="A24" s="269" t="str">
        <f>A16</f>
        <v>Поголовье лошадей</v>
      </c>
      <c r="B24" s="270"/>
      <c r="C24" s="150"/>
      <c r="D24" s="271"/>
      <c r="E24" s="150">
        <f>E21-E22-E23</f>
        <v>0</v>
      </c>
      <c r="F24" s="150">
        <f t="shared" ref="F24:L24" si="10">E24+F21-F22-F23</f>
        <v>0</v>
      </c>
      <c r="G24" s="150">
        <f t="shared" si="10"/>
        <v>0</v>
      </c>
      <c r="H24" s="150">
        <f t="shared" si="10"/>
        <v>15</v>
      </c>
      <c r="I24" s="150">
        <f t="shared" si="10"/>
        <v>15</v>
      </c>
      <c r="J24" s="150">
        <f t="shared" si="10"/>
        <v>10</v>
      </c>
      <c r="K24" s="150">
        <f>J24+K21-K22-K23</f>
        <v>6.666666666666667</v>
      </c>
      <c r="L24" s="274">
        <f t="shared" si="10"/>
        <v>4.4444444444444446</v>
      </c>
    </row>
    <row r="25" spans="1:12" outlineLevel="1">
      <c r="A25" s="275" t="str">
        <f>A17</f>
        <v>Кол-во полученного приплода</v>
      </c>
      <c r="B25" s="270"/>
      <c r="C25" s="150"/>
      <c r="D25" s="271">
        <f>D17</f>
        <v>0.6</v>
      </c>
      <c r="E25" s="150">
        <f t="shared" ref="E25:L25" si="11">E24*$D$9</f>
        <v>0</v>
      </c>
      <c r="F25" s="150">
        <f t="shared" si="11"/>
        <v>0</v>
      </c>
      <c r="G25" s="150">
        <f t="shared" si="11"/>
        <v>0</v>
      </c>
      <c r="H25" s="150">
        <f t="shared" si="11"/>
        <v>9</v>
      </c>
      <c r="I25" s="150">
        <f t="shared" si="11"/>
        <v>9</v>
      </c>
      <c r="J25" s="150">
        <f t="shared" si="11"/>
        <v>6</v>
      </c>
      <c r="K25" s="150">
        <f t="shared" si="11"/>
        <v>4</v>
      </c>
      <c r="L25" s="274">
        <f t="shared" si="11"/>
        <v>2.6666666666666665</v>
      </c>
    </row>
    <row r="26" spans="1:12" outlineLevel="1">
      <c r="A26" s="275" t="str">
        <f>A18</f>
        <v>в т.ч. поголовье жеребцов</v>
      </c>
      <c r="B26" s="270"/>
      <c r="C26" s="150"/>
      <c r="D26" s="271">
        <f>D18</f>
        <v>0.5</v>
      </c>
      <c r="E26" s="150">
        <f t="shared" ref="E26:L26" si="12">E25*$D$10</f>
        <v>0</v>
      </c>
      <c r="F26" s="150">
        <f t="shared" si="12"/>
        <v>0</v>
      </c>
      <c r="G26" s="150">
        <f t="shared" si="12"/>
        <v>0</v>
      </c>
      <c r="H26" s="150">
        <f t="shared" si="12"/>
        <v>4.5</v>
      </c>
      <c r="I26" s="150">
        <f t="shared" si="12"/>
        <v>4.5</v>
      </c>
      <c r="J26" s="150">
        <f t="shared" si="12"/>
        <v>3</v>
      </c>
      <c r="K26" s="150">
        <f t="shared" si="12"/>
        <v>2</v>
      </c>
      <c r="L26" s="274">
        <f t="shared" si="12"/>
        <v>1.3333333333333333</v>
      </c>
    </row>
    <row r="27" spans="1:12" ht="13.5" outlineLevel="1" thickBot="1">
      <c r="A27" s="276" t="str">
        <f>A19</f>
        <v>поголовье кобыл</v>
      </c>
      <c r="B27" s="277"/>
      <c r="C27" s="278"/>
      <c r="D27" s="285">
        <f>D19</f>
        <v>0.5</v>
      </c>
      <c r="E27" s="278">
        <f t="shared" ref="E27:L27" si="13">E25*$D$11</f>
        <v>0</v>
      </c>
      <c r="F27" s="278">
        <f t="shared" si="13"/>
        <v>0</v>
      </c>
      <c r="G27" s="278">
        <f t="shared" si="13"/>
        <v>0</v>
      </c>
      <c r="H27" s="278">
        <f t="shared" si="13"/>
        <v>4.5</v>
      </c>
      <c r="I27" s="278">
        <f t="shared" si="13"/>
        <v>4.5</v>
      </c>
      <c r="J27" s="278">
        <f t="shared" si="13"/>
        <v>3</v>
      </c>
      <c r="K27" s="278">
        <f t="shared" si="13"/>
        <v>2</v>
      </c>
      <c r="L27" s="279">
        <f t="shared" si="13"/>
        <v>1.3333333333333333</v>
      </c>
    </row>
    <row r="28" spans="1:12" ht="13.5" thickBot="1">
      <c r="A28" s="280" t="s">
        <v>258</v>
      </c>
      <c r="B28" s="281"/>
      <c r="C28" s="282"/>
      <c r="D28" s="283"/>
      <c r="E28" s="282"/>
      <c r="F28" s="282"/>
      <c r="G28" s="282"/>
      <c r="H28" s="282"/>
      <c r="I28" s="282"/>
      <c r="J28" s="282"/>
      <c r="K28" s="282"/>
      <c r="L28" s="284"/>
    </row>
    <row r="29" spans="1:12" outlineLevel="1">
      <c r="A29" s="262" t="str">
        <f>A21</f>
        <v>Поголовье лошадей</v>
      </c>
      <c r="B29" s="263"/>
      <c r="C29" s="264"/>
      <c r="D29" s="265"/>
      <c r="E29" s="267"/>
      <c r="F29" s="267"/>
      <c r="G29" s="267"/>
      <c r="H29" s="267"/>
      <c r="I29" s="267">
        <f>G11+G19</f>
        <v>14.5</v>
      </c>
      <c r="J29" s="267"/>
      <c r="K29" s="267"/>
      <c r="L29" s="268"/>
    </row>
    <row r="30" spans="1:12" outlineLevel="1">
      <c r="A30" s="269" t="str">
        <f>A22</f>
        <v>Выбраковка</v>
      </c>
      <c r="B30" s="270"/>
      <c r="C30" s="150"/>
      <c r="D30" s="271">
        <f>D22</f>
        <v>0.33333333333333331</v>
      </c>
      <c r="E30" s="150"/>
      <c r="F30" s="157"/>
      <c r="G30" s="157"/>
      <c r="H30" s="157"/>
      <c r="I30" s="157"/>
      <c r="J30" s="157"/>
      <c r="K30" s="272">
        <f>I29*$D$14-J31</f>
        <v>4.833333333333333</v>
      </c>
      <c r="L30" s="286">
        <f>I29*$D$14-K31</f>
        <v>4.833333333333333</v>
      </c>
    </row>
    <row r="31" spans="1:12" outlineLevel="1">
      <c r="A31" s="269" t="s">
        <v>253</v>
      </c>
      <c r="B31" s="270"/>
      <c r="C31" s="150"/>
      <c r="D31" s="271"/>
      <c r="E31" s="149"/>
      <c r="F31" s="149"/>
      <c r="G31" s="149"/>
      <c r="H31" s="149"/>
      <c r="I31" s="149"/>
      <c r="J31" s="149"/>
      <c r="K31" s="149"/>
      <c r="L31" s="273"/>
    </row>
    <row r="32" spans="1:12" outlineLevel="1">
      <c r="A32" s="269" t="str">
        <f>A24</f>
        <v>Поголовье лошадей</v>
      </c>
      <c r="B32" s="270"/>
      <c r="C32" s="150"/>
      <c r="D32" s="271"/>
      <c r="E32" s="150">
        <f>E29-E30-E31</f>
        <v>0</v>
      </c>
      <c r="F32" s="150">
        <f t="shared" ref="F32:L32" si="14">E32+F29-F30-F31</f>
        <v>0</v>
      </c>
      <c r="G32" s="150">
        <f t="shared" si="14"/>
        <v>0</v>
      </c>
      <c r="H32" s="150">
        <f t="shared" si="14"/>
        <v>0</v>
      </c>
      <c r="I32" s="150">
        <f t="shared" si="14"/>
        <v>14.5</v>
      </c>
      <c r="J32" s="150">
        <f t="shared" si="14"/>
        <v>14.5</v>
      </c>
      <c r="K32" s="150">
        <f t="shared" si="14"/>
        <v>9.6666666666666679</v>
      </c>
      <c r="L32" s="274">
        <f t="shared" si="14"/>
        <v>4.8333333333333348</v>
      </c>
    </row>
    <row r="33" spans="1:12" outlineLevel="1">
      <c r="A33" s="275" t="str">
        <f>A25</f>
        <v>Кол-во полученного приплода</v>
      </c>
      <c r="B33" s="270"/>
      <c r="C33" s="150"/>
      <c r="D33" s="271">
        <f>D25</f>
        <v>0.6</v>
      </c>
      <c r="E33" s="150">
        <f t="shared" ref="E33:L33" si="15">E32*$D$9</f>
        <v>0</v>
      </c>
      <c r="F33" s="150">
        <f t="shared" si="15"/>
        <v>0</v>
      </c>
      <c r="G33" s="150">
        <f t="shared" si="15"/>
        <v>0</v>
      </c>
      <c r="H33" s="150">
        <f t="shared" si="15"/>
        <v>0</v>
      </c>
      <c r="I33" s="150">
        <f t="shared" si="15"/>
        <v>8.6999999999999993</v>
      </c>
      <c r="J33" s="150">
        <f t="shared" si="15"/>
        <v>8.6999999999999993</v>
      </c>
      <c r="K33" s="150">
        <f t="shared" si="15"/>
        <v>5.8000000000000007</v>
      </c>
      <c r="L33" s="274">
        <f t="shared" si="15"/>
        <v>2.9000000000000008</v>
      </c>
    </row>
    <row r="34" spans="1:12" outlineLevel="1">
      <c r="A34" s="275" t="str">
        <f>A26</f>
        <v>в т.ч. поголовье жеребцов</v>
      </c>
      <c r="B34" s="270"/>
      <c r="C34" s="150"/>
      <c r="D34" s="271">
        <f>D26</f>
        <v>0.5</v>
      </c>
      <c r="E34" s="150">
        <f t="shared" ref="E34:L34" si="16">E33*$D$10</f>
        <v>0</v>
      </c>
      <c r="F34" s="150">
        <f t="shared" si="16"/>
        <v>0</v>
      </c>
      <c r="G34" s="150">
        <f t="shared" si="16"/>
        <v>0</v>
      </c>
      <c r="H34" s="150">
        <f t="shared" si="16"/>
        <v>0</v>
      </c>
      <c r="I34" s="150">
        <f t="shared" si="16"/>
        <v>4.3499999999999996</v>
      </c>
      <c r="J34" s="150">
        <f t="shared" si="16"/>
        <v>4.3499999999999996</v>
      </c>
      <c r="K34" s="150">
        <f t="shared" si="16"/>
        <v>2.9000000000000004</v>
      </c>
      <c r="L34" s="274">
        <f t="shared" si="16"/>
        <v>1.4500000000000004</v>
      </c>
    </row>
    <row r="35" spans="1:12" ht="13.5" outlineLevel="1" thickBot="1">
      <c r="A35" s="276" t="str">
        <f>A27</f>
        <v>поголовье кобыл</v>
      </c>
      <c r="B35" s="277"/>
      <c r="C35" s="278"/>
      <c r="D35" s="285">
        <f>D27</f>
        <v>0.5</v>
      </c>
      <c r="E35" s="278">
        <f t="shared" ref="E35:L35" si="17">E33*$D$11</f>
        <v>0</v>
      </c>
      <c r="F35" s="278">
        <f t="shared" si="17"/>
        <v>0</v>
      </c>
      <c r="G35" s="278">
        <f t="shared" si="17"/>
        <v>0</v>
      </c>
      <c r="H35" s="278">
        <f t="shared" si="17"/>
        <v>0</v>
      </c>
      <c r="I35" s="278">
        <f t="shared" si="17"/>
        <v>4.3499999999999996</v>
      </c>
      <c r="J35" s="278">
        <f t="shared" si="17"/>
        <v>4.3499999999999996</v>
      </c>
      <c r="K35" s="278">
        <f t="shared" si="17"/>
        <v>2.9000000000000004</v>
      </c>
      <c r="L35" s="279">
        <f t="shared" si="17"/>
        <v>1.4500000000000004</v>
      </c>
    </row>
    <row r="36" spans="1:12" ht="13.5" thickBot="1">
      <c r="A36" s="280" t="s">
        <v>259</v>
      </c>
      <c r="B36" s="281"/>
      <c r="C36" s="282"/>
      <c r="D36" s="283"/>
      <c r="E36" s="282"/>
      <c r="F36" s="282"/>
      <c r="G36" s="282"/>
      <c r="H36" s="282"/>
      <c r="I36" s="282"/>
      <c r="J36" s="282"/>
      <c r="K36" s="282"/>
      <c r="L36" s="284"/>
    </row>
    <row r="37" spans="1:12" outlineLevel="1">
      <c r="A37" s="262" t="str">
        <f>A29</f>
        <v>Поголовье лошадей</v>
      </c>
      <c r="B37" s="263"/>
      <c r="C37" s="264"/>
      <c r="D37" s="265"/>
      <c r="E37" s="267"/>
      <c r="F37" s="267"/>
      <c r="G37" s="267"/>
      <c r="H37" s="267"/>
      <c r="I37" s="267"/>
      <c r="J37" s="267">
        <f>H11+H19+H27</f>
        <v>15.666666666666668</v>
      </c>
      <c r="K37" s="267"/>
      <c r="L37" s="268"/>
    </row>
    <row r="38" spans="1:12" outlineLevel="1">
      <c r="A38" s="269" t="str">
        <f>A30</f>
        <v>Выбраковка</v>
      </c>
      <c r="B38" s="270"/>
      <c r="C38" s="150"/>
      <c r="D38" s="271">
        <f>D30</f>
        <v>0.33333333333333331</v>
      </c>
      <c r="E38" s="150"/>
      <c r="F38" s="157"/>
      <c r="G38" s="157"/>
      <c r="H38" s="157"/>
      <c r="I38" s="157"/>
      <c r="J38" s="157"/>
      <c r="K38" s="157"/>
      <c r="L38" s="286">
        <f>J37*$D$14</f>
        <v>5.2222222222222223</v>
      </c>
    </row>
    <row r="39" spans="1:12" outlineLevel="1">
      <c r="A39" s="269" t="s">
        <v>253</v>
      </c>
      <c r="B39" s="270"/>
      <c r="C39" s="150"/>
      <c r="D39" s="271"/>
      <c r="E39" s="149"/>
      <c r="F39" s="149"/>
      <c r="G39" s="149"/>
      <c r="H39" s="149"/>
      <c r="I39" s="149"/>
      <c r="J39" s="149"/>
      <c r="K39" s="149">
        <v>2</v>
      </c>
      <c r="L39" s="273"/>
    </row>
    <row r="40" spans="1:12" outlineLevel="1">
      <c r="A40" s="269" t="str">
        <f>A32</f>
        <v>Поголовье лошадей</v>
      </c>
      <c r="B40" s="270"/>
      <c r="C40" s="150"/>
      <c r="D40" s="271"/>
      <c r="E40" s="150">
        <f>E37-E38-E39</f>
        <v>0</v>
      </c>
      <c r="F40" s="150">
        <f t="shared" ref="F40:L40" si="18">E40+F37-F38-F39</f>
        <v>0</v>
      </c>
      <c r="G40" s="150">
        <f t="shared" si="18"/>
        <v>0</v>
      </c>
      <c r="H40" s="150">
        <f t="shared" si="18"/>
        <v>0</v>
      </c>
      <c r="I40" s="150">
        <f t="shared" si="18"/>
        <v>0</v>
      </c>
      <c r="J40" s="150">
        <f t="shared" si="18"/>
        <v>15.666666666666668</v>
      </c>
      <c r="K40" s="150">
        <f t="shared" si="18"/>
        <v>13.666666666666668</v>
      </c>
      <c r="L40" s="274">
        <f t="shared" si="18"/>
        <v>8.4444444444444464</v>
      </c>
    </row>
    <row r="41" spans="1:12" outlineLevel="1">
      <c r="A41" s="275" t="str">
        <f>A33</f>
        <v>Кол-во полученного приплода</v>
      </c>
      <c r="B41" s="270"/>
      <c r="C41" s="150"/>
      <c r="D41" s="271">
        <f>D33</f>
        <v>0.6</v>
      </c>
      <c r="E41" s="150">
        <f t="shared" ref="E41:L41" si="19">E40*$D$9</f>
        <v>0</v>
      </c>
      <c r="F41" s="150">
        <f t="shared" si="19"/>
        <v>0</v>
      </c>
      <c r="G41" s="150">
        <f t="shared" si="19"/>
        <v>0</v>
      </c>
      <c r="H41" s="150">
        <f t="shared" si="19"/>
        <v>0</v>
      </c>
      <c r="I41" s="150">
        <f t="shared" si="19"/>
        <v>0</v>
      </c>
      <c r="J41" s="150">
        <f t="shared" si="19"/>
        <v>9.4</v>
      </c>
      <c r="K41" s="150">
        <f t="shared" si="19"/>
        <v>8.2000000000000011</v>
      </c>
      <c r="L41" s="274">
        <f t="shared" si="19"/>
        <v>5.0666666666666673</v>
      </c>
    </row>
    <row r="42" spans="1:12" outlineLevel="1">
      <c r="A42" s="275" t="str">
        <f>A34</f>
        <v>в т.ч. поголовье жеребцов</v>
      </c>
      <c r="B42" s="270"/>
      <c r="C42" s="150"/>
      <c r="D42" s="271">
        <f>D34</f>
        <v>0.5</v>
      </c>
      <c r="E42" s="150">
        <f t="shared" ref="E42:L42" si="20">E41*$D$10</f>
        <v>0</v>
      </c>
      <c r="F42" s="150">
        <f t="shared" si="20"/>
        <v>0</v>
      </c>
      <c r="G42" s="150">
        <f t="shared" si="20"/>
        <v>0</v>
      </c>
      <c r="H42" s="150">
        <f t="shared" si="20"/>
        <v>0</v>
      </c>
      <c r="I42" s="150">
        <f t="shared" si="20"/>
        <v>0</v>
      </c>
      <c r="J42" s="150">
        <f t="shared" si="20"/>
        <v>4.7</v>
      </c>
      <c r="K42" s="150">
        <f t="shared" si="20"/>
        <v>4.1000000000000005</v>
      </c>
      <c r="L42" s="274">
        <f t="shared" si="20"/>
        <v>2.5333333333333337</v>
      </c>
    </row>
    <row r="43" spans="1:12" ht="13.5" outlineLevel="1" thickBot="1">
      <c r="A43" s="276" t="str">
        <f>A35</f>
        <v>поголовье кобыл</v>
      </c>
      <c r="B43" s="277"/>
      <c r="C43" s="278"/>
      <c r="D43" s="285">
        <f>D35</f>
        <v>0.5</v>
      </c>
      <c r="E43" s="278">
        <f t="shared" ref="E43:L43" si="21">E41*$D$11</f>
        <v>0</v>
      </c>
      <c r="F43" s="278">
        <f t="shared" si="21"/>
        <v>0</v>
      </c>
      <c r="G43" s="278">
        <f t="shared" si="21"/>
        <v>0</v>
      </c>
      <c r="H43" s="278">
        <f t="shared" si="21"/>
        <v>0</v>
      </c>
      <c r="I43" s="278">
        <f t="shared" si="21"/>
        <v>0</v>
      </c>
      <c r="J43" s="278">
        <f t="shared" si="21"/>
        <v>4.7</v>
      </c>
      <c r="K43" s="278">
        <f t="shared" si="21"/>
        <v>4.1000000000000005</v>
      </c>
      <c r="L43" s="279">
        <f t="shared" si="21"/>
        <v>2.5333333333333337</v>
      </c>
    </row>
    <row r="44" spans="1:12" ht="13.5" thickBot="1">
      <c r="A44" s="280" t="s">
        <v>260</v>
      </c>
      <c r="B44" s="281"/>
      <c r="C44" s="282"/>
      <c r="D44" s="283"/>
      <c r="E44" s="282"/>
      <c r="F44" s="282"/>
      <c r="G44" s="282"/>
      <c r="H44" s="282"/>
      <c r="I44" s="282"/>
      <c r="J44" s="282"/>
      <c r="K44" s="282"/>
      <c r="L44" s="284"/>
    </row>
    <row r="45" spans="1:12" outlineLevel="1">
      <c r="A45" s="262" t="str">
        <f>A37</f>
        <v>Поголовье лошадей</v>
      </c>
      <c r="B45" s="263"/>
      <c r="C45" s="264"/>
      <c r="D45" s="265"/>
      <c r="E45" s="267"/>
      <c r="F45" s="267"/>
      <c r="G45" s="267"/>
      <c r="H45" s="267"/>
      <c r="I45" s="267"/>
      <c r="J45" s="267"/>
      <c r="K45" s="267">
        <f>I11+I19+I27+I35</f>
        <v>16.294444444444444</v>
      </c>
      <c r="L45" s="268"/>
    </row>
    <row r="46" spans="1:12" outlineLevel="1">
      <c r="A46" s="269" t="str">
        <f>A38</f>
        <v>Выбраковка</v>
      </c>
      <c r="B46" s="270"/>
      <c r="C46" s="150"/>
      <c r="D46" s="271">
        <f>D38</f>
        <v>0.33333333333333331</v>
      </c>
      <c r="E46" s="150"/>
      <c r="F46" s="157"/>
      <c r="G46" s="157"/>
      <c r="H46" s="157"/>
      <c r="I46" s="157"/>
      <c r="J46" s="157"/>
      <c r="K46" s="157"/>
      <c r="L46" s="287"/>
    </row>
    <row r="47" spans="1:12" outlineLevel="1">
      <c r="A47" s="269" t="s">
        <v>253</v>
      </c>
      <c r="B47" s="270"/>
      <c r="C47" s="150"/>
      <c r="D47" s="271"/>
      <c r="E47" s="149"/>
      <c r="F47" s="149"/>
      <c r="G47" s="149"/>
      <c r="H47" s="149"/>
      <c r="I47" s="149"/>
      <c r="J47" s="149"/>
      <c r="K47" s="149"/>
      <c r="L47" s="273"/>
    </row>
    <row r="48" spans="1:12" outlineLevel="1">
      <c r="A48" s="269" t="str">
        <f>A40</f>
        <v>Поголовье лошадей</v>
      </c>
      <c r="B48" s="270"/>
      <c r="C48" s="150"/>
      <c r="D48" s="271"/>
      <c r="E48" s="150">
        <f>E45-E46-E47</f>
        <v>0</v>
      </c>
      <c r="F48" s="150">
        <f t="shared" ref="F48:L48" si="22">E48+F45-F46-F47</f>
        <v>0</v>
      </c>
      <c r="G48" s="150">
        <f t="shared" si="22"/>
        <v>0</v>
      </c>
      <c r="H48" s="150">
        <f t="shared" si="22"/>
        <v>0</v>
      </c>
      <c r="I48" s="150">
        <f t="shared" si="22"/>
        <v>0</v>
      </c>
      <c r="J48" s="150">
        <f t="shared" si="22"/>
        <v>0</v>
      </c>
      <c r="K48" s="150">
        <f t="shared" si="22"/>
        <v>16.294444444444444</v>
      </c>
      <c r="L48" s="274">
        <f t="shared" si="22"/>
        <v>16.294444444444444</v>
      </c>
    </row>
    <row r="49" spans="1:12" outlineLevel="1">
      <c r="A49" s="275" t="str">
        <f>A41</f>
        <v>Кол-во полученного приплода</v>
      </c>
      <c r="B49" s="270"/>
      <c r="C49" s="150"/>
      <c r="D49" s="271">
        <f>D41</f>
        <v>0.6</v>
      </c>
      <c r="E49" s="150">
        <f t="shared" ref="E49:L49" si="23">E48*$D$9</f>
        <v>0</v>
      </c>
      <c r="F49" s="150">
        <f t="shared" si="23"/>
        <v>0</v>
      </c>
      <c r="G49" s="150">
        <f t="shared" si="23"/>
        <v>0</v>
      </c>
      <c r="H49" s="150">
        <f t="shared" si="23"/>
        <v>0</v>
      </c>
      <c r="I49" s="150">
        <f t="shared" si="23"/>
        <v>0</v>
      </c>
      <c r="J49" s="150">
        <f t="shared" si="23"/>
        <v>0</v>
      </c>
      <c r="K49" s="150">
        <f t="shared" si="23"/>
        <v>9.7766666666666655</v>
      </c>
      <c r="L49" s="274">
        <f t="shared" si="23"/>
        <v>9.7766666666666655</v>
      </c>
    </row>
    <row r="50" spans="1:12" outlineLevel="1">
      <c r="A50" s="275" t="str">
        <f>A42</f>
        <v>в т.ч. поголовье жеребцов</v>
      </c>
      <c r="B50" s="270"/>
      <c r="C50" s="150"/>
      <c r="D50" s="271">
        <f>D42</f>
        <v>0.5</v>
      </c>
      <c r="E50" s="150">
        <f t="shared" ref="E50:L50" si="24">E49*$D$10</f>
        <v>0</v>
      </c>
      <c r="F50" s="150">
        <f t="shared" si="24"/>
        <v>0</v>
      </c>
      <c r="G50" s="150">
        <f t="shared" si="24"/>
        <v>0</v>
      </c>
      <c r="H50" s="150">
        <f t="shared" si="24"/>
        <v>0</v>
      </c>
      <c r="I50" s="150">
        <f t="shared" si="24"/>
        <v>0</v>
      </c>
      <c r="J50" s="150">
        <f t="shared" si="24"/>
        <v>0</v>
      </c>
      <c r="K50" s="150">
        <f t="shared" si="24"/>
        <v>4.8883333333333328</v>
      </c>
      <c r="L50" s="274">
        <f t="shared" si="24"/>
        <v>4.8883333333333328</v>
      </c>
    </row>
    <row r="51" spans="1:12" ht="13.5" outlineLevel="1" thickBot="1">
      <c r="A51" s="276" t="str">
        <f>A43</f>
        <v>поголовье кобыл</v>
      </c>
      <c r="B51" s="277"/>
      <c r="C51" s="278"/>
      <c r="D51" s="285">
        <f>D43</f>
        <v>0.5</v>
      </c>
      <c r="E51" s="278">
        <f t="shared" ref="E51:L51" si="25">E49*$D$11</f>
        <v>0</v>
      </c>
      <c r="F51" s="278">
        <f t="shared" si="25"/>
        <v>0</v>
      </c>
      <c r="G51" s="278">
        <f t="shared" si="25"/>
        <v>0</v>
      </c>
      <c r="H51" s="278">
        <f t="shared" si="25"/>
        <v>0</v>
      </c>
      <c r="I51" s="278">
        <f t="shared" si="25"/>
        <v>0</v>
      </c>
      <c r="J51" s="278">
        <f t="shared" si="25"/>
        <v>0</v>
      </c>
      <c r="K51" s="278">
        <f t="shared" si="25"/>
        <v>4.8883333333333328</v>
      </c>
      <c r="L51" s="279">
        <f t="shared" si="25"/>
        <v>4.8883333333333328</v>
      </c>
    </row>
    <row r="52" spans="1:12" ht="13.5" thickBot="1">
      <c r="A52" s="280" t="s">
        <v>261</v>
      </c>
      <c r="B52" s="281"/>
      <c r="C52" s="282"/>
      <c r="D52" s="283"/>
      <c r="E52" s="282"/>
      <c r="F52" s="282"/>
      <c r="G52" s="282"/>
      <c r="H52" s="282"/>
      <c r="I52" s="282"/>
      <c r="J52" s="282"/>
      <c r="K52" s="282"/>
      <c r="L52" s="284"/>
    </row>
    <row r="53" spans="1:12" outlineLevel="1">
      <c r="A53" s="262" t="str">
        <f>A45</f>
        <v>Поголовье лошадей</v>
      </c>
      <c r="B53" s="263"/>
      <c r="C53" s="264"/>
      <c r="D53" s="265"/>
      <c r="E53" s="267"/>
      <c r="F53" s="267"/>
      <c r="G53" s="267"/>
      <c r="H53" s="267"/>
      <c r="I53" s="267"/>
      <c r="J53" s="267"/>
      <c r="K53" s="267"/>
      <c r="L53" s="268">
        <f>J11+J19+J27+J35+J43</f>
        <v>18.494444444444444</v>
      </c>
    </row>
    <row r="54" spans="1:12" outlineLevel="1">
      <c r="A54" s="269" t="str">
        <f>A46</f>
        <v>Выбраковка</v>
      </c>
      <c r="B54" s="270"/>
      <c r="C54" s="150"/>
      <c r="D54" s="271">
        <f>D46</f>
        <v>0.33333333333333331</v>
      </c>
      <c r="E54" s="150"/>
      <c r="F54" s="157"/>
      <c r="G54" s="157"/>
      <c r="H54" s="157"/>
      <c r="I54" s="157"/>
      <c r="J54" s="157"/>
      <c r="K54" s="157"/>
      <c r="L54" s="287"/>
    </row>
    <row r="55" spans="1:12" outlineLevel="1">
      <c r="A55" s="269" t="s">
        <v>253</v>
      </c>
      <c r="B55" s="270"/>
      <c r="C55" s="150"/>
      <c r="D55" s="271"/>
      <c r="E55" s="149"/>
      <c r="F55" s="149"/>
      <c r="G55" s="149"/>
      <c r="H55" s="149"/>
      <c r="I55" s="149"/>
      <c r="J55" s="149"/>
      <c r="K55" s="149"/>
      <c r="L55" s="273"/>
    </row>
    <row r="56" spans="1:12" outlineLevel="1">
      <c r="A56" s="269" t="str">
        <f>A48</f>
        <v>Поголовье лошадей</v>
      </c>
      <c r="B56" s="270"/>
      <c r="C56" s="150"/>
      <c r="D56" s="271"/>
      <c r="E56" s="150">
        <f>E53-E54-E55</f>
        <v>0</v>
      </c>
      <c r="F56" s="150">
        <f t="shared" ref="F56:L56" si="26">E56+F53-F54-F55</f>
        <v>0</v>
      </c>
      <c r="G56" s="150">
        <f t="shared" si="26"/>
        <v>0</v>
      </c>
      <c r="H56" s="150">
        <f t="shared" si="26"/>
        <v>0</v>
      </c>
      <c r="I56" s="150">
        <f t="shared" si="26"/>
        <v>0</v>
      </c>
      <c r="J56" s="150">
        <f t="shared" si="26"/>
        <v>0</v>
      </c>
      <c r="K56" s="150">
        <f t="shared" si="26"/>
        <v>0</v>
      </c>
      <c r="L56" s="274">
        <f t="shared" si="26"/>
        <v>18.494444444444444</v>
      </c>
    </row>
    <row r="57" spans="1:12" outlineLevel="1">
      <c r="A57" s="275" t="str">
        <f>A49</f>
        <v>Кол-во полученного приплода</v>
      </c>
      <c r="B57" s="270"/>
      <c r="C57" s="150"/>
      <c r="D57" s="271">
        <f>D49</f>
        <v>0.6</v>
      </c>
      <c r="E57" s="150">
        <f t="shared" ref="E57:L57" si="27">E56*$D$9</f>
        <v>0</v>
      </c>
      <c r="F57" s="150">
        <f t="shared" si="27"/>
        <v>0</v>
      </c>
      <c r="G57" s="150">
        <f t="shared" si="27"/>
        <v>0</v>
      </c>
      <c r="H57" s="150">
        <f t="shared" si="27"/>
        <v>0</v>
      </c>
      <c r="I57" s="150">
        <f t="shared" si="27"/>
        <v>0</v>
      </c>
      <c r="J57" s="150">
        <f t="shared" si="27"/>
        <v>0</v>
      </c>
      <c r="K57" s="150">
        <f t="shared" si="27"/>
        <v>0</v>
      </c>
      <c r="L57" s="274">
        <f t="shared" si="27"/>
        <v>11.096666666666666</v>
      </c>
    </row>
    <row r="58" spans="1:12" outlineLevel="1">
      <c r="A58" s="275" t="str">
        <f>A50</f>
        <v>в т.ч. поголовье жеребцов</v>
      </c>
      <c r="B58" s="270"/>
      <c r="C58" s="150"/>
      <c r="D58" s="271">
        <f>D50</f>
        <v>0.5</v>
      </c>
      <c r="E58" s="150">
        <f t="shared" ref="E58:L58" si="28">E57*$D$10</f>
        <v>0</v>
      </c>
      <c r="F58" s="150">
        <f t="shared" si="28"/>
        <v>0</v>
      </c>
      <c r="G58" s="150">
        <f t="shared" si="28"/>
        <v>0</v>
      </c>
      <c r="H58" s="150">
        <f t="shared" si="28"/>
        <v>0</v>
      </c>
      <c r="I58" s="150">
        <f t="shared" si="28"/>
        <v>0</v>
      </c>
      <c r="J58" s="150">
        <f t="shared" si="28"/>
        <v>0</v>
      </c>
      <c r="K58" s="150">
        <f t="shared" si="28"/>
        <v>0</v>
      </c>
      <c r="L58" s="274">
        <f t="shared" si="28"/>
        <v>5.5483333333333329</v>
      </c>
    </row>
    <row r="59" spans="1:12" ht="13.5" outlineLevel="1" thickBot="1">
      <c r="A59" s="276" t="str">
        <f>A51</f>
        <v>поголовье кобыл</v>
      </c>
      <c r="B59" s="277"/>
      <c r="C59" s="278"/>
      <c r="D59" s="285">
        <f>D51</f>
        <v>0.5</v>
      </c>
      <c r="E59" s="278">
        <f t="shared" ref="E59:L59" si="29">E57*$D$11</f>
        <v>0</v>
      </c>
      <c r="F59" s="278">
        <f t="shared" si="29"/>
        <v>0</v>
      </c>
      <c r="G59" s="278">
        <f t="shared" si="29"/>
        <v>0</v>
      </c>
      <c r="H59" s="278">
        <f t="shared" si="29"/>
        <v>0</v>
      </c>
      <c r="I59" s="278">
        <f t="shared" si="29"/>
        <v>0</v>
      </c>
      <c r="J59" s="278">
        <f t="shared" si="29"/>
        <v>0</v>
      </c>
      <c r="K59" s="278">
        <f t="shared" si="29"/>
        <v>0</v>
      </c>
      <c r="L59" s="279">
        <f t="shared" si="29"/>
        <v>5.5483333333333329</v>
      </c>
    </row>
    <row r="60" spans="1:12" ht="13.5" thickBot="1">
      <c r="A60" s="288"/>
      <c r="B60" s="289"/>
      <c r="C60" s="290"/>
      <c r="D60" s="290"/>
      <c r="E60" s="290"/>
      <c r="F60" s="290"/>
      <c r="G60" s="290"/>
      <c r="H60" s="290"/>
      <c r="I60" s="290"/>
      <c r="J60" s="290"/>
      <c r="K60" s="290"/>
      <c r="L60" s="291"/>
    </row>
    <row r="61" spans="1:12">
      <c r="A61" s="262" t="s">
        <v>358</v>
      </c>
      <c r="B61" s="263"/>
      <c r="C61" s="264"/>
      <c r="D61" s="292"/>
      <c r="E61" s="264">
        <f>E10+E18+E26+E34+E42+E50+E58-E67</f>
        <v>15</v>
      </c>
      <c r="F61" s="264">
        <f t="shared" ref="F61:L61" si="30">E61+F10+F18+F26+F34+F42+F50+F58-F67</f>
        <v>15</v>
      </c>
      <c r="G61" s="264">
        <f t="shared" si="30"/>
        <v>14.5</v>
      </c>
      <c r="H61" s="264">
        <f t="shared" si="30"/>
        <v>15.666666666666668</v>
      </c>
      <c r="I61" s="264">
        <f t="shared" si="30"/>
        <v>16.294444444444448</v>
      </c>
      <c r="J61" s="264">
        <f t="shared" si="30"/>
        <v>18.494444444444454</v>
      </c>
      <c r="K61" s="264">
        <f t="shared" si="30"/>
        <v>19.666111111111125</v>
      </c>
      <c r="L61" s="268">
        <f t="shared" si="30"/>
        <v>21.531111111111127</v>
      </c>
    </row>
    <row r="62" spans="1:12">
      <c r="A62" s="275" t="s">
        <v>358</v>
      </c>
      <c r="B62" s="270"/>
      <c r="C62" s="150"/>
      <c r="D62" s="271"/>
      <c r="E62" s="150">
        <f>Исх!$C$29</f>
        <v>5</v>
      </c>
      <c r="F62" s="150">
        <f t="shared" ref="F62:L62" si="31">E62</f>
        <v>5</v>
      </c>
      <c r="G62" s="150">
        <f t="shared" si="31"/>
        <v>5</v>
      </c>
      <c r="H62" s="150">
        <f t="shared" si="31"/>
        <v>5</v>
      </c>
      <c r="I62" s="150">
        <f t="shared" si="31"/>
        <v>5</v>
      </c>
      <c r="J62" s="150">
        <f t="shared" si="31"/>
        <v>5</v>
      </c>
      <c r="K62" s="150">
        <f t="shared" si="31"/>
        <v>5</v>
      </c>
      <c r="L62" s="274">
        <f t="shared" si="31"/>
        <v>5</v>
      </c>
    </row>
    <row r="63" spans="1:12">
      <c r="A63" s="275" t="s">
        <v>359</v>
      </c>
      <c r="B63" s="270"/>
      <c r="C63" s="150"/>
      <c r="D63" s="271"/>
      <c r="E63" s="150">
        <f>E11+E19+E27+E35+E43+E51+E59-E68</f>
        <v>15</v>
      </c>
      <c r="F63" s="150">
        <f t="shared" ref="F63:L63" si="32">E63+F11+F19+F27+F35+F43+F51+F59-F68</f>
        <v>30</v>
      </c>
      <c r="G63" s="150">
        <f t="shared" si="32"/>
        <v>29.5</v>
      </c>
      <c r="H63" s="150">
        <f t="shared" si="32"/>
        <v>30.166666666666664</v>
      </c>
      <c r="I63" s="150">
        <f t="shared" si="32"/>
        <v>31.961111111111109</v>
      </c>
      <c r="J63" s="150">
        <f t="shared" si="32"/>
        <v>34.788888888888891</v>
      </c>
      <c r="K63" s="150">
        <f t="shared" si="32"/>
        <v>38.160555555555561</v>
      </c>
      <c r="L63" s="274">
        <f t="shared" si="32"/>
        <v>41.197222222222237</v>
      </c>
    </row>
    <row r="64" spans="1:12" ht="13.5" thickBot="1">
      <c r="A64" s="302" t="s">
        <v>359</v>
      </c>
      <c r="B64" s="303"/>
      <c r="C64" s="304"/>
      <c r="D64" s="305"/>
      <c r="E64" s="304">
        <f>E5</f>
        <v>50</v>
      </c>
      <c r="F64" s="304">
        <f t="shared" ref="F64:L64" si="33">E64+F68-F69-F70</f>
        <v>50</v>
      </c>
      <c r="G64" s="304">
        <f t="shared" si="33"/>
        <v>48.333333333333336</v>
      </c>
      <c r="H64" s="304">
        <f t="shared" si="33"/>
        <v>52.222222222222229</v>
      </c>
      <c r="I64" s="304">
        <f t="shared" si="33"/>
        <v>54.314814814814824</v>
      </c>
      <c r="J64" s="304">
        <f t="shared" si="33"/>
        <v>61.648148148148167</v>
      </c>
      <c r="K64" s="304">
        <f>J64+K68-K69-K70</f>
        <v>65.553703703703718</v>
      </c>
      <c r="L64" s="279">
        <f>K64+L68-L69-L70</f>
        <v>71.770370370370387</v>
      </c>
    </row>
    <row r="65" spans="1:18">
      <c r="A65" s="306" t="s">
        <v>283</v>
      </c>
      <c r="B65" s="307"/>
      <c r="C65" s="308"/>
      <c r="D65" s="309"/>
      <c r="E65" s="308">
        <f>E62+E64</f>
        <v>55</v>
      </c>
      <c r="F65" s="308">
        <f t="shared" ref="F65:L65" si="34">(E65+F62+F64)/2</f>
        <v>55</v>
      </c>
      <c r="G65" s="308">
        <f t="shared" si="34"/>
        <v>54.166666666666671</v>
      </c>
      <c r="H65" s="308">
        <f t="shared" si="34"/>
        <v>55.69444444444445</v>
      </c>
      <c r="I65" s="308">
        <f t="shared" si="34"/>
        <v>57.504629629629633</v>
      </c>
      <c r="J65" s="308">
        <f t="shared" si="34"/>
        <v>62.0763888888889</v>
      </c>
      <c r="K65" s="308">
        <f t="shared" si="34"/>
        <v>66.315046296296316</v>
      </c>
      <c r="L65" s="310">
        <f t="shared" si="34"/>
        <v>71.542708333333351</v>
      </c>
    </row>
    <row r="66" spans="1:18" ht="13.5" thickBot="1">
      <c r="A66" s="311" t="s">
        <v>284</v>
      </c>
      <c r="B66" s="312"/>
      <c r="C66" s="313"/>
      <c r="D66" s="314"/>
      <c r="E66" s="313">
        <f>E61+E63</f>
        <v>30</v>
      </c>
      <c r="F66" s="313">
        <f t="shared" ref="F66:L66" si="35">(E66+F61+F63)/2</f>
        <v>37.5</v>
      </c>
      <c r="G66" s="313">
        <f t="shared" si="35"/>
        <v>40.75</v>
      </c>
      <c r="H66" s="313">
        <f t="shared" si="35"/>
        <v>43.291666666666671</v>
      </c>
      <c r="I66" s="313">
        <f t="shared" si="35"/>
        <v>45.773611111111116</v>
      </c>
      <c r="J66" s="313">
        <f t="shared" si="35"/>
        <v>49.528472222222234</v>
      </c>
      <c r="K66" s="313">
        <f t="shared" si="35"/>
        <v>53.677569444444458</v>
      </c>
      <c r="L66" s="315">
        <f t="shared" si="35"/>
        <v>58.202951388888913</v>
      </c>
    </row>
    <row r="67" spans="1:18">
      <c r="A67" s="262" t="s">
        <v>385</v>
      </c>
      <c r="B67" s="263"/>
      <c r="C67" s="264"/>
      <c r="D67" s="292"/>
      <c r="E67" s="264"/>
      <c r="F67" s="264">
        <f>E10+E18+E26+E34+E42+E50+E58</f>
        <v>15</v>
      </c>
      <c r="G67" s="264">
        <f t="shared" ref="F67:L67" si="36">F10+F18+F26+F34+F42+F50+F58</f>
        <v>15</v>
      </c>
      <c r="H67" s="264">
        <f t="shared" si="36"/>
        <v>14.5</v>
      </c>
      <c r="I67" s="264">
        <f t="shared" si="36"/>
        <v>15.666666666666668</v>
      </c>
      <c r="J67" s="264">
        <f t="shared" si="36"/>
        <v>16.294444444444444</v>
      </c>
      <c r="K67" s="264">
        <f t="shared" si="36"/>
        <v>18.494444444444444</v>
      </c>
      <c r="L67" s="293">
        <f t="shared" si="36"/>
        <v>19.66611111111111</v>
      </c>
      <c r="N67" s="208" t="s">
        <v>281</v>
      </c>
    </row>
    <row r="68" spans="1:18">
      <c r="A68" s="275" t="s">
        <v>381</v>
      </c>
      <c r="B68" s="270"/>
      <c r="C68" s="150"/>
      <c r="D68" s="271"/>
      <c r="E68" s="150"/>
      <c r="F68" s="150"/>
      <c r="G68" s="150">
        <f t="shared" ref="G68:L68" si="37">E11+E19+E27+E35+E43+E51+E59</f>
        <v>15</v>
      </c>
      <c r="H68" s="150">
        <f t="shared" si="37"/>
        <v>15</v>
      </c>
      <c r="I68" s="150">
        <f t="shared" si="37"/>
        <v>14.5</v>
      </c>
      <c r="J68" s="150">
        <f t="shared" si="37"/>
        <v>15.666666666666668</v>
      </c>
      <c r="K68" s="150">
        <f t="shared" si="37"/>
        <v>16.294444444444444</v>
      </c>
      <c r="L68" s="274">
        <f t="shared" si="37"/>
        <v>18.494444444444444</v>
      </c>
      <c r="N68" s="78" t="s">
        <v>282</v>
      </c>
    </row>
    <row r="69" spans="1:18">
      <c r="A69" s="275" t="s">
        <v>379</v>
      </c>
      <c r="B69" s="270"/>
      <c r="C69" s="150"/>
      <c r="D69" s="271"/>
      <c r="E69" s="150">
        <f t="shared" ref="E69:L70" si="38">E6+E14+E22+E30+E38+E46+E54</f>
        <v>0</v>
      </c>
      <c r="F69" s="150">
        <f t="shared" si="38"/>
        <v>0</v>
      </c>
      <c r="G69" s="150">
        <f t="shared" si="38"/>
        <v>16.666666666666664</v>
      </c>
      <c r="H69" s="150">
        <f t="shared" si="38"/>
        <v>11.111111111111111</v>
      </c>
      <c r="I69" s="150">
        <f t="shared" si="38"/>
        <v>12.407407407407408</v>
      </c>
      <c r="J69" s="150">
        <f t="shared" si="38"/>
        <v>8.3333333333333321</v>
      </c>
      <c r="K69" s="150">
        <f t="shared" si="38"/>
        <v>10.388888888888889</v>
      </c>
      <c r="L69" s="274">
        <f t="shared" si="38"/>
        <v>12.277777777777779</v>
      </c>
    </row>
    <row r="70" spans="1:18" ht="13.5" thickBot="1">
      <c r="A70" s="276" t="s">
        <v>380</v>
      </c>
      <c r="B70" s="277"/>
      <c r="C70" s="278"/>
      <c r="D70" s="285"/>
      <c r="E70" s="278">
        <f t="shared" si="38"/>
        <v>0</v>
      </c>
      <c r="F70" s="278">
        <f t="shared" si="38"/>
        <v>0</v>
      </c>
      <c r="G70" s="278">
        <f t="shared" si="38"/>
        <v>0</v>
      </c>
      <c r="H70" s="278">
        <f t="shared" si="38"/>
        <v>0</v>
      </c>
      <c r="I70" s="278">
        <f t="shared" si="38"/>
        <v>0</v>
      </c>
      <c r="J70" s="278">
        <f t="shared" si="38"/>
        <v>0</v>
      </c>
      <c r="K70" s="278">
        <f t="shared" si="38"/>
        <v>2</v>
      </c>
      <c r="L70" s="279">
        <f t="shared" si="38"/>
        <v>0</v>
      </c>
    </row>
    <row r="71" spans="1:18">
      <c r="B71" s="78"/>
    </row>
    <row r="72" spans="1:18">
      <c r="A72" s="62"/>
    </row>
    <row r="73" spans="1:18" ht="25.5">
      <c r="A73" s="319" t="s">
        <v>353</v>
      </c>
      <c r="B73" s="320"/>
      <c r="C73" s="317" t="s">
        <v>289</v>
      </c>
      <c r="D73" s="317" t="s">
        <v>290</v>
      </c>
      <c r="E73" s="329">
        <f>E3</f>
        <v>2013</v>
      </c>
      <c r="F73" s="329">
        <f t="shared" ref="F73:L73" si="39">F3</f>
        <v>2014</v>
      </c>
      <c r="G73" s="329">
        <f t="shared" si="39"/>
        <v>2015</v>
      </c>
      <c r="H73" s="329">
        <f t="shared" si="39"/>
        <v>2016</v>
      </c>
      <c r="I73" s="329">
        <f t="shared" si="39"/>
        <v>2017</v>
      </c>
      <c r="J73" s="329">
        <f t="shared" si="39"/>
        <v>2018</v>
      </c>
      <c r="K73" s="329">
        <f t="shared" si="39"/>
        <v>2019</v>
      </c>
      <c r="L73" s="329">
        <f t="shared" si="39"/>
        <v>2020</v>
      </c>
      <c r="M73" s="301"/>
    </row>
    <row r="74" spans="1:18">
      <c r="A74" s="81" t="s">
        <v>359</v>
      </c>
      <c r="B74" s="83"/>
      <c r="C74" s="298"/>
      <c r="D74" s="271">
        <f>Исх!C26</f>
        <v>0.5</v>
      </c>
      <c r="E74" s="150">
        <f>E64*$D$74</f>
        <v>25</v>
      </c>
      <c r="F74" s="150">
        <f>F64*$D$74</f>
        <v>25</v>
      </c>
      <c r="G74" s="150">
        <f t="shared" ref="G74:L74" si="40">G64*$D$74</f>
        <v>24.166666666666668</v>
      </c>
      <c r="H74" s="150">
        <f t="shared" si="40"/>
        <v>26.111111111111114</v>
      </c>
      <c r="I74" s="150">
        <f t="shared" si="40"/>
        <v>27.157407407407412</v>
      </c>
      <c r="J74" s="150">
        <f t="shared" si="40"/>
        <v>30.824074074074083</v>
      </c>
      <c r="K74" s="150">
        <f t="shared" si="40"/>
        <v>32.776851851851859</v>
      </c>
      <c r="L74" s="150">
        <f>L64*$D$74</f>
        <v>35.885185185185193</v>
      </c>
      <c r="M74" s="301"/>
    </row>
    <row r="75" spans="1:18">
      <c r="A75" s="159" t="s">
        <v>287</v>
      </c>
      <c r="B75" s="318" t="s">
        <v>288</v>
      </c>
      <c r="C75" s="323">
        <f>Исх!$C$27</f>
        <v>1920</v>
      </c>
      <c r="D75" s="323"/>
      <c r="E75" s="323">
        <f>E74*$C$75/12*8</f>
        <v>32000</v>
      </c>
      <c r="F75" s="323">
        <f>F74*$C$75</f>
        <v>48000</v>
      </c>
      <c r="G75" s="323">
        <f t="shared" ref="G75:L75" si="41">G74*$C$75</f>
        <v>46400</v>
      </c>
      <c r="H75" s="323">
        <f t="shared" si="41"/>
        <v>50133.333333333343</v>
      </c>
      <c r="I75" s="323">
        <f t="shared" si="41"/>
        <v>52142.222222222234</v>
      </c>
      <c r="J75" s="323">
        <f t="shared" si="41"/>
        <v>59182.222222222241</v>
      </c>
      <c r="K75" s="323">
        <f t="shared" si="41"/>
        <v>62931.555555555569</v>
      </c>
      <c r="L75" s="323">
        <f t="shared" si="41"/>
        <v>68899.555555555577</v>
      </c>
    </row>
    <row r="77" spans="1:18">
      <c r="A77" s="226" t="s">
        <v>286</v>
      </c>
      <c r="B77" s="251"/>
      <c r="C77" s="321" t="s">
        <v>262</v>
      </c>
      <c r="D77" s="322" t="s">
        <v>263</v>
      </c>
      <c r="E77" s="321">
        <f>E73</f>
        <v>2013</v>
      </c>
      <c r="F77" s="321">
        <f t="shared" ref="F77:L77" si="42">F73</f>
        <v>2014</v>
      </c>
      <c r="G77" s="321">
        <f t="shared" si="42"/>
        <v>2015</v>
      </c>
      <c r="H77" s="321">
        <f t="shared" si="42"/>
        <v>2016</v>
      </c>
      <c r="I77" s="321">
        <f t="shared" si="42"/>
        <v>2017</v>
      </c>
      <c r="J77" s="321">
        <f t="shared" si="42"/>
        <v>2018</v>
      </c>
      <c r="K77" s="321">
        <f t="shared" si="42"/>
        <v>2019</v>
      </c>
      <c r="L77" s="321">
        <f t="shared" si="42"/>
        <v>2020</v>
      </c>
      <c r="M77" s="339">
        <f>SUM(M78:M79)</f>
        <v>7.9939581944444456</v>
      </c>
      <c r="O77" s="78" t="s">
        <v>264</v>
      </c>
    </row>
    <row r="78" spans="1:18">
      <c r="A78" s="81" t="s">
        <v>360</v>
      </c>
      <c r="B78" s="83" t="s">
        <v>265</v>
      </c>
      <c r="C78" s="248">
        <f>Исх!C21</f>
        <v>455</v>
      </c>
      <c r="D78" s="271">
        <f>Исх!$C$22</f>
        <v>0.55000000000000004</v>
      </c>
      <c r="E78" s="150">
        <f t="shared" ref="E78:L78" si="43">E67*$C$78*$D$78</f>
        <v>0</v>
      </c>
      <c r="F78" s="150">
        <f>F67*$C$78*$D$78</f>
        <v>3753.7500000000005</v>
      </c>
      <c r="G78" s="150">
        <f t="shared" si="43"/>
        <v>3753.7500000000005</v>
      </c>
      <c r="H78" s="150">
        <f t="shared" si="43"/>
        <v>3628.6250000000005</v>
      </c>
      <c r="I78" s="150">
        <f t="shared" si="43"/>
        <v>3920.5833333333339</v>
      </c>
      <c r="J78" s="150">
        <f t="shared" si="43"/>
        <v>4077.6847222222223</v>
      </c>
      <c r="K78" s="150">
        <f t="shared" si="43"/>
        <v>4628.2347222222224</v>
      </c>
      <c r="L78" s="150">
        <f t="shared" si="43"/>
        <v>4921.4443055555557</v>
      </c>
      <c r="M78" s="340">
        <f>L78/1000</f>
        <v>4.9214443055555561</v>
      </c>
      <c r="O78" s="78">
        <f>90/12/4</f>
        <v>1.875</v>
      </c>
      <c r="P78" s="297" t="s">
        <v>266</v>
      </c>
      <c r="Q78" s="344">
        <f>2/0.4</f>
        <v>5</v>
      </c>
      <c r="R78" s="78" t="s">
        <v>267</v>
      </c>
    </row>
    <row r="79" spans="1:18">
      <c r="A79" s="81" t="s">
        <v>361</v>
      </c>
      <c r="B79" s="83" t="s">
        <v>265</v>
      </c>
      <c r="C79" s="248">
        <f>C78</f>
        <v>455</v>
      </c>
      <c r="D79" s="271">
        <f>D78</f>
        <v>0.55000000000000004</v>
      </c>
      <c r="E79" s="150">
        <f t="shared" ref="E79:L79" si="44">(E69+E70)*$C$79*$D$79</f>
        <v>0</v>
      </c>
      <c r="F79" s="150">
        <f t="shared" si="44"/>
        <v>0</v>
      </c>
      <c r="G79" s="150">
        <f>(G69+G70)*$C$79*$D$79</f>
        <v>4170.833333333333</v>
      </c>
      <c r="H79" s="150">
        <f t="shared" si="44"/>
        <v>2780.5555555555557</v>
      </c>
      <c r="I79" s="150">
        <f t="shared" si="44"/>
        <v>3104.9537037037039</v>
      </c>
      <c r="J79" s="150">
        <f t="shared" si="44"/>
        <v>2085.4166666666665</v>
      </c>
      <c r="K79" s="150">
        <f t="shared" si="44"/>
        <v>3100.3194444444448</v>
      </c>
      <c r="L79" s="150">
        <f t="shared" si="44"/>
        <v>3072.5138888888896</v>
      </c>
      <c r="M79" s="340">
        <f>L79/1000</f>
        <v>3.0725138888888894</v>
      </c>
    </row>
    <row r="80" spans="1:18">
      <c r="A80" s="159" t="s">
        <v>0</v>
      </c>
      <c r="B80" s="318"/>
      <c r="C80" s="323"/>
      <c r="D80" s="324"/>
      <c r="E80" s="323">
        <f>SUM(E78:E79)</f>
        <v>0</v>
      </c>
      <c r="F80" s="323">
        <f t="shared" ref="F80:L80" si="45">SUM(F78:F79)</f>
        <v>3753.7500000000005</v>
      </c>
      <c r="G80" s="323">
        <f t="shared" si="45"/>
        <v>7924.5833333333339</v>
      </c>
      <c r="H80" s="323">
        <f t="shared" si="45"/>
        <v>6409.1805555555566</v>
      </c>
      <c r="I80" s="323">
        <f t="shared" si="45"/>
        <v>7025.5370370370383</v>
      </c>
      <c r="J80" s="323">
        <f t="shared" si="45"/>
        <v>6163.1013888888883</v>
      </c>
      <c r="K80" s="323">
        <f t="shared" si="45"/>
        <v>7728.5541666666668</v>
      </c>
      <c r="L80" s="323">
        <f t="shared" si="45"/>
        <v>7993.9581944444453</v>
      </c>
      <c r="M80" s="341" t="s">
        <v>339</v>
      </c>
      <c r="O80" s="181" t="s">
        <v>268</v>
      </c>
      <c r="P80" s="342"/>
      <c r="Q80" s="342"/>
      <c r="R80" s="343"/>
    </row>
    <row r="81" spans="1:2">
      <c r="B81" s="78"/>
    </row>
    <row r="82" spans="1:2">
      <c r="A82" s="62" t="s">
        <v>362</v>
      </c>
    </row>
    <row r="83" spans="1:2">
      <c r="A83" s="170" t="s">
        <v>274</v>
      </c>
      <c r="B83" s="299">
        <f>MAX(E65:L65)+MAX(E66:L66)</f>
        <v>129.74565972222226</v>
      </c>
    </row>
    <row r="84" spans="1:2">
      <c r="A84" s="170" t="s">
        <v>331</v>
      </c>
      <c r="B84" s="299">
        <f>L65</f>
        <v>71.542708333333351</v>
      </c>
    </row>
    <row r="85" spans="1:2">
      <c r="A85" s="170" t="s">
        <v>332</v>
      </c>
      <c r="B85" s="299">
        <f>L66</f>
        <v>58.202951388888913</v>
      </c>
    </row>
    <row r="86" spans="1:2">
      <c r="A86" s="170" t="s">
        <v>333</v>
      </c>
      <c r="B86" s="300">
        <v>7</v>
      </c>
    </row>
    <row r="87" spans="1:2">
      <c r="A87" s="170" t="s">
        <v>334</v>
      </c>
      <c r="B87" s="300">
        <f>B86/2</f>
        <v>3.5</v>
      </c>
    </row>
    <row r="88" spans="1:2" ht="13.5" customHeight="1">
      <c r="A88" s="170" t="s">
        <v>335</v>
      </c>
      <c r="B88" s="254">
        <v>40</v>
      </c>
    </row>
    <row r="89" spans="1:2" ht="13.5" customHeight="1">
      <c r="A89" s="170" t="s">
        <v>363</v>
      </c>
      <c r="B89" s="254">
        <v>30</v>
      </c>
    </row>
    <row r="90" spans="1:2" ht="13.5" customHeight="1">
      <c r="A90" s="170" t="s">
        <v>336</v>
      </c>
      <c r="B90" s="254">
        <v>30</v>
      </c>
    </row>
    <row r="91" spans="1:2" ht="12.75" customHeight="1">
      <c r="A91" s="170" t="s">
        <v>364</v>
      </c>
      <c r="B91" s="299">
        <f>B84*B86+B85*B87+B88+B89+B90</f>
        <v>804.50928819444471</v>
      </c>
    </row>
  </sheetData>
  <pageMargins left="0.70866141732283472" right="0.70866141732283472" top="0.34" bottom="0.39370078740157483" header="0.26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M37"/>
  <sheetViews>
    <sheetView showGridLines="0" workbookViewId="0">
      <pane xSplit="1" ySplit="4" topLeftCell="B20" activePane="bottomRight" state="frozen"/>
      <selection activeCell="A34" sqref="A34"/>
      <selection pane="topRight" activeCell="A34" sqref="A34"/>
      <selection pane="bottomLeft" activeCell="A34" sqref="A34"/>
      <selection pane="bottomRight" activeCell="E10" sqref="E10"/>
    </sheetView>
  </sheetViews>
  <sheetFormatPr defaultRowHeight="12.75"/>
  <cols>
    <col min="1" max="1" width="5.5703125" style="78" customWidth="1"/>
    <col min="2" max="2" width="33.42578125" style="78" customWidth="1"/>
    <col min="3" max="3" width="10" style="78" customWidth="1"/>
    <col min="4" max="4" width="11.5703125" style="78" customWidth="1"/>
    <col min="5" max="5" width="12.7109375" style="78" customWidth="1"/>
    <col min="6" max="9" width="11.5703125" style="78" customWidth="1"/>
    <col min="10" max="10" width="10.140625" style="78" customWidth="1"/>
    <col min="11" max="11" width="12" style="78" customWidth="1"/>
    <col min="12" max="12" width="4.85546875" style="78" customWidth="1"/>
    <col min="13" max="16384" width="9.140625" style="78"/>
  </cols>
  <sheetData>
    <row r="1" spans="1:13" ht="5.25" customHeight="1"/>
    <row r="2" spans="1:13" ht="16.5" customHeight="1">
      <c r="A2" s="62" t="s">
        <v>165</v>
      </c>
      <c r="D2" s="169"/>
      <c r="E2" s="169"/>
      <c r="F2" s="169"/>
      <c r="G2" s="169"/>
      <c r="H2" s="169"/>
      <c r="I2" s="169"/>
      <c r="J2" s="169"/>
      <c r="K2" s="151" t="str">
        <f>Исх!C9</f>
        <v>тыс.тг.</v>
      </c>
    </row>
    <row r="3" spans="1:13" ht="8.2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3" ht="42.6" customHeight="1">
      <c r="A4" s="153" t="s">
        <v>40</v>
      </c>
      <c r="B4" s="154" t="s">
        <v>41</v>
      </c>
      <c r="C4" s="230" t="s">
        <v>42</v>
      </c>
      <c r="D4" s="155" t="s">
        <v>103</v>
      </c>
      <c r="E4" s="155" t="s">
        <v>104</v>
      </c>
      <c r="F4" s="155" t="s">
        <v>52</v>
      </c>
      <c r="G4" s="155" t="s">
        <v>53</v>
      </c>
      <c r="H4" s="155" t="s">
        <v>54</v>
      </c>
      <c r="I4" s="155" t="s">
        <v>55</v>
      </c>
      <c r="J4" s="155" t="s">
        <v>56</v>
      </c>
      <c r="K4" s="155" t="s">
        <v>49</v>
      </c>
      <c r="M4" s="334">
        <f>'1-Ф3'!B2</f>
        <v>-7067.2772696429602</v>
      </c>
    </row>
    <row r="5" spans="1:13" s="62" customFormat="1">
      <c r="A5" s="147"/>
      <c r="B5" s="156" t="s">
        <v>102</v>
      </c>
      <c r="C5" s="147"/>
      <c r="D5" s="147"/>
      <c r="E5" s="147"/>
      <c r="F5" s="147"/>
      <c r="G5" s="147"/>
      <c r="H5" s="147"/>
      <c r="I5" s="147"/>
      <c r="J5" s="147"/>
      <c r="K5" s="147"/>
    </row>
    <row r="6" spans="1:13">
      <c r="A6" s="81">
        <v>1</v>
      </c>
      <c r="B6" s="81" t="s">
        <v>129</v>
      </c>
      <c r="C6" s="81">
        <v>1</v>
      </c>
      <c r="D6" s="149">
        <v>110</v>
      </c>
      <c r="E6" s="157">
        <f>C6*D6</f>
        <v>110</v>
      </c>
      <c r="F6" s="157">
        <f>E6*$C$32</f>
        <v>11</v>
      </c>
      <c r="G6" s="157">
        <f>(E6-$C$36-F6)*$C$34</f>
        <v>8.1561000000000003</v>
      </c>
      <c r="H6" s="157">
        <f>(E6-F6)*$C$33</f>
        <v>4.95</v>
      </c>
      <c r="I6" s="157">
        <f>((E6-F6)*$C$35-H6)*0.3</f>
        <v>1.782</v>
      </c>
      <c r="J6" s="157">
        <f>E6-F6-G6</f>
        <v>90.843900000000005</v>
      </c>
      <c r="K6" s="158">
        <f>SUM(F6:J6)</f>
        <v>116.732</v>
      </c>
    </row>
    <row r="7" spans="1:13">
      <c r="A7" s="81">
        <v>2</v>
      </c>
      <c r="B7" s="81" t="s">
        <v>236</v>
      </c>
      <c r="C7" s="81">
        <v>1</v>
      </c>
      <c r="D7" s="149">
        <v>60</v>
      </c>
      <c r="E7" s="157">
        <f>C7*D7</f>
        <v>60</v>
      </c>
      <c r="F7" s="157">
        <f>E7*$C$32</f>
        <v>6</v>
      </c>
      <c r="G7" s="157">
        <f>(E7-$C$36-F7)*$C$34</f>
        <v>3.6561000000000003</v>
      </c>
      <c r="H7" s="157">
        <f>(E7-F7)*$C$33</f>
        <v>2.7</v>
      </c>
      <c r="I7" s="157">
        <f t="shared" ref="I7:I8" si="0">((E7-F7)*$C$35-H7)*0.3</f>
        <v>0.97199999999999998</v>
      </c>
      <c r="J7" s="157">
        <f>E7-F7-G7</f>
        <v>50.343899999999998</v>
      </c>
      <c r="K7" s="158">
        <f>SUM(F7:J7)</f>
        <v>63.671999999999997</v>
      </c>
    </row>
    <row r="8" spans="1:13">
      <c r="A8" s="81">
        <v>3</v>
      </c>
      <c r="B8" s="81" t="s">
        <v>237</v>
      </c>
      <c r="C8" s="81">
        <v>1</v>
      </c>
      <c r="D8" s="149">
        <v>65</v>
      </c>
      <c r="E8" s="157">
        <f>C8*D8</f>
        <v>65</v>
      </c>
      <c r="F8" s="157">
        <f>E8*$C$32</f>
        <v>6.5</v>
      </c>
      <c r="G8" s="157">
        <f>(E8-$C$36-F8)*$C$34</f>
        <v>4.1061000000000005</v>
      </c>
      <c r="H8" s="157">
        <f>(E8-F8)*$C$33</f>
        <v>2.9250000000000003</v>
      </c>
      <c r="I8" s="157">
        <f t="shared" si="0"/>
        <v>1.0529999999999997</v>
      </c>
      <c r="J8" s="157">
        <f>E8-F8-G8</f>
        <v>54.393900000000002</v>
      </c>
      <c r="K8" s="158">
        <f>SUM(F8:J8)</f>
        <v>68.978000000000009</v>
      </c>
    </row>
    <row r="9" spans="1:13" s="62" customFormat="1">
      <c r="A9" s="159"/>
      <c r="B9" s="159" t="s">
        <v>0</v>
      </c>
      <c r="C9" s="31">
        <f t="shared" ref="C9:K9" si="1">SUM(C6:C8)</f>
        <v>3</v>
      </c>
      <c r="D9" s="31">
        <f t="shared" si="1"/>
        <v>235</v>
      </c>
      <c r="E9" s="31">
        <f t="shared" si="1"/>
        <v>235</v>
      </c>
      <c r="F9" s="31">
        <f t="shared" si="1"/>
        <v>23.5</v>
      </c>
      <c r="G9" s="31">
        <f t="shared" si="1"/>
        <v>15.918300000000002</v>
      </c>
      <c r="H9" s="31">
        <f t="shared" si="1"/>
        <v>10.575000000000001</v>
      </c>
      <c r="I9" s="31">
        <f t="shared" si="1"/>
        <v>3.8069999999999995</v>
      </c>
      <c r="J9" s="31">
        <f t="shared" si="1"/>
        <v>195.58170000000001</v>
      </c>
      <c r="K9" s="31">
        <f t="shared" si="1"/>
        <v>249.38200000000001</v>
      </c>
    </row>
    <row r="10" spans="1:13" s="62" customFormat="1">
      <c r="A10" s="147"/>
      <c r="B10" s="147" t="s">
        <v>110</v>
      </c>
      <c r="C10" s="147"/>
      <c r="D10" s="148"/>
      <c r="E10" s="148"/>
      <c r="F10" s="148"/>
      <c r="G10" s="148"/>
      <c r="H10" s="148"/>
      <c r="I10" s="148"/>
      <c r="J10" s="148"/>
      <c r="K10" s="148"/>
      <c r="M10" s="333" t="s">
        <v>310</v>
      </c>
    </row>
    <row r="11" spans="1:13">
      <c r="A11" s="81">
        <v>1</v>
      </c>
      <c r="B11" s="81" t="s">
        <v>296</v>
      </c>
      <c r="C11" s="81">
        <v>1</v>
      </c>
      <c r="D11" s="149">
        <v>80</v>
      </c>
      <c r="E11" s="157">
        <f t="shared" ref="E11:E16" si="2">C11*D11</f>
        <v>80</v>
      </c>
      <c r="F11" s="157">
        <f t="shared" ref="F11:F16" si="3">E11*$C$32</f>
        <v>8</v>
      </c>
      <c r="G11" s="157">
        <f t="shared" ref="G11:G16" si="4">(E11-$C$36-F11)*$C$34</f>
        <v>5.4561000000000002</v>
      </c>
      <c r="H11" s="157">
        <f t="shared" ref="H11:H16" si="5">(E11-F11)*$C$33</f>
        <v>3.6</v>
      </c>
      <c r="I11" s="157">
        <f t="shared" ref="I11:I16" si="6">((E11-F11)*$C$35-H11)*0.3</f>
        <v>1.296</v>
      </c>
      <c r="J11" s="157">
        <f t="shared" ref="J11:J16" si="7">E11-F11-G11</f>
        <v>66.543899999999994</v>
      </c>
      <c r="K11" s="158">
        <f t="shared" ref="K11:K16" si="8">SUM(F11:J11)</f>
        <v>84.895999999999987</v>
      </c>
    </row>
    <row r="12" spans="1:13">
      <c r="A12" s="81">
        <v>2</v>
      </c>
      <c r="B12" s="81" t="s">
        <v>297</v>
      </c>
      <c r="C12" s="157">
        <v>1</v>
      </c>
      <c r="D12" s="149">
        <v>60</v>
      </c>
      <c r="E12" s="157">
        <f t="shared" si="2"/>
        <v>60</v>
      </c>
      <c r="F12" s="157">
        <f t="shared" si="3"/>
        <v>6</v>
      </c>
      <c r="G12" s="157">
        <f t="shared" si="4"/>
        <v>3.6561000000000003</v>
      </c>
      <c r="H12" s="157">
        <f t="shared" si="5"/>
        <v>2.7</v>
      </c>
      <c r="I12" s="157">
        <f t="shared" si="6"/>
        <v>0.97199999999999998</v>
      </c>
      <c r="J12" s="157">
        <f t="shared" si="7"/>
        <v>50.343899999999998</v>
      </c>
      <c r="K12" s="158">
        <f t="shared" si="8"/>
        <v>63.671999999999997</v>
      </c>
    </row>
    <row r="13" spans="1:13">
      <c r="A13" s="81">
        <v>3</v>
      </c>
      <c r="B13" s="81" t="s">
        <v>299</v>
      </c>
      <c r="C13" s="157">
        <v>5</v>
      </c>
      <c r="D13" s="149">
        <v>50</v>
      </c>
      <c r="E13" s="157">
        <f t="shared" si="2"/>
        <v>250</v>
      </c>
      <c r="F13" s="157">
        <f t="shared" si="3"/>
        <v>25</v>
      </c>
      <c r="G13" s="157">
        <f t="shared" si="4"/>
        <v>20.756100000000004</v>
      </c>
      <c r="H13" s="157">
        <f t="shared" si="5"/>
        <v>11.25</v>
      </c>
      <c r="I13" s="157">
        <f t="shared" si="6"/>
        <v>4.05</v>
      </c>
      <c r="J13" s="157">
        <f t="shared" si="7"/>
        <v>204.2439</v>
      </c>
      <c r="K13" s="158">
        <f t="shared" si="8"/>
        <v>265.3</v>
      </c>
    </row>
    <row r="14" spans="1:13">
      <c r="A14" s="81">
        <v>4</v>
      </c>
      <c r="B14" s="81" t="s">
        <v>298</v>
      </c>
      <c r="C14" s="157">
        <v>3</v>
      </c>
      <c r="D14" s="149">
        <v>50</v>
      </c>
      <c r="E14" s="157">
        <f t="shared" si="2"/>
        <v>150</v>
      </c>
      <c r="F14" s="157">
        <f t="shared" si="3"/>
        <v>15</v>
      </c>
      <c r="G14" s="157">
        <f t="shared" si="4"/>
        <v>11.756100000000002</v>
      </c>
      <c r="H14" s="157">
        <f t="shared" si="5"/>
        <v>6.75</v>
      </c>
      <c r="I14" s="157">
        <f t="shared" si="6"/>
        <v>2.4299999999999997</v>
      </c>
      <c r="J14" s="157">
        <f t="shared" si="7"/>
        <v>123.2439</v>
      </c>
      <c r="K14" s="158">
        <f t="shared" si="8"/>
        <v>159.18</v>
      </c>
    </row>
    <row r="15" spans="1:13">
      <c r="A15" s="81">
        <v>5</v>
      </c>
      <c r="B15" s="81" t="s">
        <v>239</v>
      </c>
      <c r="C15" s="157">
        <v>2</v>
      </c>
      <c r="D15" s="149">
        <v>35</v>
      </c>
      <c r="E15" s="157">
        <f t="shared" si="2"/>
        <v>70</v>
      </c>
      <c r="F15" s="157">
        <f t="shared" si="3"/>
        <v>7</v>
      </c>
      <c r="G15" s="157">
        <f t="shared" si="4"/>
        <v>4.5560999999999998</v>
      </c>
      <c r="H15" s="157">
        <f t="shared" si="5"/>
        <v>3.1500000000000004</v>
      </c>
      <c r="I15" s="157">
        <f t="shared" si="6"/>
        <v>1.1339999999999997</v>
      </c>
      <c r="J15" s="157">
        <f t="shared" si="7"/>
        <v>58.443899999999999</v>
      </c>
      <c r="K15" s="158">
        <f t="shared" si="8"/>
        <v>74.284000000000006</v>
      </c>
    </row>
    <row r="16" spans="1:13">
      <c r="A16" s="81">
        <v>6</v>
      </c>
      <c r="B16" s="81" t="s">
        <v>300</v>
      </c>
      <c r="C16" s="157">
        <v>1</v>
      </c>
      <c r="D16" s="149">
        <v>55</v>
      </c>
      <c r="E16" s="157">
        <f t="shared" si="2"/>
        <v>55</v>
      </c>
      <c r="F16" s="157">
        <f t="shared" si="3"/>
        <v>5.5</v>
      </c>
      <c r="G16" s="157">
        <f t="shared" si="4"/>
        <v>3.2061000000000002</v>
      </c>
      <c r="H16" s="157">
        <f t="shared" si="5"/>
        <v>2.4750000000000001</v>
      </c>
      <c r="I16" s="157">
        <f t="shared" si="6"/>
        <v>0.89100000000000001</v>
      </c>
      <c r="J16" s="157">
        <f t="shared" si="7"/>
        <v>46.293900000000001</v>
      </c>
      <c r="K16" s="158">
        <f t="shared" si="8"/>
        <v>58.366</v>
      </c>
    </row>
    <row r="17" spans="1:13" s="62" customFormat="1">
      <c r="A17" s="159"/>
      <c r="B17" s="160" t="s">
        <v>0</v>
      </c>
      <c r="C17" s="159">
        <f t="shared" ref="C17:K17" si="9">SUM(C10:C16)</f>
        <v>13</v>
      </c>
      <c r="D17" s="158">
        <f t="shared" si="9"/>
        <v>330</v>
      </c>
      <c r="E17" s="158">
        <f t="shared" si="9"/>
        <v>665</v>
      </c>
      <c r="F17" s="158">
        <f t="shared" si="9"/>
        <v>66.5</v>
      </c>
      <c r="G17" s="158">
        <f t="shared" si="9"/>
        <v>49.386600000000008</v>
      </c>
      <c r="H17" s="158">
        <f t="shared" si="9"/>
        <v>29.925000000000004</v>
      </c>
      <c r="I17" s="158">
        <f t="shared" si="9"/>
        <v>10.773</v>
      </c>
      <c r="J17" s="158">
        <f t="shared" si="9"/>
        <v>549.11339999999996</v>
      </c>
      <c r="K17" s="158">
        <f t="shared" si="9"/>
        <v>705.69799999999998</v>
      </c>
    </row>
    <row r="18" spans="1:13" s="62" customFormat="1">
      <c r="A18" s="147"/>
      <c r="B18" s="147" t="s">
        <v>111</v>
      </c>
      <c r="C18" s="147"/>
      <c r="D18" s="148"/>
      <c r="E18" s="148"/>
      <c r="F18" s="148"/>
      <c r="G18" s="148"/>
      <c r="H18" s="148"/>
      <c r="I18" s="148"/>
      <c r="J18" s="148"/>
      <c r="K18" s="148"/>
    </row>
    <row r="19" spans="1:13">
      <c r="A19" s="81">
        <v>1</v>
      </c>
      <c r="B19" s="81" t="s">
        <v>224</v>
      </c>
      <c r="C19" s="81">
        <v>2</v>
      </c>
      <c r="D19" s="149">
        <v>50</v>
      </c>
      <c r="E19" s="157">
        <f>C19*D19</f>
        <v>100</v>
      </c>
      <c r="F19" s="157">
        <f>E19*$C$32</f>
        <v>10</v>
      </c>
      <c r="G19" s="157">
        <f>(E19-$C$36-F19)*$C$34</f>
        <v>7.2561000000000009</v>
      </c>
      <c r="H19" s="157">
        <f>(E19-F19)*$C$33</f>
        <v>4.5</v>
      </c>
      <c r="I19" s="157">
        <f t="shared" ref="I19:I21" si="10">((E19-F19)*$C$35-H19)*0.3</f>
        <v>1.62</v>
      </c>
      <c r="J19" s="157">
        <f>E19-F19-G19</f>
        <v>82.743899999999996</v>
      </c>
      <c r="K19" s="158">
        <f>SUM(F19:J19)</f>
        <v>106.12</v>
      </c>
    </row>
    <row r="20" spans="1:13">
      <c r="A20" s="81">
        <v>2</v>
      </c>
      <c r="B20" s="81" t="s">
        <v>238</v>
      </c>
      <c r="C20" s="157">
        <v>2</v>
      </c>
      <c r="D20" s="149">
        <v>30</v>
      </c>
      <c r="E20" s="157">
        <f>C20*D20</f>
        <v>60</v>
      </c>
      <c r="F20" s="157">
        <f>E20*$C$32</f>
        <v>6</v>
      </c>
      <c r="G20" s="157">
        <f>(E20-$C$36-F20)*$C$34</f>
        <v>3.6561000000000003</v>
      </c>
      <c r="H20" s="157">
        <f>(E20-F20)*$C$33</f>
        <v>2.7</v>
      </c>
      <c r="I20" s="157">
        <f t="shared" si="10"/>
        <v>0.97199999999999998</v>
      </c>
      <c r="J20" s="157">
        <f>E20-F20-G20</f>
        <v>50.343899999999998</v>
      </c>
      <c r="K20" s="158">
        <f>SUM(F20:J20)</f>
        <v>63.671999999999997</v>
      </c>
    </row>
    <row r="21" spans="1:13">
      <c r="A21" s="81">
        <v>3</v>
      </c>
      <c r="B21" s="81" t="s">
        <v>301</v>
      </c>
      <c r="C21" s="157">
        <v>2</v>
      </c>
      <c r="D21" s="149">
        <v>35</v>
      </c>
      <c r="E21" s="157">
        <f>C21*D21</f>
        <v>70</v>
      </c>
      <c r="F21" s="157">
        <f>E21*$C$32</f>
        <v>7</v>
      </c>
      <c r="G21" s="157">
        <f>(E21-$C$36-F21)*$C$34</f>
        <v>4.5560999999999998</v>
      </c>
      <c r="H21" s="157">
        <f>(E21-F21)*$C$33</f>
        <v>3.1500000000000004</v>
      </c>
      <c r="I21" s="157">
        <f t="shared" si="10"/>
        <v>1.1339999999999997</v>
      </c>
      <c r="J21" s="157">
        <f>E21-F21-G21</f>
        <v>58.443899999999999</v>
      </c>
      <c r="K21" s="158">
        <f>SUM(F21:J21)</f>
        <v>74.284000000000006</v>
      </c>
    </row>
    <row r="22" spans="1:13" s="62" customFormat="1">
      <c r="A22" s="159"/>
      <c r="B22" s="160" t="s">
        <v>0</v>
      </c>
      <c r="C22" s="159">
        <f t="shared" ref="C22:K22" si="11">SUM(C19:C21)</f>
        <v>6</v>
      </c>
      <c r="D22" s="158">
        <f t="shared" si="11"/>
        <v>115</v>
      </c>
      <c r="E22" s="158">
        <f t="shared" si="11"/>
        <v>230</v>
      </c>
      <c r="F22" s="158">
        <f t="shared" si="11"/>
        <v>23</v>
      </c>
      <c r="G22" s="158">
        <f t="shared" si="11"/>
        <v>15.468300000000003</v>
      </c>
      <c r="H22" s="158">
        <f t="shared" si="11"/>
        <v>10.350000000000001</v>
      </c>
      <c r="I22" s="158">
        <f t="shared" si="11"/>
        <v>3.726</v>
      </c>
      <c r="J22" s="158">
        <f t="shared" si="11"/>
        <v>191.5317</v>
      </c>
      <c r="K22" s="158">
        <f t="shared" si="11"/>
        <v>244.07600000000002</v>
      </c>
    </row>
    <row r="23" spans="1:13" s="62" customFormat="1">
      <c r="A23" s="147"/>
      <c r="B23" s="147" t="s">
        <v>121</v>
      </c>
      <c r="C23" s="147"/>
      <c r="D23" s="148"/>
      <c r="E23" s="148"/>
      <c r="F23" s="148"/>
      <c r="G23" s="148"/>
      <c r="H23" s="148"/>
      <c r="I23" s="148"/>
      <c r="J23" s="148"/>
      <c r="K23" s="148"/>
    </row>
    <row r="24" spans="1:13">
      <c r="A24" s="81">
        <v>1</v>
      </c>
      <c r="B24" s="81" t="s">
        <v>130</v>
      </c>
      <c r="C24" s="81">
        <v>3</v>
      </c>
      <c r="D24" s="149">
        <v>30</v>
      </c>
      <c r="E24" s="157">
        <f>C24*D24</f>
        <v>90</v>
      </c>
      <c r="F24" s="157">
        <f>E24*$C$32</f>
        <v>9</v>
      </c>
      <c r="G24" s="157">
        <f>(E24-$C$36-F24)*$C$34</f>
        <v>6.3561000000000014</v>
      </c>
      <c r="H24" s="157">
        <f>(E24-F24)*$C$33</f>
        <v>4.05</v>
      </c>
      <c r="I24" s="157">
        <f t="shared" ref="I24:I27" si="12">((E24-F24)*$C$35-H24)*0.3</f>
        <v>1.458</v>
      </c>
      <c r="J24" s="157">
        <f>E24-F24-G24</f>
        <v>74.643900000000002</v>
      </c>
      <c r="K24" s="158">
        <f>SUM(F24:J24)</f>
        <v>95.50800000000001</v>
      </c>
      <c r="M24" s="161"/>
    </row>
    <row r="25" spans="1:13">
      <c r="A25" s="81">
        <v>2</v>
      </c>
      <c r="B25" s="81" t="s">
        <v>240</v>
      </c>
      <c r="C25" s="157">
        <v>1</v>
      </c>
      <c r="D25" s="149">
        <v>40</v>
      </c>
      <c r="E25" s="157">
        <f>C25*D25</f>
        <v>40</v>
      </c>
      <c r="F25" s="157">
        <f>E25*$C$32</f>
        <v>4</v>
      </c>
      <c r="G25" s="157">
        <f>(E25-$C$36-F25)*$C$34</f>
        <v>1.8561000000000001</v>
      </c>
      <c r="H25" s="157">
        <f>(E25-F25)*$C$33</f>
        <v>1.8</v>
      </c>
      <c r="I25" s="157">
        <f t="shared" si="12"/>
        <v>0.64800000000000002</v>
      </c>
      <c r="J25" s="157">
        <f>E25-F25-G25</f>
        <v>34.143900000000002</v>
      </c>
      <c r="K25" s="158">
        <f>SUM(F25:J25)</f>
        <v>42.448</v>
      </c>
    </row>
    <row r="26" spans="1:13">
      <c r="A26" s="81">
        <v>3</v>
      </c>
      <c r="B26" s="81" t="s">
        <v>241</v>
      </c>
      <c r="C26" s="157">
        <v>1</v>
      </c>
      <c r="D26" s="149">
        <v>50</v>
      </c>
      <c r="E26" s="157">
        <f>C26*D26</f>
        <v>50</v>
      </c>
      <c r="F26" s="157">
        <f>E26*$C$32</f>
        <v>5</v>
      </c>
      <c r="G26" s="157">
        <f>(E26-$C$36-F26)*$C$34</f>
        <v>2.7561</v>
      </c>
      <c r="H26" s="157">
        <f>(E26-F26)*$C$33</f>
        <v>2.25</v>
      </c>
      <c r="I26" s="157">
        <f t="shared" si="12"/>
        <v>0.81</v>
      </c>
      <c r="J26" s="157">
        <f>E26-F26-G26</f>
        <v>42.243899999999996</v>
      </c>
      <c r="K26" s="158">
        <f>SUM(F26:J26)</f>
        <v>53.059999999999995</v>
      </c>
    </row>
    <row r="27" spans="1:13">
      <c r="A27" s="81">
        <v>4</v>
      </c>
      <c r="B27" s="81" t="s">
        <v>131</v>
      </c>
      <c r="C27" s="81">
        <v>1</v>
      </c>
      <c r="D27" s="149">
        <v>45</v>
      </c>
      <c r="E27" s="157">
        <f>C27*D27</f>
        <v>45</v>
      </c>
      <c r="F27" s="157">
        <f>E27*$C$32</f>
        <v>4.5</v>
      </c>
      <c r="G27" s="157">
        <f>(E27-$C$36-F27)*$C$34</f>
        <v>2.3061000000000003</v>
      </c>
      <c r="H27" s="157">
        <f>(E27-F27)*$C$33</f>
        <v>2.0249999999999999</v>
      </c>
      <c r="I27" s="157">
        <f t="shared" si="12"/>
        <v>0.72899999999999998</v>
      </c>
      <c r="J27" s="157">
        <f>E27-F27-G27</f>
        <v>38.193899999999999</v>
      </c>
      <c r="K27" s="158">
        <f>SUM(F27:J27)</f>
        <v>47.753999999999998</v>
      </c>
    </row>
    <row r="28" spans="1:13" s="62" customFormat="1">
      <c r="A28" s="159"/>
      <c r="B28" s="160" t="s">
        <v>0</v>
      </c>
      <c r="C28" s="159">
        <f t="shared" ref="C28:K28" si="13">SUM(C24:C27)</f>
        <v>6</v>
      </c>
      <c r="D28" s="158">
        <f t="shared" si="13"/>
        <v>165</v>
      </c>
      <c r="E28" s="158">
        <f t="shared" si="13"/>
        <v>225</v>
      </c>
      <c r="F28" s="158">
        <f t="shared" si="13"/>
        <v>22.5</v>
      </c>
      <c r="G28" s="158">
        <f t="shared" si="13"/>
        <v>13.274400000000002</v>
      </c>
      <c r="H28" s="158">
        <f t="shared" si="13"/>
        <v>10.125</v>
      </c>
      <c r="I28" s="158">
        <f t="shared" si="13"/>
        <v>3.645</v>
      </c>
      <c r="J28" s="158">
        <f t="shared" si="13"/>
        <v>189.22559999999999</v>
      </c>
      <c r="K28" s="158">
        <f t="shared" si="13"/>
        <v>238.77</v>
      </c>
    </row>
    <row r="29" spans="1:13">
      <c r="A29" s="81"/>
      <c r="B29" s="81"/>
      <c r="C29" s="81"/>
      <c r="D29" s="157"/>
      <c r="E29" s="157"/>
      <c r="F29" s="157"/>
      <c r="G29" s="157"/>
      <c r="H29" s="157"/>
      <c r="I29" s="157"/>
      <c r="J29" s="157"/>
      <c r="K29" s="157"/>
    </row>
    <row r="30" spans="1:13" s="62" customFormat="1">
      <c r="A30" s="159"/>
      <c r="B30" s="159" t="s">
        <v>122</v>
      </c>
      <c r="C30" s="158">
        <f t="shared" ref="C30:K30" si="14">C9+C17+C22+C28</f>
        <v>28</v>
      </c>
      <c r="D30" s="158">
        <f t="shared" si="14"/>
        <v>845</v>
      </c>
      <c r="E30" s="158">
        <f t="shared" si="14"/>
        <v>1355</v>
      </c>
      <c r="F30" s="158">
        <f t="shared" si="14"/>
        <v>135.5</v>
      </c>
      <c r="G30" s="158">
        <f t="shared" si="14"/>
        <v>94.047600000000003</v>
      </c>
      <c r="H30" s="158">
        <f t="shared" si="14"/>
        <v>60.975000000000009</v>
      </c>
      <c r="I30" s="158">
        <f t="shared" si="14"/>
        <v>21.950999999999997</v>
      </c>
      <c r="J30" s="158">
        <f t="shared" si="14"/>
        <v>1125.4523999999999</v>
      </c>
      <c r="K30" s="162">
        <f t="shared" si="14"/>
        <v>1437.9259999999999</v>
      </c>
    </row>
    <row r="32" spans="1:13">
      <c r="B32" s="81" t="s">
        <v>52</v>
      </c>
      <c r="C32" s="163">
        <f>Исх!C11</f>
        <v>0.1</v>
      </c>
      <c r="D32" s="164"/>
      <c r="E32" s="164"/>
      <c r="F32" s="164"/>
      <c r="G32" s="377"/>
      <c r="H32" s="377"/>
      <c r="I32" s="377"/>
      <c r="J32" s="377"/>
    </row>
    <row r="33" spans="2:10">
      <c r="B33" s="81" t="s">
        <v>57</v>
      </c>
      <c r="C33" s="163">
        <f>Исх!C12</f>
        <v>0.05</v>
      </c>
      <c r="D33" s="164"/>
      <c r="E33" s="164"/>
      <c r="F33" s="164"/>
      <c r="G33" s="164"/>
      <c r="H33" s="164"/>
      <c r="I33" s="165"/>
      <c r="J33" s="166"/>
    </row>
    <row r="34" spans="2:10">
      <c r="B34" s="81" t="s">
        <v>53</v>
      </c>
      <c r="C34" s="163">
        <f>Исх!C13</f>
        <v>0.1</v>
      </c>
      <c r="D34" s="164"/>
      <c r="E34" s="164"/>
      <c r="F34" s="164"/>
      <c r="G34" s="164"/>
      <c r="H34" s="164"/>
      <c r="I34" s="165"/>
      <c r="J34" s="166"/>
    </row>
    <row r="35" spans="2:10">
      <c r="B35" s="81" t="s">
        <v>55</v>
      </c>
      <c r="C35" s="163">
        <f>Исх!C14</f>
        <v>0.11</v>
      </c>
      <c r="D35" s="167"/>
      <c r="E35" s="167"/>
      <c r="F35" s="164"/>
      <c r="G35" s="164"/>
      <c r="H35" s="164"/>
      <c r="I35" s="165"/>
      <c r="J35" s="166"/>
    </row>
    <row r="36" spans="2:10">
      <c r="B36" s="81" t="s">
        <v>128</v>
      </c>
      <c r="C36" s="168">
        <f>Исх!C15</f>
        <v>17.439</v>
      </c>
    </row>
    <row r="37" spans="2:10">
      <c r="G37" s="164"/>
      <c r="H37" s="164"/>
      <c r="I37" s="165"/>
      <c r="J37" s="166"/>
    </row>
  </sheetData>
  <mergeCells count="1">
    <mergeCell ref="G32:J32"/>
  </mergeCells>
  <pageMargins left="0.27559055118110237" right="0.27559055118110237" top="0.35433070866141736" bottom="0.35433070866141736" header="0.23622047244094491" footer="0.2755905511811023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K51"/>
  <sheetViews>
    <sheetView showGridLines="0" topLeftCell="B1" workbookViewId="0">
      <pane ySplit="5" topLeftCell="A6" activePane="bottomLeft" state="frozen"/>
      <selection activeCell="A34" sqref="A34"/>
      <selection pane="bottomLeft" activeCell="C17" sqref="C17"/>
    </sheetView>
  </sheetViews>
  <sheetFormatPr defaultColWidth="8.85546875" defaultRowHeight="12.75" outlineLevelRow="1"/>
  <cols>
    <col min="1" max="1" width="34.28515625" style="78" customWidth="1"/>
    <col min="2" max="2" width="13.140625" style="78" customWidth="1"/>
    <col min="3" max="3" width="12.28515625" style="78" customWidth="1"/>
    <col min="4" max="7" width="10.7109375" style="78" customWidth="1"/>
    <col min="8" max="16384" width="8.85546875" style="78"/>
  </cols>
  <sheetData>
    <row r="1" spans="1:11">
      <c r="A1" s="62" t="s">
        <v>169</v>
      </c>
    </row>
    <row r="2" spans="1:11">
      <c r="A2" s="62"/>
    </row>
    <row r="3" spans="1:1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>
      <c r="A4" s="78" t="s">
        <v>47</v>
      </c>
      <c r="C4" s="144"/>
      <c r="D4" s="144"/>
      <c r="E4" s="144"/>
      <c r="F4" s="144"/>
      <c r="G4" s="144"/>
      <c r="H4" s="144"/>
      <c r="I4" s="151" t="str">
        <f>Исх!C9</f>
        <v>тыс.тг.</v>
      </c>
    </row>
    <row r="5" spans="1:11">
      <c r="A5" s="226" t="s">
        <v>48</v>
      </c>
      <c r="B5" s="251"/>
      <c r="C5" s="251">
        <v>2013</v>
      </c>
      <c r="D5" s="251">
        <v>2014</v>
      </c>
      <c r="E5" s="251">
        <f>D5+1</f>
        <v>2015</v>
      </c>
      <c r="F5" s="251">
        <f>E5+1</f>
        <v>2016</v>
      </c>
      <c r="G5" s="251">
        <f>F5+1</f>
        <v>2017</v>
      </c>
      <c r="H5" s="251">
        <f>G5+1</f>
        <v>2018</v>
      </c>
      <c r="I5" s="251">
        <f>H5+1</f>
        <v>2019</v>
      </c>
    </row>
    <row r="6" spans="1:11">
      <c r="A6" s="81" t="s">
        <v>49</v>
      </c>
      <c r="B6" s="150"/>
      <c r="C6" s="157">
        <f>ФОТ!K30-ФОТ!K17</f>
        <v>732.22799999999995</v>
      </c>
      <c r="D6" s="157">
        <f t="shared" ref="D6:I6" si="0">C6</f>
        <v>732.22799999999995</v>
      </c>
      <c r="E6" s="157">
        <f t="shared" si="0"/>
        <v>732.22799999999995</v>
      </c>
      <c r="F6" s="157">
        <f t="shared" si="0"/>
        <v>732.22799999999995</v>
      </c>
      <c r="G6" s="157">
        <f t="shared" si="0"/>
        <v>732.22799999999995</v>
      </c>
      <c r="H6" s="157">
        <f t="shared" si="0"/>
        <v>732.22799999999995</v>
      </c>
      <c r="I6" s="157">
        <f t="shared" si="0"/>
        <v>732.22799999999995</v>
      </c>
    </row>
    <row r="7" spans="1:11">
      <c r="A7" s="170" t="s">
        <v>302</v>
      </c>
      <c r="B7" s="248"/>
      <c r="C7" s="149">
        <v>25</v>
      </c>
      <c r="D7" s="157">
        <f>C7*1.1</f>
        <v>27.500000000000004</v>
      </c>
      <c r="E7" s="157">
        <f t="shared" ref="E7:I7" si="1">D7*1.1</f>
        <v>30.250000000000007</v>
      </c>
      <c r="F7" s="157">
        <f t="shared" si="1"/>
        <v>33.275000000000013</v>
      </c>
      <c r="G7" s="157">
        <f t="shared" si="1"/>
        <v>36.60250000000002</v>
      </c>
      <c r="H7" s="157">
        <f t="shared" si="1"/>
        <v>40.262750000000025</v>
      </c>
      <c r="I7" s="157">
        <f t="shared" si="1"/>
        <v>44.289025000000031</v>
      </c>
    </row>
    <row r="8" spans="1:11">
      <c r="A8" s="170" t="s">
        <v>132</v>
      </c>
      <c r="B8" s="248" t="s">
        <v>217</v>
      </c>
      <c r="C8" s="149">
        <v>17</v>
      </c>
      <c r="D8" s="157">
        <f t="shared" ref="D8:I8" si="2">C8+C8*$D$3</f>
        <v>17</v>
      </c>
      <c r="E8" s="157">
        <f t="shared" si="2"/>
        <v>17</v>
      </c>
      <c r="F8" s="157">
        <f t="shared" si="2"/>
        <v>17</v>
      </c>
      <c r="G8" s="157">
        <f t="shared" si="2"/>
        <v>17</v>
      </c>
      <c r="H8" s="157">
        <f t="shared" si="2"/>
        <v>17</v>
      </c>
      <c r="I8" s="157">
        <f t="shared" si="2"/>
        <v>17</v>
      </c>
    </row>
    <row r="9" spans="1:11">
      <c r="A9" s="170" t="s">
        <v>123</v>
      </c>
      <c r="B9" s="150"/>
      <c r="C9" s="149">
        <v>8</v>
      </c>
      <c r="D9" s="157">
        <f t="shared" ref="D9:I15" si="3">C9+C9*$D$3</f>
        <v>8</v>
      </c>
      <c r="E9" s="157">
        <f t="shared" si="3"/>
        <v>8</v>
      </c>
      <c r="F9" s="157">
        <f t="shared" si="3"/>
        <v>8</v>
      </c>
      <c r="G9" s="157">
        <f t="shared" si="3"/>
        <v>8</v>
      </c>
      <c r="H9" s="157">
        <f t="shared" si="3"/>
        <v>8</v>
      </c>
      <c r="I9" s="157">
        <f t="shared" si="3"/>
        <v>8</v>
      </c>
    </row>
    <row r="10" spans="1:11">
      <c r="A10" s="81" t="s">
        <v>50</v>
      </c>
      <c r="B10" s="150"/>
      <c r="C10" s="149">
        <v>5</v>
      </c>
      <c r="D10" s="157">
        <f t="shared" si="3"/>
        <v>5</v>
      </c>
      <c r="E10" s="157">
        <f t="shared" si="3"/>
        <v>5</v>
      </c>
      <c r="F10" s="157">
        <f t="shared" si="3"/>
        <v>5</v>
      </c>
      <c r="G10" s="157">
        <f t="shared" si="3"/>
        <v>5</v>
      </c>
      <c r="H10" s="157">
        <f t="shared" si="3"/>
        <v>5</v>
      </c>
      <c r="I10" s="157">
        <f t="shared" si="3"/>
        <v>5</v>
      </c>
    </row>
    <row r="11" spans="1:11">
      <c r="A11" s="81" t="s">
        <v>227</v>
      </c>
      <c r="B11" s="248" t="s">
        <v>243</v>
      </c>
      <c r="C11" s="149">
        <f>2*20*26*110/1.12/1000</f>
        <v>102.14285714285712</v>
      </c>
      <c r="D11" s="157">
        <f t="shared" ref="D11:I11" si="4">C11+C11*$D$3</f>
        <v>102.14285714285712</v>
      </c>
      <c r="E11" s="157">
        <f t="shared" si="4"/>
        <v>102.14285714285712</v>
      </c>
      <c r="F11" s="157">
        <f t="shared" si="4"/>
        <v>102.14285714285712</v>
      </c>
      <c r="G11" s="157">
        <f t="shared" si="4"/>
        <v>102.14285714285712</v>
      </c>
      <c r="H11" s="157">
        <f t="shared" si="4"/>
        <v>102.14285714285712</v>
      </c>
      <c r="I11" s="157">
        <f t="shared" si="4"/>
        <v>102.14285714285712</v>
      </c>
      <c r="J11" s="78" t="s">
        <v>228</v>
      </c>
    </row>
    <row r="12" spans="1:11">
      <c r="A12" s="81" t="s">
        <v>112</v>
      </c>
      <c r="B12" s="150"/>
      <c r="C12" s="149">
        <v>10</v>
      </c>
      <c r="D12" s="157">
        <f t="shared" si="3"/>
        <v>10</v>
      </c>
      <c r="E12" s="157">
        <f t="shared" si="3"/>
        <v>10</v>
      </c>
      <c r="F12" s="157">
        <f t="shared" si="3"/>
        <v>10</v>
      </c>
      <c r="G12" s="157">
        <f t="shared" si="3"/>
        <v>10</v>
      </c>
      <c r="H12" s="157">
        <f t="shared" si="3"/>
        <v>10</v>
      </c>
      <c r="I12" s="157">
        <f t="shared" si="3"/>
        <v>10</v>
      </c>
    </row>
    <row r="13" spans="1:11">
      <c r="A13" s="81" t="s">
        <v>86</v>
      </c>
      <c r="B13" s="150"/>
      <c r="C13" s="149">
        <v>20</v>
      </c>
      <c r="D13" s="157">
        <f t="shared" si="3"/>
        <v>20</v>
      </c>
      <c r="E13" s="157">
        <f t="shared" si="3"/>
        <v>20</v>
      </c>
      <c r="F13" s="157">
        <f t="shared" si="3"/>
        <v>20</v>
      </c>
      <c r="G13" s="157">
        <f t="shared" si="3"/>
        <v>20</v>
      </c>
      <c r="H13" s="157">
        <f t="shared" si="3"/>
        <v>20</v>
      </c>
      <c r="I13" s="157">
        <f t="shared" si="3"/>
        <v>20</v>
      </c>
    </row>
    <row r="14" spans="1:11">
      <c r="A14" s="81" t="s">
        <v>113</v>
      </c>
      <c r="B14" s="150"/>
      <c r="C14" s="149">
        <v>10</v>
      </c>
      <c r="D14" s="157">
        <f t="shared" ref="D14:I14" si="5">C14+C14*$D$3</f>
        <v>10</v>
      </c>
      <c r="E14" s="157">
        <f t="shared" si="5"/>
        <v>10</v>
      </c>
      <c r="F14" s="157">
        <f t="shared" si="5"/>
        <v>10</v>
      </c>
      <c r="G14" s="157">
        <f t="shared" si="5"/>
        <v>10</v>
      </c>
      <c r="H14" s="157">
        <f t="shared" si="5"/>
        <v>10</v>
      </c>
      <c r="I14" s="157">
        <f t="shared" si="5"/>
        <v>10</v>
      </c>
    </row>
    <row r="15" spans="1:11">
      <c r="A15" s="81" t="s">
        <v>51</v>
      </c>
      <c r="B15" s="157"/>
      <c r="C15" s="149">
        <v>10</v>
      </c>
      <c r="D15" s="157">
        <f t="shared" si="3"/>
        <v>10</v>
      </c>
      <c r="E15" s="157">
        <f t="shared" si="3"/>
        <v>10</v>
      </c>
      <c r="F15" s="157">
        <f t="shared" si="3"/>
        <v>10</v>
      </c>
      <c r="G15" s="157">
        <f t="shared" si="3"/>
        <v>10</v>
      </c>
      <c r="H15" s="157">
        <f t="shared" si="3"/>
        <v>10</v>
      </c>
      <c r="I15" s="157">
        <f t="shared" si="3"/>
        <v>10</v>
      </c>
    </row>
    <row r="16" spans="1:11">
      <c r="A16" s="226" t="s">
        <v>0</v>
      </c>
      <c r="B16" s="227"/>
      <c r="C16" s="227">
        <f t="shared" ref="C16:I16" si="6">SUM(C6:C15)</f>
        <v>939.37085714285706</v>
      </c>
      <c r="D16" s="227">
        <f t="shared" si="6"/>
        <v>941.87085714285706</v>
      </c>
      <c r="E16" s="227">
        <f t="shared" si="6"/>
        <v>944.62085714285706</v>
      </c>
      <c r="F16" s="227">
        <f t="shared" si="6"/>
        <v>947.64585714285704</v>
      </c>
      <c r="G16" s="227">
        <f t="shared" si="6"/>
        <v>950.97335714285714</v>
      </c>
      <c r="H16" s="227">
        <f t="shared" si="6"/>
        <v>954.63360714285704</v>
      </c>
      <c r="I16" s="227">
        <f t="shared" si="6"/>
        <v>958.6598821428571</v>
      </c>
    </row>
    <row r="18" spans="1:10">
      <c r="A18" s="62" t="s">
        <v>87</v>
      </c>
      <c r="C18" s="172">
        <f t="shared" ref="C18:I18" si="7">SUM(C19:C19)</f>
        <v>2.1966839999999999</v>
      </c>
      <c r="D18" s="172">
        <f t="shared" si="7"/>
        <v>2.1966839999999999</v>
      </c>
      <c r="E18" s="172">
        <f t="shared" si="7"/>
        <v>2.1966839999999999</v>
      </c>
      <c r="F18" s="172">
        <f t="shared" si="7"/>
        <v>2.1966839999999999</v>
      </c>
      <c r="G18" s="172">
        <f t="shared" si="7"/>
        <v>2.1966839999999999</v>
      </c>
      <c r="H18" s="172">
        <f t="shared" si="7"/>
        <v>2.1966839999999999</v>
      </c>
      <c r="I18" s="172">
        <f t="shared" si="7"/>
        <v>2.1966839999999999</v>
      </c>
    </row>
    <row r="19" spans="1:10" ht="25.5">
      <c r="A19" s="170" t="s">
        <v>88</v>
      </c>
      <c r="B19" s="173">
        <v>3.0000000000000001E-3</v>
      </c>
      <c r="C19" s="174">
        <f t="shared" ref="C19:I19" si="8">C6*$B$19</f>
        <v>2.1966839999999999</v>
      </c>
      <c r="D19" s="174">
        <f t="shared" si="8"/>
        <v>2.1966839999999999</v>
      </c>
      <c r="E19" s="174">
        <f t="shared" si="8"/>
        <v>2.1966839999999999</v>
      </c>
      <c r="F19" s="174">
        <f t="shared" si="8"/>
        <v>2.1966839999999999</v>
      </c>
      <c r="G19" s="174">
        <f t="shared" si="8"/>
        <v>2.1966839999999999</v>
      </c>
      <c r="H19" s="174">
        <f t="shared" si="8"/>
        <v>2.1966839999999999</v>
      </c>
      <c r="I19" s="174">
        <f t="shared" si="8"/>
        <v>2.1966839999999999</v>
      </c>
    </row>
    <row r="21" spans="1:10">
      <c r="A21" s="62" t="s">
        <v>89</v>
      </c>
      <c r="C21" s="175">
        <f>SUM(C22:C23)</f>
        <v>6.6197648586094449</v>
      </c>
      <c r="D21" s="175">
        <f t="shared" ref="D21:I21" si="9">SUM(D22:D23)</f>
        <v>6.3707512761166525</v>
      </c>
      <c r="E21" s="175">
        <f t="shared" si="9"/>
        <v>6.121737693623861</v>
      </c>
      <c r="F21" s="175">
        <f t="shared" si="9"/>
        <v>5.8727241111310686</v>
      </c>
      <c r="G21" s="175">
        <f t="shared" si="9"/>
        <v>5.6237105286382763</v>
      </c>
      <c r="H21" s="175">
        <f t="shared" si="9"/>
        <v>5.3746969461454848</v>
      </c>
      <c r="I21" s="175">
        <f t="shared" si="9"/>
        <v>5.1256833636526924</v>
      </c>
    </row>
    <row r="22" spans="1:10">
      <c r="A22" s="81" t="s">
        <v>2</v>
      </c>
      <c r="B22" s="176">
        <f>Исх!C16</f>
        <v>4.4999999999999997E-3</v>
      </c>
      <c r="C22" s="157">
        <f>(C35+C38)/2*$B$22/12</f>
        <v>4.8557648586094446</v>
      </c>
      <c r="D22" s="157">
        <f t="shared" ref="D22:I22" si="10">(D35+D38)/2*$B$22/12</f>
        <v>4.6067512761166522</v>
      </c>
      <c r="E22" s="157">
        <f t="shared" si="10"/>
        <v>4.3577376936238608</v>
      </c>
      <c r="F22" s="157">
        <f t="shared" si="10"/>
        <v>4.1087241111310684</v>
      </c>
      <c r="G22" s="157">
        <f t="shared" si="10"/>
        <v>3.8597105286382765</v>
      </c>
      <c r="H22" s="157">
        <f t="shared" si="10"/>
        <v>3.6106969461454845</v>
      </c>
      <c r="I22" s="157">
        <f t="shared" si="10"/>
        <v>3.3616833636526926</v>
      </c>
    </row>
    <row r="23" spans="1:10">
      <c r="A23" s="81" t="s">
        <v>114</v>
      </c>
      <c r="B23" s="81"/>
      <c r="C23" s="149">
        <f>10584*2/12/1000</f>
        <v>1.764</v>
      </c>
      <c r="D23" s="157">
        <f t="shared" ref="D23:I23" si="11">C23+C23*$D$3</f>
        <v>1.764</v>
      </c>
      <c r="E23" s="157">
        <f t="shared" si="11"/>
        <v>1.764</v>
      </c>
      <c r="F23" s="157">
        <f t="shared" si="11"/>
        <v>1.764</v>
      </c>
      <c r="G23" s="157">
        <f t="shared" si="11"/>
        <v>1.764</v>
      </c>
      <c r="H23" s="157">
        <f t="shared" si="11"/>
        <v>1.764</v>
      </c>
      <c r="I23" s="157">
        <f t="shared" si="11"/>
        <v>1.764</v>
      </c>
      <c r="J23" s="78" t="s">
        <v>229</v>
      </c>
    </row>
    <row r="25" spans="1:10">
      <c r="C25" s="177"/>
    </row>
    <row r="26" spans="1:10">
      <c r="A26" s="378" t="s">
        <v>90</v>
      </c>
      <c r="B26" s="378"/>
      <c r="C26" s="378"/>
      <c r="D26" s="378"/>
      <c r="E26" s="378"/>
      <c r="F26" s="379"/>
      <c r="G26" s="181"/>
      <c r="H26" s="181"/>
      <c r="I26" s="181"/>
    </row>
    <row r="27" spans="1:10">
      <c r="A27" s="79" t="s">
        <v>96</v>
      </c>
      <c r="C27" s="146">
        <v>1</v>
      </c>
      <c r="D27" s="146">
        <f t="shared" ref="D27:I27" si="12">C27+1</f>
        <v>2</v>
      </c>
      <c r="E27" s="146">
        <f t="shared" si="12"/>
        <v>3</v>
      </c>
      <c r="F27" s="146">
        <f t="shared" si="12"/>
        <v>4</v>
      </c>
      <c r="G27" s="182">
        <f t="shared" si="12"/>
        <v>5</v>
      </c>
      <c r="H27" s="182">
        <f t="shared" si="12"/>
        <v>6</v>
      </c>
      <c r="I27" s="182">
        <f t="shared" si="12"/>
        <v>7</v>
      </c>
    </row>
    <row r="28" spans="1:10">
      <c r="A28" s="81" t="s">
        <v>91</v>
      </c>
      <c r="B28" s="178"/>
      <c r="C28" s="81"/>
      <c r="D28" s="81"/>
      <c r="E28" s="81"/>
      <c r="F28" s="81"/>
      <c r="G28" s="81"/>
      <c r="H28" s="81"/>
      <c r="I28" s="81"/>
    </row>
    <row r="29" spans="1:10">
      <c r="A29" s="81" t="s">
        <v>92</v>
      </c>
      <c r="B29" s="179"/>
      <c r="C29" s="157">
        <f>C35+C41+C47</f>
        <v>39975.927071044149</v>
      </c>
      <c r="D29" s="157">
        <f t="shared" ref="D29:I29" si="13">D35+D41+D47</f>
        <v>36642.370583920507</v>
      </c>
      <c r="E29" s="157">
        <f t="shared" si="13"/>
        <v>33308.814096796872</v>
      </c>
      <c r="F29" s="157">
        <f t="shared" si="13"/>
        <v>29975.257609673234</v>
      </c>
      <c r="G29" s="157">
        <f t="shared" si="13"/>
        <v>26641.701122549599</v>
      </c>
      <c r="H29" s="157">
        <f t="shared" si="13"/>
        <v>23308.144635425964</v>
      </c>
      <c r="I29" s="157">
        <f t="shared" si="13"/>
        <v>19974.588148302326</v>
      </c>
    </row>
    <row r="30" spans="1:10">
      <c r="A30" s="81" t="s">
        <v>93</v>
      </c>
      <c r="B30" s="179"/>
      <c r="C30" s="157">
        <f>C36+C42+C48</f>
        <v>0</v>
      </c>
      <c r="D30" s="157">
        <f t="shared" ref="D30:I30" si="14">D36+D42+D48</f>
        <v>0</v>
      </c>
      <c r="E30" s="157">
        <f t="shared" si="14"/>
        <v>0</v>
      </c>
      <c r="F30" s="157">
        <f t="shared" si="14"/>
        <v>0</v>
      </c>
      <c r="G30" s="157">
        <f t="shared" si="14"/>
        <v>0</v>
      </c>
      <c r="H30" s="157">
        <f t="shared" si="14"/>
        <v>0</v>
      </c>
      <c r="I30" s="157">
        <f t="shared" si="14"/>
        <v>0</v>
      </c>
    </row>
    <row r="31" spans="1:10">
      <c r="A31" s="159" t="s">
        <v>94</v>
      </c>
      <c r="B31" s="159"/>
      <c r="C31" s="158">
        <f>C37+C43+C49</f>
        <v>3333.5564871236356</v>
      </c>
      <c r="D31" s="158">
        <f t="shared" ref="D31:I31" si="15">D37+D43+D49</f>
        <v>3333.5564871236356</v>
      </c>
      <c r="E31" s="158">
        <f t="shared" si="15"/>
        <v>3333.5564871236356</v>
      </c>
      <c r="F31" s="158">
        <f t="shared" si="15"/>
        <v>3333.5564871236356</v>
      </c>
      <c r="G31" s="158">
        <f t="shared" si="15"/>
        <v>3333.5564871236356</v>
      </c>
      <c r="H31" s="158">
        <f t="shared" si="15"/>
        <v>3333.5564871236356</v>
      </c>
      <c r="I31" s="158">
        <f t="shared" si="15"/>
        <v>3333.5564871236356</v>
      </c>
    </row>
    <row r="32" spans="1:10">
      <c r="A32" s="81" t="s">
        <v>95</v>
      </c>
      <c r="B32" s="179"/>
      <c r="C32" s="157">
        <f t="shared" ref="C32:I32" si="16">C29+C30-C31</f>
        <v>36642.370583920514</v>
      </c>
      <c r="D32" s="157">
        <f t="shared" si="16"/>
        <v>33308.814096796872</v>
      </c>
      <c r="E32" s="157">
        <f t="shared" si="16"/>
        <v>29975.257609673237</v>
      </c>
      <c r="F32" s="157">
        <f t="shared" si="16"/>
        <v>26641.701122549599</v>
      </c>
      <c r="G32" s="157">
        <f t="shared" si="16"/>
        <v>23308.144635425964</v>
      </c>
      <c r="H32" s="157">
        <f t="shared" si="16"/>
        <v>19974.58814830233</v>
      </c>
      <c r="I32" s="157">
        <f t="shared" si="16"/>
        <v>16641.031661178691</v>
      </c>
    </row>
    <row r="33" spans="1:9" hidden="1" outlineLevel="1">
      <c r="A33" s="79" t="s">
        <v>124</v>
      </c>
      <c r="C33" s="146"/>
      <c r="D33" s="146"/>
      <c r="E33" s="146"/>
      <c r="F33" s="146"/>
      <c r="G33" s="146"/>
      <c r="H33" s="146"/>
      <c r="I33" s="146"/>
    </row>
    <row r="34" spans="1:9" hidden="1" outlineLevel="1">
      <c r="A34" s="81" t="s">
        <v>91</v>
      </c>
      <c r="B34" s="180">
        <v>0.05</v>
      </c>
      <c r="C34" s="81"/>
      <c r="D34" s="81"/>
      <c r="E34" s="81"/>
      <c r="F34" s="81"/>
      <c r="G34" s="81"/>
      <c r="H34" s="81"/>
      <c r="I34" s="81"/>
    </row>
    <row r="35" spans="1:9" hidden="1" outlineLevel="1">
      <c r="A35" s="81" t="s">
        <v>92</v>
      </c>
      <c r="B35" s="179"/>
      <c r="C35" s="150">
        <f>Инв!C23</f>
        <v>13280.724399615576</v>
      </c>
      <c r="D35" s="157">
        <f t="shared" ref="D35:I35" si="17">C38</f>
        <v>12616.688179634797</v>
      </c>
      <c r="E35" s="157">
        <f t="shared" si="17"/>
        <v>11952.651959654018</v>
      </c>
      <c r="F35" s="157">
        <f t="shared" si="17"/>
        <v>11288.61573967324</v>
      </c>
      <c r="G35" s="157">
        <f t="shared" si="17"/>
        <v>10624.579519692461</v>
      </c>
      <c r="H35" s="157">
        <f t="shared" si="17"/>
        <v>9960.5432997116823</v>
      </c>
      <c r="I35" s="157">
        <f t="shared" si="17"/>
        <v>9296.5070797309036</v>
      </c>
    </row>
    <row r="36" spans="1:9" hidden="1" outlineLevel="1">
      <c r="A36" s="81" t="s">
        <v>93</v>
      </c>
      <c r="B36" s="179"/>
      <c r="C36" s="157"/>
      <c r="D36" s="157"/>
      <c r="E36" s="157"/>
      <c r="F36" s="157"/>
      <c r="G36" s="157"/>
      <c r="H36" s="157"/>
      <c r="I36" s="157"/>
    </row>
    <row r="37" spans="1:9" hidden="1" outlineLevel="1">
      <c r="A37" s="159" t="s">
        <v>94</v>
      </c>
      <c r="B37" s="159"/>
      <c r="C37" s="158">
        <f t="shared" ref="C37:I37" si="18">$C35*$B34</f>
        <v>664.03621998077881</v>
      </c>
      <c r="D37" s="158">
        <f t="shared" si="18"/>
        <v>664.03621998077881</v>
      </c>
      <c r="E37" s="158">
        <f t="shared" si="18"/>
        <v>664.03621998077881</v>
      </c>
      <c r="F37" s="158">
        <f t="shared" si="18"/>
        <v>664.03621998077881</v>
      </c>
      <c r="G37" s="158">
        <f t="shared" si="18"/>
        <v>664.03621998077881</v>
      </c>
      <c r="H37" s="158">
        <f t="shared" si="18"/>
        <v>664.03621998077881</v>
      </c>
      <c r="I37" s="158">
        <f t="shared" si="18"/>
        <v>664.03621998077881</v>
      </c>
    </row>
    <row r="38" spans="1:9" hidden="1" outlineLevel="1">
      <c r="A38" s="81" t="s">
        <v>95</v>
      </c>
      <c r="B38" s="179"/>
      <c r="C38" s="157">
        <f t="shared" ref="C38:I38" si="19">C35+C36-C37</f>
        <v>12616.688179634797</v>
      </c>
      <c r="D38" s="157">
        <f t="shared" si="19"/>
        <v>11952.651959654018</v>
      </c>
      <c r="E38" s="157">
        <f t="shared" si="19"/>
        <v>11288.61573967324</v>
      </c>
      <c r="F38" s="157">
        <f t="shared" si="19"/>
        <v>10624.579519692461</v>
      </c>
      <c r="G38" s="157">
        <f t="shared" si="19"/>
        <v>9960.5432997116823</v>
      </c>
      <c r="H38" s="157">
        <f t="shared" si="19"/>
        <v>9296.5070797309036</v>
      </c>
      <c r="I38" s="157">
        <f t="shared" si="19"/>
        <v>8632.4708597501249</v>
      </c>
    </row>
    <row r="39" spans="1:9" hidden="1" outlineLevel="1">
      <c r="A39" s="79" t="s">
        <v>118</v>
      </c>
      <c r="C39" s="146"/>
      <c r="D39" s="146"/>
      <c r="E39" s="146"/>
      <c r="F39" s="146"/>
      <c r="G39" s="146"/>
      <c r="H39" s="146"/>
      <c r="I39" s="146"/>
    </row>
    <row r="40" spans="1:9" hidden="1" outlineLevel="1">
      <c r="A40" s="81" t="s">
        <v>91</v>
      </c>
      <c r="B40" s="180">
        <v>0.1</v>
      </c>
      <c r="C40" s="81"/>
      <c r="D40" s="81"/>
      <c r="E40" s="81"/>
      <c r="F40" s="81"/>
      <c r="G40" s="81"/>
      <c r="H40" s="81"/>
      <c r="I40" s="81"/>
    </row>
    <row r="41" spans="1:9" hidden="1" outlineLevel="1">
      <c r="A41" s="81" t="s">
        <v>92</v>
      </c>
      <c r="B41" s="179"/>
      <c r="C41" s="157">
        <f>Инв!C24</f>
        <v>7855.0240999999987</v>
      </c>
      <c r="D41" s="157">
        <f t="shared" ref="D41:I41" si="20">C44</f>
        <v>7069.5216899999987</v>
      </c>
      <c r="E41" s="157">
        <f t="shared" si="20"/>
        <v>6284.0192799999986</v>
      </c>
      <c r="F41" s="157">
        <f t="shared" si="20"/>
        <v>5498.5168699999986</v>
      </c>
      <c r="G41" s="157">
        <f t="shared" si="20"/>
        <v>4713.0144599999985</v>
      </c>
      <c r="H41" s="157">
        <f t="shared" si="20"/>
        <v>3927.5120499999985</v>
      </c>
      <c r="I41" s="157">
        <f t="shared" si="20"/>
        <v>3142.0096399999984</v>
      </c>
    </row>
    <row r="42" spans="1:9" hidden="1" outlineLevel="1">
      <c r="A42" s="81" t="s">
        <v>93</v>
      </c>
      <c r="B42" s="179"/>
      <c r="C42" s="157"/>
      <c r="D42" s="157"/>
      <c r="E42" s="157"/>
      <c r="F42" s="157"/>
      <c r="G42" s="157"/>
      <c r="H42" s="157"/>
      <c r="I42" s="157"/>
    </row>
    <row r="43" spans="1:9" hidden="1" outlineLevel="1">
      <c r="A43" s="159" t="s">
        <v>94</v>
      </c>
      <c r="B43" s="159"/>
      <c r="C43" s="158">
        <f t="shared" ref="C43:I43" si="21">$C41*$B40</f>
        <v>785.50240999999994</v>
      </c>
      <c r="D43" s="158">
        <f t="shared" si="21"/>
        <v>785.50240999999994</v>
      </c>
      <c r="E43" s="158">
        <f t="shared" si="21"/>
        <v>785.50240999999994</v>
      </c>
      <c r="F43" s="158">
        <f t="shared" si="21"/>
        <v>785.50240999999994</v>
      </c>
      <c r="G43" s="158">
        <f t="shared" si="21"/>
        <v>785.50240999999994</v>
      </c>
      <c r="H43" s="158">
        <f t="shared" si="21"/>
        <v>785.50240999999994</v>
      </c>
      <c r="I43" s="158">
        <f t="shared" si="21"/>
        <v>785.50240999999994</v>
      </c>
    </row>
    <row r="44" spans="1:9" hidden="1" outlineLevel="1">
      <c r="A44" s="81" t="s">
        <v>95</v>
      </c>
      <c r="B44" s="179"/>
      <c r="C44" s="157">
        <f t="shared" ref="C44:I44" si="22">C41+C42-C43</f>
        <v>7069.5216899999987</v>
      </c>
      <c r="D44" s="157">
        <f t="shared" si="22"/>
        <v>6284.0192799999986</v>
      </c>
      <c r="E44" s="157">
        <f t="shared" si="22"/>
        <v>5498.5168699999986</v>
      </c>
      <c r="F44" s="157">
        <f t="shared" si="22"/>
        <v>4713.0144599999985</v>
      </c>
      <c r="G44" s="157">
        <f t="shared" si="22"/>
        <v>3927.5120499999985</v>
      </c>
      <c r="H44" s="157">
        <f t="shared" si="22"/>
        <v>3142.0096399999984</v>
      </c>
      <c r="I44" s="157">
        <f t="shared" si="22"/>
        <v>2356.5072299999983</v>
      </c>
    </row>
    <row r="45" spans="1:9" hidden="1" outlineLevel="1">
      <c r="A45" s="79" t="s">
        <v>225</v>
      </c>
      <c r="C45" s="146"/>
      <c r="D45" s="146"/>
      <c r="E45" s="146"/>
      <c r="F45" s="146"/>
      <c r="G45" s="146"/>
      <c r="H45" s="146"/>
      <c r="I45" s="146"/>
    </row>
    <row r="46" spans="1:9" hidden="1" outlineLevel="1">
      <c r="A46" s="81" t="s">
        <v>91</v>
      </c>
      <c r="B46" s="180">
        <v>0.1</v>
      </c>
      <c r="C46" s="81"/>
      <c r="D46" s="81"/>
      <c r="E46" s="81"/>
      <c r="F46" s="81"/>
      <c r="G46" s="81"/>
      <c r="H46" s="81"/>
      <c r="I46" s="81"/>
    </row>
    <row r="47" spans="1:9" hidden="1" outlineLevel="1">
      <c r="A47" s="81" t="s">
        <v>92</v>
      </c>
      <c r="B47" s="179"/>
      <c r="C47" s="157">
        <f>Инв!C25</f>
        <v>18840.178571428569</v>
      </c>
      <c r="D47" s="157">
        <f t="shared" ref="D47:I47" si="23">C50</f>
        <v>16956.16071428571</v>
      </c>
      <c r="E47" s="157">
        <f t="shared" si="23"/>
        <v>15072.142857142853</v>
      </c>
      <c r="F47" s="157">
        <f t="shared" si="23"/>
        <v>13188.124999999996</v>
      </c>
      <c r="G47" s="157">
        <f t="shared" si="23"/>
        <v>11304.107142857139</v>
      </c>
      <c r="H47" s="157">
        <f t="shared" si="23"/>
        <v>9420.0892857142826</v>
      </c>
      <c r="I47" s="157">
        <f t="shared" si="23"/>
        <v>7536.0714285714257</v>
      </c>
    </row>
    <row r="48" spans="1:9" hidden="1" outlineLevel="1">
      <c r="A48" s="81" t="s">
        <v>93</v>
      </c>
      <c r="B48" s="179"/>
      <c r="C48" s="157"/>
      <c r="D48" s="157"/>
      <c r="E48" s="157"/>
      <c r="F48" s="157"/>
      <c r="G48" s="157"/>
      <c r="H48" s="157"/>
      <c r="I48" s="157"/>
    </row>
    <row r="49" spans="1:9" hidden="1" outlineLevel="1">
      <c r="A49" s="159" t="s">
        <v>94</v>
      </c>
      <c r="B49" s="159"/>
      <c r="C49" s="158">
        <f t="shared" ref="C49:I49" si="24">$C47*$B46</f>
        <v>1884.0178571428569</v>
      </c>
      <c r="D49" s="158">
        <f t="shared" si="24"/>
        <v>1884.0178571428569</v>
      </c>
      <c r="E49" s="158">
        <f t="shared" si="24"/>
        <v>1884.0178571428569</v>
      </c>
      <c r="F49" s="158">
        <f t="shared" si="24"/>
        <v>1884.0178571428569</v>
      </c>
      <c r="G49" s="158">
        <f t="shared" si="24"/>
        <v>1884.0178571428569</v>
      </c>
      <c r="H49" s="158">
        <f t="shared" si="24"/>
        <v>1884.0178571428569</v>
      </c>
      <c r="I49" s="158">
        <f t="shared" si="24"/>
        <v>1884.0178571428569</v>
      </c>
    </row>
    <row r="50" spans="1:9" hidden="1" outlineLevel="1">
      <c r="A50" s="81" t="s">
        <v>95</v>
      </c>
      <c r="B50" s="179"/>
      <c r="C50" s="157">
        <f t="shared" ref="C50:I50" si="25">C47+C48-C49</f>
        <v>16956.16071428571</v>
      </c>
      <c r="D50" s="157">
        <f t="shared" si="25"/>
        <v>15072.142857142853</v>
      </c>
      <c r="E50" s="157">
        <f t="shared" si="25"/>
        <v>13188.124999999996</v>
      </c>
      <c r="F50" s="157">
        <f t="shared" si="25"/>
        <v>11304.107142857139</v>
      </c>
      <c r="G50" s="157">
        <f t="shared" si="25"/>
        <v>9420.0892857142826</v>
      </c>
      <c r="H50" s="157">
        <f t="shared" si="25"/>
        <v>7536.0714285714257</v>
      </c>
      <c r="I50" s="157">
        <f t="shared" si="25"/>
        <v>5652.0535714285688</v>
      </c>
    </row>
    <row r="51" spans="1:9" collapsed="1"/>
  </sheetData>
  <mergeCells count="1">
    <mergeCell ref="A26:F26"/>
  </mergeCells>
  <pageMargins left="0.75" right="0.75" top="0.3" bottom="1.36" header="0.2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18</vt:i4>
      </vt:variant>
    </vt:vector>
  </HeadingPairs>
  <TitlesOfParts>
    <vt:vector size="31" baseType="lpstr">
      <vt:lpstr>1-Ф3</vt:lpstr>
      <vt:lpstr>2-ф2</vt:lpstr>
      <vt:lpstr>3-Баланс</vt:lpstr>
      <vt:lpstr>Исх</vt:lpstr>
      <vt:lpstr>Дох</vt:lpstr>
      <vt:lpstr>Расх перем</vt:lpstr>
      <vt:lpstr>Производство</vt:lpstr>
      <vt:lpstr>ФОТ</vt:lpstr>
      <vt:lpstr>Пост</vt:lpstr>
      <vt:lpstr>кр</vt:lpstr>
      <vt:lpstr>Инв</vt:lpstr>
      <vt:lpstr>безубыт</vt:lpstr>
      <vt:lpstr>для текста</vt:lpstr>
      <vt:lpstr>'2-ф2'!Заголовки_для_печати</vt:lpstr>
      <vt:lpstr>'3-Баланс'!Заголовки_для_печати</vt:lpstr>
      <vt:lpstr>Инв!Заголовки_для_печати</vt:lpstr>
      <vt:lpstr>кр!Заголовки_для_печати</vt:lpstr>
      <vt:lpstr>Производство!Заголовки_для_печати</vt:lpstr>
      <vt:lpstr>ФОТ!Заголовки_для_печати</vt:lpstr>
      <vt:lpstr>ндс</vt:lpstr>
      <vt:lpstr>'1-Ф3'!Область_печати</vt:lpstr>
      <vt:lpstr>'2-ф2'!Область_печати</vt:lpstr>
      <vt:lpstr>'3-Баланс'!Область_печати</vt:lpstr>
      <vt:lpstr>'для текста'!Область_печати</vt:lpstr>
      <vt:lpstr>Инв!Область_печати</vt:lpstr>
      <vt:lpstr>Исх!Область_печати</vt:lpstr>
      <vt:lpstr>кр!Область_печати</vt:lpstr>
      <vt:lpstr>Пост!Область_печати</vt:lpstr>
      <vt:lpstr>Производство!Область_печати</vt:lpstr>
      <vt:lpstr>'Расх перем'!Область_печати</vt:lpstr>
      <vt:lpstr>ФОТ!Область_печати</vt:lpstr>
    </vt:vector>
  </TitlesOfParts>
  <Company>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ТЭО</dc:title>
  <dc:creator>m_anfinogenov</dc:creator>
  <cp:lastModifiedBy>Админ</cp:lastModifiedBy>
  <cp:lastPrinted>2012-01-05T06:12:20Z</cp:lastPrinted>
  <dcterms:created xsi:type="dcterms:W3CDTF">2006-03-01T15:11:19Z</dcterms:created>
  <dcterms:modified xsi:type="dcterms:W3CDTF">2012-12-13T11:07:19Z</dcterms:modified>
</cp:coreProperties>
</file>