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Продукция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'Продукция'!$A:$A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'Исх'!$C$20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'1-Ф3'!$A$1:$AI$38</definedName>
    <definedName name="_xlnm.Print_Area" localSheetId="1">'2-ф2'!$A$1:$AI$30</definedName>
    <definedName name="_xlnm.Print_Area" localSheetId="2">'3-Баланс'!$A$1:$AI$26</definedName>
    <definedName name="_xlnm.Print_Area" localSheetId="10">'Инв'!$A$1:$Q$22</definedName>
    <definedName name="_xlnm.Print_Area" localSheetId="3">'Исх'!$A$1:$J$60</definedName>
    <definedName name="_xlnm.Print_Area" localSheetId="9">'кр'!$A$1:$DB$13</definedName>
    <definedName name="_xlnm.Print_Area" localSheetId="12">'Осн.пок-ли'!$A$1:$L$71</definedName>
    <definedName name="_xlnm.Print_Area" localSheetId="6">'Продукция'!$A$1:$AI$16</definedName>
    <definedName name="_xlnm.Print_Area" localSheetId="7">'ФОТ'!$A$1:$K$27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'Продукция'!#REF!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'Продукция'!#REF!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<sst xmlns="http://schemas.openxmlformats.org/spreadsheetml/2006/main" count="509" uniqueCount="351">
  <si>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</si>
  <si>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</si>
  <si>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</si>
  <si>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</si>
  <si>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</si>
  <si>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</si>
  <si>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</si>
  <si>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</si>
  <si>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</si>
  <si>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</si>
  <si>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</si>
  <si>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</si>
  <si>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</si>
  <si>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</si>
  <si>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</si>
  <si>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</si>
  <si>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</si>
  <si>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</si>
  <si>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</si>
  <si>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</si>
  <si>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</si>
  <si>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</si>
  <si>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</si>
  <si>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</si>
  <si>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</si>
  <si>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</si>
  <si>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</si>
  <si>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</si>
  <si>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</si>
  <si>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</si>
  <si>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</si>
  <si>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</si>
  <si>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</si>
  <si>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</si>
  <si>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</si>
  <si>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</si>
  <si>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</si>
  <si>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</si>
  <si>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</si>
  <si>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</si>
  <si>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</si>
  <si>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</si>
  <si>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</si>
  <si>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</si>
  <si>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</si>
  <si>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</si>
  <si>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</si>
  <si>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</si>
  <si>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</si>
  <si>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</si>
  <si>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</si>
  <si>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</si>
  <si>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</si>
  <si>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</si>
  <si>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</si>
  <si>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</si>
  <si>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</si>
  <si>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</si>
  <si>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</si>
  <si>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</si>
  <si>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</si>
  <si>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</si>
  <si>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</si>
  <si>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</si>
  <si>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</si>
  <si>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</si>
  <si>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</si>
  <si>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</si>
  <si>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</si>
  <si>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</si>
  <si>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</si>
  <si>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</si>
  <si>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</si>
  <si>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</si>
  <si>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</si>
  <si>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</si>
  <si>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</si>
  <si>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</si>
  <si>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</si>
  <si>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</si>
  <si>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</si>
  <si>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</si>
  <si>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</si>
  <si>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</si>
  <si>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</si>
  <si>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</si>
  <si>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</si>
  <si>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</si>
  <si>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</si>
  <si>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</si>
  <si>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</si>
  <si>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</si>
  <si>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</si>
  <si>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</si>
  <si>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</si>
  <si>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</si>
  <si>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</si>
  <si>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</si>
  <si>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</si>
  <si>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</si>
  <si>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</si>
  <si>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</si>
  <si>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</si>
  <si>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</si>
  <si>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</si>
  <si>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</si>
  <si>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</si>
  <si>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</si>
  <si>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</si>
  <si>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</si>
  <si>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</si>
  <si>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</si>
  <si>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</si>
  <si>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</si>
  <si>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</si>
  <si>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</si>
  <si>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</si>
  <si>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</si>
  <si>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</si>
  <si>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</si>
  <si>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</si>
  <si>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</si>
  <si>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</si>
  <si>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</si>
  <si>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</si>
  <si>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</si>
  <si>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</si>
  <si>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</si>
  <si>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</si>
  <si>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</si>
  <si>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</si>
  <si>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</si>
  <si>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</si>
  <si>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</si>
  <si>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</si>
  <si>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</si>
  <si>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</si>
  <si>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</si>
  <si>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</si>
  <si>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</si>
  <si>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</si>
  <si>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</si>
  <si>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</si>
  <si>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</si>
  <si>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</si>
  <si>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</si>
  <si>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</si>
  <si>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</si>
  <si>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</si>
  <si>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</si>
  <si>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</si>
  <si>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</si>
  <si>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</si>
  <si>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</si>
  <si>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</si>
  <si>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</si>
  <si>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</si>
  <si>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</si>
  <si>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</si>
  <si>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</si>
  <si>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</si>
  <si>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</si>
  <si>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</si>
  <si>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</si>
  <si>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</si>
  <si>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</si>
  <si>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</si>
  <si>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</si>
  <si>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</si>
  <si>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</si>
  <si>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</si>
  <si>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</si>
  <si>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</si>
  <si>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</si>
  <si>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</si>
  <si>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</si>
  <si>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</si>
  <si>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</si>
  <si>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</si>
  <si>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</si>
  <si>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</si>
  <si>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</si>
  <si>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</si>
  <si>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</si>
  <si>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</si>
  <si>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</si>
  <si>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Налог на прибыль</t>
  </si>
  <si>
    <t>Налоги и обязательные платежи от ФОТ</t>
  </si>
  <si>
    <t>Вид налога</t>
  </si>
  <si>
    <t>Сумма, тыс.тг.</t>
  </si>
  <si>
    <t>Техника</t>
  </si>
  <si>
    <t>май</t>
  </si>
  <si>
    <t>Продукция</t>
  </si>
  <si>
    <t>ед.изм.</t>
  </si>
  <si>
    <t>Срок погашения, лет</t>
  </si>
  <si>
    <t>Расходы, тыс.тг.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</si>
  <si>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</si>
  <si>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</si>
  <si>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</si>
  <si>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</si>
  <si>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уровень инфляции</t>
  </si>
  <si>
    <t>согласно налог.режиму КХ</t>
  </si>
  <si>
    <t>ИПН</t>
  </si>
  <si>
    <t>Земельный налог</t>
  </si>
  <si>
    <t>га</t>
  </si>
  <si>
    <t>Площадь з/у</t>
  </si>
  <si>
    <t>Оценочная стоимость з/у</t>
  </si>
  <si>
    <t>в год</t>
  </si>
  <si>
    <t>2014 год</t>
  </si>
  <si>
    <t>Цены</t>
  </si>
  <si>
    <t>Прочие налоги и сборы</t>
  </si>
  <si>
    <t>Адм.расходы</t>
  </si>
  <si>
    <t>ГСМ (помимо производства)</t>
  </si>
  <si>
    <t>Доход до налогов</t>
  </si>
  <si>
    <t>Расчет земельного налога</t>
  </si>
  <si>
    <t>база, тыс.тг.</t>
  </si>
  <si>
    <t>ставка, %</t>
  </si>
  <si>
    <t>сумма, тыс.тг. (в год)</t>
  </si>
  <si>
    <t>общая сумма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</si>
  <si>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</si>
  <si>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</si>
  <si>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</si>
  <si>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</si>
  <si>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</si>
  <si>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</si>
  <si>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</si>
  <si>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</si>
  <si>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Мероприятие</t>
  </si>
  <si>
    <t>Разработка бизнес-плана</t>
  </si>
  <si>
    <t>Поиск и найм персонала</t>
  </si>
  <si>
    <t>Обслуживание и ремонт с/техники</t>
  </si>
  <si>
    <t>Глава</t>
  </si>
  <si>
    <t>Площади</t>
  </si>
  <si>
    <t>Участок</t>
  </si>
  <si>
    <t>до 500 га</t>
  </si>
  <si>
    <t>Первоначальные инвестиции</t>
  </si>
  <si>
    <t>Прочие краткосрочные активы (незавершенное производство)</t>
  </si>
  <si>
    <t>Показатели эффективности проекта (7 год)</t>
  </si>
  <si>
    <t>Индекс окупаемости инвестций (PI)</t>
  </si>
  <si>
    <t>Величина налоговых поступлений за 7 лет, тыс.тг.</t>
  </si>
  <si>
    <t>Начало продаж</t>
  </si>
  <si>
    <t>сен</t>
  </si>
  <si>
    <t>окт</t>
  </si>
  <si>
    <t>ноя</t>
  </si>
  <si>
    <t>дек</t>
  </si>
  <si>
    <t>янв</t>
  </si>
  <si>
    <t>мар</t>
  </si>
  <si>
    <t>апр</t>
  </si>
  <si>
    <t>Постоянные расходы в год</t>
  </si>
  <si>
    <t>кг</t>
  </si>
  <si>
    <t>Расчет доходов</t>
  </si>
  <si>
    <t>Ед.изм.</t>
  </si>
  <si>
    <t>Цена, тг.</t>
  </si>
  <si>
    <t>Расчет переменных расходов</t>
  </si>
  <si>
    <t>Статья расходов</t>
  </si>
  <si>
    <t>Примечание</t>
  </si>
  <si>
    <t>расшифровка на листе ФОТ</t>
  </si>
  <si>
    <t>снятие наличных, переводы</t>
  </si>
  <si>
    <t>Аренда транспорта</t>
  </si>
  <si>
    <t>Разведение и размножение домашней птицы</t>
  </si>
  <si>
    <t>Прочие</t>
  </si>
  <si>
    <t>Утепленное здание серии «СПАЙДЕР-В» размерами 18,0х99,0х3,6 (h) метра</t>
  </si>
  <si>
    <t>http://www.bvz.nn.ru/Proekty/spyder/ptizeferma1800.html</t>
  </si>
  <si>
    <t>Комплект оборудования исходя из кол-ва голов стада и размера птицефабрики</t>
  </si>
  <si>
    <t>Размер стада</t>
  </si>
  <si>
    <t>тыс.гол</t>
  </si>
  <si>
    <t>Курс евро/тенге</t>
  </si>
  <si>
    <t>из расчета 5 евро на голову, данные АО "КазАгроФинанс"</t>
  </si>
  <si>
    <t>доля, %</t>
  </si>
  <si>
    <t>куры</t>
  </si>
  <si>
    <t>гуси</t>
  </si>
  <si>
    <t>утки</t>
  </si>
  <si>
    <t>Цыплята</t>
  </si>
  <si>
    <t>Утята</t>
  </si>
  <si>
    <t>Гусята</t>
  </si>
  <si>
    <t>http://www.kz.all.biz/cyplyata-sutochnye-bgg1084338</t>
  </si>
  <si>
    <t>http://www.kz.all.biz/utyata-sutochnye-bgg1083331</t>
  </si>
  <si>
    <t>http://almatycity.olx.kz/iid-504477704</t>
  </si>
  <si>
    <t>Яйцо куриное</t>
  </si>
  <si>
    <t>Мясо куриное</t>
  </si>
  <si>
    <t>Мясо утиное</t>
  </si>
  <si>
    <t>Мясо гусиное</t>
  </si>
  <si>
    <t>тг/шт</t>
  </si>
  <si>
    <t>тг/кг</t>
  </si>
  <si>
    <t>http://pavlodar.pulscen.kz/price/401601-jajco-kurinoe</t>
  </si>
  <si>
    <t>от 8 до 18 тг.</t>
  </si>
  <si>
    <t>http://petropavl.pulscen.kz/products/myaso_kur_nesushek_16412312</t>
  </si>
  <si>
    <t>http://pavlodarobl.satu.kz/Myaso-gusej.html</t>
  </si>
  <si>
    <t>http://www.kz.all.biz/myaso-utki-bgg1082040</t>
  </si>
  <si>
    <t>Куры</t>
  </si>
  <si>
    <t>Утки</t>
  </si>
  <si>
    <t>Гуси</t>
  </si>
  <si>
    <t>Выход продукции, затраты корма</t>
  </si>
  <si>
    <t>мес.</t>
  </si>
  <si>
    <t>Откорм молодняка</t>
  </si>
  <si>
    <t>Вес на убой</t>
  </si>
  <si>
    <t>Вес потрохов</t>
  </si>
  <si>
    <t>Потроха</t>
  </si>
  <si>
    <t>Комбикорм</t>
  </si>
  <si>
    <t>Брак яйца</t>
  </si>
  <si>
    <t>Продуктивность на 1 курицу</t>
  </si>
  <si>
    <t>шт/мес</t>
  </si>
  <si>
    <t>Зерно</t>
  </si>
  <si>
    <t>Норма расхода комбикорма</t>
  </si>
  <si>
    <t>кг/сут на 1 гол.</t>
  </si>
  <si>
    <t>Норма расхода зерна</t>
  </si>
  <si>
    <t>Производство продукции</t>
  </si>
  <si>
    <t>Мясо</t>
  </si>
  <si>
    <t>тыс.шт.</t>
  </si>
  <si>
    <t>тн</t>
  </si>
  <si>
    <t>На убой</t>
  </si>
  <si>
    <t>Обновление стада</t>
  </si>
  <si>
    <t>потроха</t>
  </si>
  <si>
    <t>тыс.гол.</t>
  </si>
  <si>
    <t>в месяц</t>
  </si>
  <si>
    <t>тыс.шт</t>
  </si>
  <si>
    <t>Комбикорма</t>
  </si>
  <si>
    <t>Норма расхода, кг/гол</t>
  </si>
  <si>
    <t>Цена на кг, тг.</t>
  </si>
  <si>
    <t>Размер стада, тыс.гол.</t>
  </si>
  <si>
    <t>Птичник</t>
  </si>
  <si>
    <t>Работник убойного цеха</t>
  </si>
  <si>
    <t>Убойный цех</t>
  </si>
  <si>
    <t>Обслуживание и ремонт оборудования</t>
  </si>
  <si>
    <t>Доход от реализации продукции</t>
  </si>
  <si>
    <t>мясо куриное</t>
  </si>
  <si>
    <t>яйцо куриное</t>
  </si>
  <si>
    <t>мясо утиное</t>
  </si>
  <si>
    <t>мясо гусиное</t>
  </si>
  <si>
    <t>корма</t>
  </si>
  <si>
    <t>с учетом петушков (50%) и замены несушек ч/з 2 г.</t>
  </si>
  <si>
    <t>июн.-дек.14</t>
  </si>
  <si>
    <t>апр.-июн.14</t>
  </si>
  <si>
    <t>Рентабельность продаж, %</t>
  </si>
  <si>
    <t>2021 год</t>
  </si>
  <si>
    <t>Планируемая программа производства</t>
  </si>
  <si>
    <t>Выход продукции (в месяц)</t>
  </si>
  <si>
    <t>Строительно-монтажные работы</t>
  </si>
  <si>
    <t>Выращивание молодняка</t>
  </si>
  <si>
    <t>июн</t>
  </si>
  <si>
    <t>июл</t>
  </si>
  <si>
    <t>авг</t>
  </si>
  <si>
    <t>2015 год</t>
  </si>
  <si>
    <t>Поставка оборудования</t>
  </si>
  <si>
    <t>Поставка молодняка</t>
  </si>
  <si>
    <t>Медикаменты</t>
  </si>
  <si>
    <t>Соль и витамины</t>
  </si>
  <si>
    <t>Себестоимость реализ.продукции</t>
  </si>
  <si>
    <t>Доход от реализации</t>
  </si>
  <si>
    <t>Полная себестоимость</t>
  </si>
  <si>
    <t>Тип погашения основного долга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</si>
</sst>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6" fillId="0" borderId="0" xfId="70" applyNumberFormat="1" applyFont="1" applyFill="1" applyBorder="1" applyAlignment="1">
      <alignment horizontal="left"/>
      <protection/>
    </xf>
    <xf numFmtId="9" fontId="66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7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7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6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8" fillId="0" borderId="0" xfId="66" applyFont="1" applyAlignment="1">
      <alignment vertical="center"/>
      <protection/>
    </xf>
    <xf numFmtId="0" fontId="68" fillId="0" borderId="0" xfId="66" applyFont="1" applyAlignment="1">
      <alignment horizontal="right" vertical="center"/>
      <protection/>
    </xf>
    <xf numFmtId="0" fontId="68" fillId="0" borderId="0" xfId="66" applyFont="1">
      <alignment/>
      <protection/>
    </xf>
    <xf numFmtId="0" fontId="69" fillId="2" borderId="11" xfId="67" applyFont="1" applyFill="1" applyBorder="1" applyAlignment="1">
      <alignment vertical="center"/>
      <protection/>
    </xf>
    <xf numFmtId="3" fontId="69" fillId="2" borderId="10" xfId="67" applyNumberFormat="1" applyFont="1" applyFill="1" applyBorder="1" applyAlignment="1">
      <alignment horizontal="center" vertical="center"/>
      <protection/>
    </xf>
    <xf numFmtId="0" fontId="68" fillId="0" borderId="10" xfId="66" applyFont="1" applyBorder="1" applyAlignment="1">
      <alignment vertical="center"/>
      <protection/>
    </xf>
    <xf numFmtId="3" fontId="68" fillId="0" borderId="10" xfId="66" applyNumberFormat="1" applyFont="1" applyFill="1" applyBorder="1" applyAlignment="1">
      <alignment horizontal="right" vertical="center"/>
      <protection/>
    </xf>
    <xf numFmtId="0" fontId="69" fillId="0" borderId="10" xfId="66" applyFont="1" applyBorder="1" applyAlignment="1">
      <alignment vertical="center"/>
      <protection/>
    </xf>
    <xf numFmtId="3" fontId="69" fillId="0" borderId="10" xfId="66" applyNumberFormat="1" applyFont="1" applyFill="1" applyBorder="1" applyAlignment="1">
      <alignment horizontal="right" vertical="center"/>
      <protection/>
    </xf>
    <xf numFmtId="0" fontId="68" fillId="0" borderId="0" xfId="66" applyFont="1" applyBorder="1" applyAlignment="1">
      <alignment vertical="center"/>
      <protection/>
    </xf>
    <xf numFmtId="3" fontId="68" fillId="0" borderId="0" xfId="66" applyNumberFormat="1" applyFont="1" applyBorder="1" applyAlignment="1">
      <alignment horizontal="right" vertical="center"/>
      <protection/>
    </xf>
    <xf numFmtId="49" fontId="68" fillId="0" borderId="10" xfId="66" applyNumberFormat="1" applyFont="1" applyFill="1" applyBorder="1" applyAlignment="1">
      <alignment horizontal="right" vertical="center"/>
      <protection/>
    </xf>
    <xf numFmtId="9" fontId="68" fillId="0" borderId="10" xfId="66" applyNumberFormat="1" applyFont="1" applyFill="1" applyBorder="1" applyAlignment="1">
      <alignment horizontal="right" vertical="center"/>
      <protection/>
    </xf>
    <xf numFmtId="9" fontId="69" fillId="0" borderId="10" xfId="66" applyNumberFormat="1" applyFont="1" applyFill="1" applyBorder="1" applyAlignment="1">
      <alignment horizontal="right" vertical="center"/>
      <protection/>
    </xf>
    <xf numFmtId="0" fontId="68" fillId="0" borderId="0" xfId="66" applyFont="1" applyBorder="1" applyAlignment="1">
      <alignment horizontal="left" vertical="center"/>
      <protection/>
    </xf>
    <xf numFmtId="0" fontId="68" fillId="0" borderId="0" xfId="66" applyFont="1" applyBorder="1" applyAlignment="1">
      <alignment horizontal="right" vertical="center"/>
      <protection/>
    </xf>
    <xf numFmtId="177" fontId="68" fillId="0" borderId="10" xfId="66" applyNumberFormat="1" applyFont="1" applyFill="1" applyBorder="1" applyAlignment="1">
      <alignment horizontal="right" vertical="center"/>
      <protection/>
    </xf>
    <xf numFmtId="0" fontId="69" fillId="0" borderId="0" xfId="66" applyFont="1" applyAlignment="1">
      <alignment vertical="center"/>
      <protection/>
    </xf>
    <xf numFmtId="0" fontId="68" fillId="0" borderId="10" xfId="66" applyFont="1" applyBorder="1" applyAlignment="1">
      <alignment vertical="center" wrapText="1"/>
      <protection/>
    </xf>
    <xf numFmtId="3" fontId="68" fillId="2" borderId="10" xfId="66" applyNumberFormat="1" applyFont="1" applyFill="1" applyBorder="1" applyAlignment="1">
      <alignment horizontal="right" vertical="center"/>
      <protection/>
    </xf>
    <xf numFmtId="0" fontId="69" fillId="2" borderId="10" xfId="66" applyFont="1" applyFill="1" applyBorder="1" applyAlignment="1">
      <alignment vertical="center"/>
      <protection/>
    </xf>
    <xf numFmtId="3" fontId="69" fillId="2" borderId="10" xfId="66" applyNumberFormat="1" applyFont="1" applyFill="1" applyBorder="1" applyAlignment="1">
      <alignment horizontal="right" vertical="center"/>
      <protection/>
    </xf>
    <xf numFmtId="49" fontId="68" fillId="0" borderId="10" xfId="66" applyNumberFormat="1" applyFont="1" applyFill="1" applyBorder="1" applyAlignment="1">
      <alignment horizontal="right" vertical="center" wrapText="1"/>
      <protection/>
    </xf>
    <xf numFmtId="0" fontId="68" fillId="0" borderId="0" xfId="66" applyFont="1" applyFill="1">
      <alignment/>
      <protection/>
    </xf>
    <xf numFmtId="3" fontId="24" fillId="0" borderId="0" xfId="0" applyNumberFormat="1" applyFont="1" applyAlignment="1">
      <alignment/>
    </xf>
    <xf numFmtId="17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69" fillId="0" borderId="11" xfId="66" applyFont="1" applyBorder="1" applyAlignment="1">
      <alignment vertical="center"/>
      <protection/>
    </xf>
    <xf numFmtId="3" fontId="68" fillId="0" borderId="16" xfId="66" applyNumberFormat="1" applyFont="1" applyFill="1" applyBorder="1" applyAlignment="1">
      <alignment horizontal="right" vertical="center"/>
      <protection/>
    </xf>
    <xf numFmtId="3" fontId="5" fillId="35" borderId="10" xfId="0" applyNumberFormat="1" applyFont="1" applyFill="1" applyBorder="1" applyAlignment="1">
      <alignment vertical="center"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/>
    </xf>
    <xf numFmtId="9" fontId="69" fillId="2" borderId="10" xfId="66" applyNumberFormat="1" applyFont="1" applyFill="1" applyBorder="1" applyAlignment="1">
      <alignment horizontal="center" vertical="center"/>
      <protection/>
    </xf>
    <xf numFmtId="0" fontId="69" fillId="2" borderId="10" xfId="67" applyFont="1" applyFill="1" applyBorder="1" applyAlignment="1">
      <alignment vertical="center"/>
      <protection/>
    </xf>
    <xf numFmtId="177" fontId="68" fillId="0" borderId="10" xfId="66" applyNumberFormat="1" applyFont="1" applyFill="1" applyBorder="1" applyAlignment="1">
      <alignment vertical="center"/>
      <protection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3" fontId="69" fillId="2" borderId="10" xfId="67" applyNumberFormat="1" applyFont="1" applyFill="1" applyBorder="1" applyAlignment="1">
      <alignment horizontal="center" vertical="center"/>
      <protection/>
    </xf>
    <xf numFmtId="177" fontId="5" fillId="33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indent="1"/>
    </xf>
    <xf numFmtId="9" fontId="25" fillId="33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9" fontId="5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/>
    </xf>
    <xf numFmtId="9" fontId="2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0" xfId="71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3" fontId="68" fillId="0" borderId="16" xfId="66" applyNumberFormat="1" applyFont="1" applyFill="1" applyBorder="1" applyAlignment="1">
      <alignment horizontal="center" vertical="center"/>
      <protection/>
    </xf>
    <xf numFmtId="3" fontId="68" fillId="0" borderId="10" xfId="66" applyNumberFormat="1" applyFont="1" applyFill="1" applyBorder="1" applyAlignment="1">
      <alignment horizontal="center" vertical="center"/>
      <protection/>
    </xf>
    <xf numFmtId="0" fontId="70" fillId="0" borderId="0" xfId="66" applyFont="1">
      <alignment/>
      <protection/>
    </xf>
    <xf numFmtId="0" fontId="70" fillId="0" borderId="10" xfId="66" applyFont="1" applyBorder="1" applyAlignment="1">
      <alignment vertical="center"/>
      <protection/>
    </xf>
    <xf numFmtId="3" fontId="70" fillId="0" borderId="10" xfId="66" applyNumberFormat="1" applyFont="1" applyFill="1" applyBorder="1" applyAlignment="1">
      <alignment horizontal="center" vertical="center"/>
      <protection/>
    </xf>
    <xf numFmtId="3" fontId="70" fillId="0" borderId="10" xfId="66" applyNumberFormat="1" applyFont="1" applyFill="1" applyBorder="1" applyAlignment="1">
      <alignment horizontal="right" vertical="center"/>
      <protection/>
    </xf>
    <xf numFmtId="177" fontId="68" fillId="0" borderId="10" xfId="66" applyNumberFormat="1" applyFont="1" applyFill="1" applyBorder="1" applyAlignment="1">
      <alignment horizontal="center" vertical="center"/>
      <protection/>
    </xf>
    <xf numFmtId="3" fontId="68" fillId="0" borderId="10" xfId="66" applyNumberFormat="1" applyFont="1" applyFill="1" applyBorder="1" applyAlignment="1">
      <alignment vertical="center"/>
      <protection/>
    </xf>
    <xf numFmtId="3" fontId="69" fillId="2" borderId="10" xfId="67" applyNumberFormat="1" applyFont="1" applyFill="1" applyBorder="1" applyAlignment="1">
      <alignment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6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9" fillId="2" borderId="13" xfId="67" applyFont="1" applyFill="1" applyBorder="1" applyAlignment="1">
      <alignment horizontal="left" vertical="center"/>
      <protection/>
    </xf>
    <xf numFmtId="0" fontId="69" fillId="2" borderId="14" xfId="67" applyFont="1" applyFill="1" applyBorder="1" applyAlignment="1">
      <alignment horizontal="left" vertical="center"/>
      <protection/>
    </xf>
    <xf numFmtId="3" fontId="69" fillId="2" borderId="11" xfId="67" applyNumberFormat="1" applyFont="1" applyFill="1" applyBorder="1" applyAlignment="1">
      <alignment horizontal="center" vertical="center"/>
      <protection/>
    </xf>
    <xf numFmtId="3" fontId="69" fillId="2" borderId="16" xfId="67" applyNumberFormat="1" applyFont="1" applyFill="1" applyBorder="1" applyAlignment="1">
      <alignment horizontal="center" vertical="center"/>
      <protection/>
    </xf>
    <xf numFmtId="3" fontId="69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vz.nn.ru/Proekty/spyder/ptizeferma1800.html" TargetMode="External" /><Relationship Id="rId2" Type="http://schemas.openxmlformats.org/officeDocument/2006/relationships/hyperlink" Target="http://www.kz.all.biz/utyata-sutochnye-bgg1083331" TargetMode="External" /><Relationship Id="rId3" Type="http://schemas.openxmlformats.org/officeDocument/2006/relationships/hyperlink" Target="http://almatycity.olx.kz/iid-504477704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avlodar.pulscen.kz/price/401601-jajco-kurinoe" TargetMode="External" /><Relationship Id="rId2" Type="http://schemas.openxmlformats.org/officeDocument/2006/relationships/hyperlink" Target="http://petropavl.pulscen.kz/products/myaso_kur_nesushek_16412312" TargetMode="External" /><Relationship Id="rId3" Type="http://schemas.openxmlformats.org/officeDocument/2006/relationships/hyperlink" Target="http://pavlodarobl.satu.kz/Myaso-gusej.html" TargetMode="External" /><Relationship Id="rId4" Type="http://schemas.openxmlformats.org/officeDocument/2006/relationships/hyperlink" Target="http://www.kz.all.biz/myaso-utki-bgg1082040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45"/>
  <sheetViews>
    <sheetView showGridLines="0" showZeros="0" zoomScalePageLayoutView="0" workbookViewId="0" topLeftCell="A1">
      <pane xSplit="3" ySplit="6" topLeftCell="D3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4" sqref="B54"/>
    </sheetView>
  </sheetViews>
  <sheetFormatPr defaultColWidth="8.625" defaultRowHeight="12.75" outlineLevelRow="1" outlineLevelCol="1"/>
  <cols>
    <col min="1" max="1" width="37.25390625" style="58" customWidth="1"/>
    <col min="2" max="2" width="10.125" style="59" customWidth="1"/>
    <col min="3" max="3" width="1.875" style="59" customWidth="1"/>
    <col min="4" max="6" width="7.75390625" style="6" hidden="1" customWidth="1" outlineLevel="1"/>
    <col min="7" max="7" width="8.125" style="55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5" width="7.875" style="8" bestFit="1" customWidth="1"/>
    <col min="36" max="42" width="8.75390625" style="8" bestFit="1" customWidth="1"/>
    <col min="43" max="16384" width="8.625" style="8" customWidth="1"/>
  </cols>
  <sheetData>
    <row r="1" spans="1:27" ht="12.75">
      <c r="A1" s="60" t="s">
        <v>160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MAX(K38:AF38)</f>
        <v>46852.93652130603</v>
      </c>
      <c r="B2" s="10">
        <f>MIN(I38:AH38)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309" t="s">
        <v>2</v>
      </c>
      <c r="B5" s="311" t="s">
        <v>85</v>
      </c>
      <c r="C5" s="15"/>
      <c r="D5" s="311">
        <v>2014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>
        <v>2015</v>
      </c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15">
        <f>Q5+1</f>
        <v>2016</v>
      </c>
      <c r="AE5" s="15">
        <f>AD5+1</f>
        <v>2017</v>
      </c>
      <c r="AF5" s="15">
        <f>AE5+1</f>
        <v>2018</v>
      </c>
      <c r="AG5" s="15">
        <f>AF5+1</f>
        <v>2019</v>
      </c>
      <c r="AH5" s="15">
        <f>AG5+1</f>
        <v>2020</v>
      </c>
      <c r="AI5" s="15">
        <f>AH5+1</f>
        <v>2021</v>
      </c>
    </row>
    <row r="6" spans="1:35" ht="12.75">
      <c r="A6" s="310"/>
      <c r="B6" s="311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110</v>
      </c>
      <c r="AE6" s="15" t="s">
        <v>110</v>
      </c>
      <c r="AF6" s="15" t="s">
        <v>110</v>
      </c>
      <c r="AG6" s="15" t="s">
        <v>110</v>
      </c>
      <c r="AH6" s="15" t="s">
        <v>110</v>
      </c>
      <c r="AI6" s="15" t="s">
        <v>110</v>
      </c>
    </row>
    <row r="7" spans="1:35" s="21" customFormat="1" ht="25.5">
      <c r="A7" s="17" t="s">
        <v>3</v>
      </c>
      <c r="B7" s="18">
        <f>P7</f>
        <v>0</v>
      </c>
      <c r="C7" s="19"/>
      <c r="D7" s="20">
        <f>C38</f>
        <v>0</v>
      </c>
      <c r="E7" s="20">
        <f aca="true" t="shared" si="2" ref="E7:K7">D38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K38</f>
        <v>0</v>
      </c>
      <c r="M7" s="20">
        <f>L38</f>
        <v>0</v>
      </c>
      <c r="N7" s="20">
        <f>M38</f>
        <v>0</v>
      </c>
      <c r="O7" s="20">
        <f>N38</f>
        <v>0</v>
      </c>
      <c r="P7" s="20">
        <f>D7</f>
        <v>0</v>
      </c>
      <c r="Q7" s="20">
        <f>P38</f>
        <v>0</v>
      </c>
      <c r="R7" s="20">
        <f aca="true" t="shared" si="3" ref="R7:AA7">Q38</f>
        <v>1874.5433405558106</v>
      </c>
      <c r="S7" s="20">
        <f t="shared" si="3"/>
        <v>3749.086681111621</v>
      </c>
      <c r="T7" s="20">
        <f t="shared" si="3"/>
        <v>5623.630021667432</v>
      </c>
      <c r="U7" s="20">
        <f t="shared" si="3"/>
        <v>6398.743309313798</v>
      </c>
      <c r="V7" s="20">
        <f t="shared" si="3"/>
        <v>7180.26993893547</v>
      </c>
      <c r="W7" s="20">
        <f t="shared" si="3"/>
        <v>7968.209910532446</v>
      </c>
      <c r="X7" s="20">
        <f t="shared" si="3"/>
        <v>8762.563224104726</v>
      </c>
      <c r="Y7" s="20">
        <f t="shared" si="3"/>
        <v>9563.32987965231</v>
      </c>
      <c r="Z7" s="20">
        <f t="shared" si="3"/>
        <v>10370.5098771752</v>
      </c>
      <c r="AA7" s="20">
        <f t="shared" si="3"/>
        <v>11184.103216673395</v>
      </c>
      <c r="AB7" s="20">
        <f>AA38</f>
        <v>12004.109898146895</v>
      </c>
      <c r="AC7" s="20">
        <f>Q7</f>
        <v>0</v>
      </c>
      <c r="AD7" s="20">
        <f aca="true" t="shared" si="4" ref="AD7:AI7">AC38</f>
        <v>12830.5299215957</v>
      </c>
      <c r="AE7" s="20">
        <f t="shared" si="4"/>
        <v>23247.810877055213</v>
      </c>
      <c r="AF7" s="20">
        <f t="shared" si="4"/>
        <v>34588.61307695865</v>
      </c>
      <c r="AG7" s="20">
        <f t="shared" si="4"/>
        <v>46852.93652130603</v>
      </c>
      <c r="AH7" s="20">
        <f t="shared" si="4"/>
        <v>60040.78121009734</v>
      </c>
      <c r="AI7" s="20">
        <f t="shared" si="4"/>
        <v>74152.14714333258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SUM(B10:B14)</f>
        <v>804599.6</v>
      </c>
      <c r="C9" s="27"/>
      <c r="D9" s="27">
        <f aca="true" t="shared" si="5" ref="D9:AI9">SUM(D10:D14)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9578.566666666666</v>
      </c>
      <c r="R9" s="27">
        <f t="shared" si="5"/>
        <v>9578.566666666666</v>
      </c>
      <c r="S9" s="27">
        <f t="shared" si="5"/>
        <v>9578.566666666666</v>
      </c>
      <c r="T9" s="27">
        <f t="shared" si="5"/>
        <v>9578.566666666666</v>
      </c>
      <c r="U9" s="27">
        <f t="shared" si="5"/>
        <v>9578.566666666666</v>
      </c>
      <c r="V9" s="27">
        <f t="shared" si="5"/>
        <v>9578.566666666666</v>
      </c>
      <c r="W9" s="27">
        <f t="shared" si="5"/>
        <v>9578.566666666666</v>
      </c>
      <c r="X9" s="27">
        <f t="shared" si="5"/>
        <v>9578.566666666666</v>
      </c>
      <c r="Y9" s="27">
        <f t="shared" si="5"/>
        <v>9578.566666666666</v>
      </c>
      <c r="Z9" s="27">
        <f t="shared" si="5"/>
        <v>9578.566666666666</v>
      </c>
      <c r="AA9" s="27">
        <f t="shared" si="5"/>
        <v>9578.566666666666</v>
      </c>
      <c r="AB9" s="27">
        <f t="shared" si="5"/>
        <v>9578.566666666666</v>
      </c>
      <c r="AC9" s="27">
        <f t="shared" si="5"/>
        <v>114942.8</v>
      </c>
      <c r="AD9" s="27">
        <f t="shared" si="5"/>
        <v>114942.80000000002</v>
      </c>
      <c r="AE9" s="27">
        <f t="shared" si="5"/>
        <v>114942.80000000002</v>
      </c>
      <c r="AF9" s="27">
        <f t="shared" si="5"/>
        <v>114942.80000000002</v>
      </c>
      <c r="AG9" s="27">
        <f t="shared" si="5"/>
        <v>114942.80000000002</v>
      </c>
      <c r="AH9" s="27">
        <f t="shared" si="5"/>
        <v>114942.80000000002</v>
      </c>
      <c r="AI9" s="27">
        <f t="shared" si="5"/>
        <v>114942.80000000002</v>
      </c>
    </row>
    <row r="10" spans="1:35" ht="12.75">
      <c r="A10" s="28" t="str">
        <f>'2-ф2'!A6</f>
        <v>яйцо куриное</v>
      </c>
      <c r="B10" s="27">
        <f aca="true" t="shared" si="6" ref="B10:B20">P10+AC10+AD10+AE10+AF10+AG10+AH10+AI10</f>
        <v>355622.4</v>
      </c>
      <c r="C10" s="27"/>
      <c r="D10" s="29">
        <f>'2-ф2'!D6*Исх!$C$21</f>
        <v>0</v>
      </c>
      <c r="E10" s="29">
        <f>'2-ф2'!E6*Исх!$C$21</f>
        <v>0</v>
      </c>
      <c r="F10" s="29">
        <f>'2-ф2'!F6*Исх!$C$21</f>
        <v>0</v>
      </c>
      <c r="G10" s="29">
        <f>'2-ф2'!G6*Исх!$C$21</f>
        <v>0</v>
      </c>
      <c r="H10" s="29">
        <f>'2-ф2'!H6*Исх!$C$21</f>
        <v>0</v>
      </c>
      <c r="I10" s="29">
        <f>'2-ф2'!I6*Исх!$C$21</f>
        <v>0</v>
      </c>
      <c r="J10" s="29">
        <f>'2-ф2'!J6*Исх!$C$21</f>
        <v>0</v>
      </c>
      <c r="K10" s="29">
        <f>'2-ф2'!K6*Исх!$C$21</f>
        <v>0</v>
      </c>
      <c r="L10" s="29">
        <f>'2-ф2'!L6*Исх!$C$21</f>
        <v>0</v>
      </c>
      <c r="M10" s="29">
        <f>'2-ф2'!M6*Исх!$C$21</f>
        <v>0</v>
      </c>
      <c r="N10" s="29">
        <f>'2-ф2'!N6*Исх!$C$21</f>
        <v>0</v>
      </c>
      <c r="O10" s="29">
        <f>'2-ф2'!O6*Исх!$C$21</f>
        <v>0</v>
      </c>
      <c r="P10" s="27">
        <f>SUM(D10:O10)</f>
        <v>0</v>
      </c>
      <c r="Q10" s="29">
        <f>'2-ф2'!Q6*Исх!$C$21</f>
        <v>4233.6</v>
      </c>
      <c r="R10" s="29">
        <f>'2-ф2'!R6*Исх!$C$21</f>
        <v>4233.6</v>
      </c>
      <c r="S10" s="29">
        <f>'2-ф2'!S6*Исх!$C$21</f>
        <v>4233.6</v>
      </c>
      <c r="T10" s="29">
        <f>'2-ф2'!T6*Исх!$C$21</f>
        <v>4233.6</v>
      </c>
      <c r="U10" s="29">
        <f>'2-ф2'!U6*Исх!$C$21</f>
        <v>4233.6</v>
      </c>
      <c r="V10" s="29">
        <f>'2-ф2'!V6*Исх!$C$21</f>
        <v>4233.6</v>
      </c>
      <c r="W10" s="29">
        <f>'2-ф2'!W6*Исх!$C$21</f>
        <v>4233.6</v>
      </c>
      <c r="X10" s="29">
        <f>'2-ф2'!X6*Исх!$C$21</f>
        <v>4233.6</v>
      </c>
      <c r="Y10" s="29">
        <f>'2-ф2'!Y6*Исх!$C$21</f>
        <v>4233.6</v>
      </c>
      <c r="Z10" s="29">
        <f>'2-ф2'!Z6*Исх!$C$21</f>
        <v>4233.6</v>
      </c>
      <c r="AA10" s="29">
        <f>'2-ф2'!AA6*Исх!$C$21</f>
        <v>4233.6</v>
      </c>
      <c r="AB10" s="29">
        <f>'2-ф2'!AB6*Исх!$C$21</f>
        <v>4233.6</v>
      </c>
      <c r="AC10" s="27">
        <f>SUM(Q10:AB10)</f>
        <v>50803.19999999999</v>
      </c>
      <c r="AD10" s="29">
        <f>'2-ф2'!AD6*Исх!$C$21</f>
        <v>50803.200000000004</v>
      </c>
      <c r="AE10" s="29">
        <f>'2-ф2'!AE6*Исх!$C$21</f>
        <v>50803.200000000004</v>
      </c>
      <c r="AF10" s="29">
        <f>'2-ф2'!AF6*Исх!$C$21</f>
        <v>50803.200000000004</v>
      </c>
      <c r="AG10" s="29">
        <f>'2-ф2'!AG6*Исх!$C$21</f>
        <v>50803.200000000004</v>
      </c>
      <c r="AH10" s="29">
        <f>'2-ф2'!AH6*Исх!$C$21</f>
        <v>50803.200000000004</v>
      </c>
      <c r="AI10" s="29">
        <f>'2-ф2'!AI6*Исх!$C$21</f>
        <v>50803.200000000004</v>
      </c>
    </row>
    <row r="11" spans="1:35" ht="12.75">
      <c r="A11" s="28" t="str">
        <f>'2-ф2'!A7</f>
        <v>мясо куриное</v>
      </c>
      <c r="B11" s="27">
        <f>P11+AC11+AD11+AE11+AF11+AG11+AH11+AI11</f>
        <v>39102</v>
      </c>
      <c r="C11" s="27"/>
      <c r="D11" s="29">
        <f>'2-ф2'!D7*Исх!$C$21</f>
        <v>0</v>
      </c>
      <c r="E11" s="29">
        <f>'2-ф2'!E7*Исх!$C$21</f>
        <v>0</v>
      </c>
      <c r="F11" s="29">
        <f>'2-ф2'!F7*Исх!$C$21</f>
        <v>0</v>
      </c>
      <c r="G11" s="29">
        <f>'2-ф2'!G7*Исх!$C$21</f>
        <v>0</v>
      </c>
      <c r="H11" s="29">
        <f>'2-ф2'!H7*Исх!$C$21</f>
        <v>0</v>
      </c>
      <c r="I11" s="29">
        <f>'2-ф2'!I7*Исх!$C$21</f>
        <v>0</v>
      </c>
      <c r="J11" s="29">
        <f>'2-ф2'!J7*Исх!$C$21</f>
        <v>0</v>
      </c>
      <c r="K11" s="29">
        <f>'2-ф2'!K7*Исх!$C$21</f>
        <v>0</v>
      </c>
      <c r="L11" s="29">
        <f>'2-ф2'!L7*Исх!$C$21</f>
        <v>0</v>
      </c>
      <c r="M11" s="29">
        <f>'2-ф2'!M7*Исх!$C$21</f>
        <v>0</v>
      </c>
      <c r="N11" s="29">
        <f>'2-ф2'!N7*Исх!$C$21</f>
        <v>0</v>
      </c>
      <c r="O11" s="29">
        <f>'2-ф2'!O7*Исх!$C$21</f>
        <v>0</v>
      </c>
      <c r="P11" s="27">
        <f>SUM(D11:O11)</f>
        <v>0</v>
      </c>
      <c r="Q11" s="29">
        <f>'2-ф2'!Q7*Исх!$C$21</f>
        <v>465.5</v>
      </c>
      <c r="R11" s="29">
        <f>'2-ф2'!R7*Исх!$C$21</f>
        <v>465.5</v>
      </c>
      <c r="S11" s="29">
        <f>'2-ф2'!S7*Исх!$C$21</f>
        <v>465.5</v>
      </c>
      <c r="T11" s="29">
        <f>'2-ф2'!T7*Исх!$C$21</f>
        <v>465.5</v>
      </c>
      <c r="U11" s="29">
        <f>'2-ф2'!U7*Исх!$C$21</f>
        <v>465.5</v>
      </c>
      <c r="V11" s="29">
        <f>'2-ф2'!V7*Исх!$C$21</f>
        <v>465.5</v>
      </c>
      <c r="W11" s="29">
        <f>'2-ф2'!W7*Исх!$C$21</f>
        <v>465.5</v>
      </c>
      <c r="X11" s="29">
        <f>'2-ф2'!X7*Исх!$C$21</f>
        <v>465.5</v>
      </c>
      <c r="Y11" s="29">
        <f>'2-ф2'!Y7*Исх!$C$21</f>
        <v>465.5</v>
      </c>
      <c r="Z11" s="29">
        <f>'2-ф2'!Z7*Исх!$C$21</f>
        <v>465.5</v>
      </c>
      <c r="AA11" s="29">
        <f>'2-ф2'!AA7*Исх!$C$21</f>
        <v>465.5</v>
      </c>
      <c r="AB11" s="29">
        <f>'2-ф2'!AB7*Исх!$C$21</f>
        <v>465.5</v>
      </c>
      <c r="AC11" s="27">
        <f>SUM(Q11:AB11)</f>
        <v>5586</v>
      </c>
      <c r="AD11" s="29">
        <f>'2-ф2'!AD7*Исх!$C$21</f>
        <v>5586</v>
      </c>
      <c r="AE11" s="29">
        <f>'2-ф2'!AE7*Исх!$C$21</f>
        <v>5586</v>
      </c>
      <c r="AF11" s="29">
        <f>'2-ф2'!AF7*Исх!$C$21</f>
        <v>5586</v>
      </c>
      <c r="AG11" s="29">
        <f>'2-ф2'!AG7*Исх!$C$21</f>
        <v>5586</v>
      </c>
      <c r="AH11" s="29">
        <f>'2-ф2'!AH7*Исх!$C$21</f>
        <v>5586</v>
      </c>
      <c r="AI11" s="29">
        <f>'2-ф2'!AI7*Исх!$C$21</f>
        <v>5586</v>
      </c>
    </row>
    <row r="12" spans="1:35" ht="12.75">
      <c r="A12" s="28" t="str">
        <f>'2-ф2'!A8</f>
        <v>мясо утиное</v>
      </c>
      <c r="B12" s="27">
        <f t="shared" si="6"/>
        <v>222950</v>
      </c>
      <c r="C12" s="27"/>
      <c r="D12" s="29">
        <f>'2-ф2'!D8*Исх!$C$21</f>
        <v>0</v>
      </c>
      <c r="E12" s="29">
        <f>'2-ф2'!E8*Исх!$C$21</f>
        <v>0</v>
      </c>
      <c r="F12" s="29">
        <f>'2-ф2'!F8*Исх!$C$21</f>
        <v>0</v>
      </c>
      <c r="G12" s="29">
        <f>'2-ф2'!G8*Исх!$C$21</f>
        <v>0</v>
      </c>
      <c r="H12" s="29">
        <f>'2-ф2'!H8*Исх!$C$21</f>
        <v>0</v>
      </c>
      <c r="I12" s="29">
        <f>'2-ф2'!I8*Исх!$C$21</f>
        <v>0</v>
      </c>
      <c r="J12" s="29">
        <f>'2-ф2'!J8*Исх!$C$21</f>
        <v>0</v>
      </c>
      <c r="K12" s="29">
        <f>'2-ф2'!K8*Исх!$C$21</f>
        <v>0</v>
      </c>
      <c r="L12" s="29">
        <f>'2-ф2'!L8*Исх!$C$21</f>
        <v>0</v>
      </c>
      <c r="M12" s="29">
        <f>'2-ф2'!M8*Исх!$C$21</f>
        <v>0</v>
      </c>
      <c r="N12" s="29">
        <f>'2-ф2'!N8*Исх!$C$21</f>
        <v>0</v>
      </c>
      <c r="O12" s="29">
        <f>'2-ф2'!O8*Исх!$C$21</f>
        <v>0</v>
      </c>
      <c r="P12" s="27">
        <f>SUM(D12:O12)</f>
        <v>0</v>
      </c>
      <c r="Q12" s="29">
        <f>'2-ф2'!Q8*Исх!$C$21</f>
        <v>2654.1666666666665</v>
      </c>
      <c r="R12" s="29">
        <f>'2-ф2'!R8*Исх!$C$21</f>
        <v>2654.1666666666665</v>
      </c>
      <c r="S12" s="29">
        <f>'2-ф2'!S8*Исх!$C$21</f>
        <v>2654.1666666666665</v>
      </c>
      <c r="T12" s="29">
        <f>'2-ф2'!T8*Исх!$C$21</f>
        <v>2654.1666666666665</v>
      </c>
      <c r="U12" s="29">
        <f>'2-ф2'!U8*Исх!$C$21</f>
        <v>2654.1666666666665</v>
      </c>
      <c r="V12" s="29">
        <f>'2-ф2'!V8*Исх!$C$21</f>
        <v>2654.1666666666665</v>
      </c>
      <c r="W12" s="29">
        <f>'2-ф2'!W8*Исх!$C$21</f>
        <v>2654.1666666666665</v>
      </c>
      <c r="X12" s="29">
        <f>'2-ф2'!X8*Исх!$C$21</f>
        <v>2654.1666666666665</v>
      </c>
      <c r="Y12" s="29">
        <f>'2-ф2'!Y8*Исх!$C$21</f>
        <v>2654.1666666666665</v>
      </c>
      <c r="Z12" s="29">
        <f>'2-ф2'!Z8*Исх!$C$21</f>
        <v>2654.1666666666665</v>
      </c>
      <c r="AA12" s="29">
        <f>'2-ф2'!AA8*Исх!$C$21</f>
        <v>2654.1666666666665</v>
      </c>
      <c r="AB12" s="29">
        <f>'2-ф2'!AB8*Исх!$C$21</f>
        <v>2654.1666666666665</v>
      </c>
      <c r="AC12" s="27">
        <f>SUM(Q12:AB12)</f>
        <v>31850.000000000004</v>
      </c>
      <c r="AD12" s="29">
        <f>'2-ф2'!AD8*Исх!$C$21</f>
        <v>31849.999999999996</v>
      </c>
      <c r="AE12" s="29">
        <f>'2-ф2'!AE8*Исх!$C$21</f>
        <v>31849.999999999996</v>
      </c>
      <c r="AF12" s="29">
        <f>'2-ф2'!AF8*Исх!$C$21</f>
        <v>31849.999999999996</v>
      </c>
      <c r="AG12" s="29">
        <f>'2-ф2'!AG8*Исх!$C$21</f>
        <v>31849.999999999996</v>
      </c>
      <c r="AH12" s="29">
        <f>'2-ф2'!AH8*Исх!$C$21</f>
        <v>31849.999999999996</v>
      </c>
      <c r="AI12" s="29">
        <f>'2-ф2'!AI8*Исх!$C$21</f>
        <v>31849.999999999996</v>
      </c>
    </row>
    <row r="13" spans="1:35" ht="12.75">
      <c r="A13" s="28" t="str">
        <f>'2-ф2'!A9</f>
        <v>мясо гусиное</v>
      </c>
      <c r="B13" s="27">
        <f>P13+AC13+AD13+AE13+AF13+AG13+AH13+AI13</f>
        <v>176400.00000000003</v>
      </c>
      <c r="C13" s="27"/>
      <c r="D13" s="29">
        <f>'2-ф2'!D9*Исх!$C$21</f>
        <v>0</v>
      </c>
      <c r="E13" s="29">
        <f>'2-ф2'!E9*Исх!$C$21</f>
        <v>0</v>
      </c>
      <c r="F13" s="29">
        <f>'2-ф2'!F9*Исх!$C$21</f>
        <v>0</v>
      </c>
      <c r="G13" s="29">
        <f>'2-ф2'!G9*Исх!$C$21</f>
        <v>0</v>
      </c>
      <c r="H13" s="29">
        <f>'2-ф2'!H9*Исх!$C$21</f>
        <v>0</v>
      </c>
      <c r="I13" s="29">
        <f>'2-ф2'!I9*Исх!$C$21</f>
        <v>0</v>
      </c>
      <c r="J13" s="29">
        <f>'2-ф2'!J9*Исх!$C$21</f>
        <v>0</v>
      </c>
      <c r="K13" s="29">
        <f>'2-ф2'!K9*Исх!$C$21</f>
        <v>0</v>
      </c>
      <c r="L13" s="29">
        <f>'2-ф2'!L9*Исх!$C$21</f>
        <v>0</v>
      </c>
      <c r="M13" s="29">
        <f>'2-ф2'!M9*Исх!$C$21</f>
        <v>0</v>
      </c>
      <c r="N13" s="29">
        <f>'2-ф2'!N9*Исх!$C$21</f>
        <v>0</v>
      </c>
      <c r="O13" s="29">
        <f>'2-ф2'!O9*Исх!$C$21</f>
        <v>0</v>
      </c>
      <c r="P13" s="27">
        <f>SUM(D13:O13)</f>
        <v>0</v>
      </c>
      <c r="Q13" s="29">
        <f>'2-ф2'!Q9*Исх!$C$21</f>
        <v>2100.0000000000005</v>
      </c>
      <c r="R13" s="29">
        <f>'2-ф2'!R9*Исх!$C$21</f>
        <v>2100.0000000000005</v>
      </c>
      <c r="S13" s="29">
        <f>'2-ф2'!S9*Исх!$C$21</f>
        <v>2100.0000000000005</v>
      </c>
      <c r="T13" s="29">
        <f>'2-ф2'!T9*Исх!$C$21</f>
        <v>2100.0000000000005</v>
      </c>
      <c r="U13" s="29">
        <f>'2-ф2'!U9*Исх!$C$21</f>
        <v>2100.0000000000005</v>
      </c>
      <c r="V13" s="29">
        <f>'2-ф2'!V9*Исх!$C$21</f>
        <v>2100.0000000000005</v>
      </c>
      <c r="W13" s="29">
        <f>'2-ф2'!W9*Исх!$C$21</f>
        <v>2100.0000000000005</v>
      </c>
      <c r="X13" s="29">
        <f>'2-ф2'!X9*Исх!$C$21</f>
        <v>2100.0000000000005</v>
      </c>
      <c r="Y13" s="29">
        <f>'2-ф2'!Y9*Исх!$C$21</f>
        <v>2100.0000000000005</v>
      </c>
      <c r="Z13" s="29">
        <f>'2-ф2'!Z9*Исх!$C$21</f>
        <v>2100.0000000000005</v>
      </c>
      <c r="AA13" s="29">
        <f>'2-ф2'!AA9*Исх!$C$21</f>
        <v>2100.0000000000005</v>
      </c>
      <c r="AB13" s="29">
        <f>'2-ф2'!AB9*Исх!$C$21</f>
        <v>2100.0000000000005</v>
      </c>
      <c r="AC13" s="27">
        <f>SUM(Q13:AB13)</f>
        <v>25200.000000000004</v>
      </c>
      <c r="AD13" s="29">
        <f>'2-ф2'!AD9*Исх!$C$21</f>
        <v>25200.000000000007</v>
      </c>
      <c r="AE13" s="29">
        <f>'2-ф2'!AE9*Исх!$C$21</f>
        <v>25200.000000000007</v>
      </c>
      <c r="AF13" s="29">
        <f>'2-ф2'!AF9*Исх!$C$21</f>
        <v>25200.000000000007</v>
      </c>
      <c r="AG13" s="29">
        <f>'2-ф2'!AG9*Исх!$C$21</f>
        <v>25200.000000000007</v>
      </c>
      <c r="AH13" s="29">
        <f>'2-ф2'!AH9*Исх!$C$21</f>
        <v>25200.000000000007</v>
      </c>
      <c r="AI13" s="29">
        <f>'2-ф2'!AI9*Исх!$C$21</f>
        <v>25200.000000000007</v>
      </c>
    </row>
    <row r="14" spans="1:35" ht="12.75">
      <c r="A14" s="28" t="str">
        <f>'2-ф2'!A10</f>
        <v>потроха</v>
      </c>
      <c r="B14" s="27">
        <f t="shared" si="6"/>
        <v>10525.2</v>
      </c>
      <c r="C14" s="27"/>
      <c r="D14" s="29">
        <f>'2-ф2'!D10*Исх!$C$21</f>
        <v>0</v>
      </c>
      <c r="E14" s="29">
        <f>'2-ф2'!E10*Исх!$C$21</f>
        <v>0</v>
      </c>
      <c r="F14" s="29">
        <f>'2-ф2'!F10*Исх!$C$21</f>
        <v>0</v>
      </c>
      <c r="G14" s="29">
        <f>'2-ф2'!G10*Исх!$C$21</f>
        <v>0</v>
      </c>
      <c r="H14" s="29">
        <f>'2-ф2'!H10*Исх!$C$21</f>
        <v>0</v>
      </c>
      <c r="I14" s="29">
        <f>'2-ф2'!I10*Исх!$C$21</f>
        <v>0</v>
      </c>
      <c r="J14" s="29">
        <f>'2-ф2'!J10*Исх!$C$21</f>
        <v>0</v>
      </c>
      <c r="K14" s="29">
        <f>'2-ф2'!K10*Исх!$C$21</f>
        <v>0</v>
      </c>
      <c r="L14" s="29">
        <f>'2-ф2'!L10*Исх!$C$21</f>
        <v>0</v>
      </c>
      <c r="M14" s="29">
        <f>'2-ф2'!M10*Исх!$C$21</f>
        <v>0</v>
      </c>
      <c r="N14" s="29">
        <f>'2-ф2'!N10*Исх!$C$21</f>
        <v>0</v>
      </c>
      <c r="O14" s="29">
        <f>'2-ф2'!O10*Исх!$C$21</f>
        <v>0</v>
      </c>
      <c r="P14" s="27">
        <f>SUM(D14:O14)</f>
        <v>0</v>
      </c>
      <c r="Q14" s="29">
        <f>'2-ф2'!Q10*Исх!$C$21</f>
        <v>125.30000000000001</v>
      </c>
      <c r="R14" s="29">
        <f>'2-ф2'!R10*Исх!$C$21</f>
        <v>125.30000000000001</v>
      </c>
      <c r="S14" s="29">
        <f>'2-ф2'!S10*Исх!$C$21</f>
        <v>125.30000000000001</v>
      </c>
      <c r="T14" s="29">
        <f>'2-ф2'!T10*Исх!$C$21</f>
        <v>125.30000000000001</v>
      </c>
      <c r="U14" s="29">
        <f>'2-ф2'!U10*Исх!$C$21</f>
        <v>125.30000000000001</v>
      </c>
      <c r="V14" s="29">
        <f>'2-ф2'!V10*Исх!$C$21</f>
        <v>125.30000000000001</v>
      </c>
      <c r="W14" s="29">
        <f>'2-ф2'!W10*Исх!$C$21</f>
        <v>125.30000000000001</v>
      </c>
      <c r="X14" s="29">
        <f>'2-ф2'!X10*Исх!$C$21</f>
        <v>125.30000000000001</v>
      </c>
      <c r="Y14" s="29">
        <f>'2-ф2'!Y10*Исх!$C$21</f>
        <v>125.30000000000001</v>
      </c>
      <c r="Z14" s="29">
        <f>'2-ф2'!Z10*Исх!$C$21</f>
        <v>125.30000000000001</v>
      </c>
      <c r="AA14" s="29">
        <f>'2-ф2'!AA10*Исх!$C$21</f>
        <v>125.30000000000001</v>
      </c>
      <c r="AB14" s="29">
        <f>'2-ф2'!AB10*Исх!$C$21</f>
        <v>125.30000000000001</v>
      </c>
      <c r="AC14" s="27">
        <f>SUM(Q14:AB14)</f>
        <v>1503.5999999999997</v>
      </c>
      <c r="AD14" s="29">
        <f>'2-ф2'!AD10*Исх!$C$21</f>
        <v>1503.6000000000001</v>
      </c>
      <c r="AE14" s="29">
        <f>'2-ф2'!AE10*Исх!$C$21</f>
        <v>1503.6000000000001</v>
      </c>
      <c r="AF14" s="29">
        <f>'2-ф2'!AF10*Исх!$C$21</f>
        <v>1503.6000000000001</v>
      </c>
      <c r="AG14" s="29">
        <f>'2-ф2'!AG10*Исх!$C$21</f>
        <v>1503.6000000000001</v>
      </c>
      <c r="AH14" s="29">
        <f>'2-ф2'!AH10*Исх!$C$21</f>
        <v>1503.6000000000001</v>
      </c>
      <c r="AI14" s="29">
        <f>'2-ф2'!AI10*Исх!$C$21</f>
        <v>1503.6000000000001</v>
      </c>
    </row>
    <row r="15" spans="1:35" s="21" customFormat="1" ht="12.75">
      <c r="A15" s="30" t="s">
        <v>4</v>
      </c>
      <c r="B15" s="27">
        <f>SUM(B16:B20)</f>
        <v>676836.0579277675</v>
      </c>
      <c r="C15" s="27"/>
      <c r="D15" s="31">
        <f aca="true" t="shared" si="7" ref="D15:AI15">SUM(D16:D20)</f>
        <v>0</v>
      </c>
      <c r="E15" s="31">
        <f t="shared" si="7"/>
        <v>0</v>
      </c>
      <c r="F15" s="31">
        <f t="shared" si="7"/>
        <v>0</v>
      </c>
      <c r="G15" s="31">
        <f t="shared" si="7"/>
        <v>0</v>
      </c>
      <c r="H15" s="31">
        <f t="shared" si="7"/>
        <v>0</v>
      </c>
      <c r="I15" s="31">
        <f t="shared" si="7"/>
        <v>6792.87</v>
      </c>
      <c r="J15" s="31">
        <f t="shared" si="7"/>
        <v>7242.262703888889</v>
      </c>
      <c r="K15" s="31">
        <f t="shared" si="7"/>
        <v>7242.262703888889</v>
      </c>
      <c r="L15" s="31">
        <f t="shared" si="7"/>
        <v>7242.262703888889</v>
      </c>
      <c r="M15" s="31">
        <f t="shared" si="7"/>
        <v>7242.262703888889</v>
      </c>
      <c r="N15" s="31">
        <f t="shared" si="7"/>
        <v>7242.262703888889</v>
      </c>
      <c r="O15" s="31">
        <f t="shared" si="7"/>
        <v>7242.262703888889</v>
      </c>
      <c r="P15" s="31">
        <f t="shared" si="7"/>
        <v>50246.44622333333</v>
      </c>
      <c r="Q15" s="31">
        <f t="shared" si="7"/>
        <v>7704.023326110855</v>
      </c>
      <c r="R15" s="31">
        <f t="shared" si="7"/>
        <v>7704.023326110855</v>
      </c>
      <c r="S15" s="31">
        <f t="shared" si="7"/>
        <v>7704.023326110855</v>
      </c>
      <c r="T15" s="31">
        <f t="shared" si="7"/>
        <v>7704.023326110855</v>
      </c>
      <c r="U15" s="31">
        <f t="shared" si="7"/>
        <v>7697.60998413555</v>
      </c>
      <c r="V15" s="31">
        <f t="shared" si="7"/>
        <v>7691.196642160246</v>
      </c>
      <c r="W15" s="31">
        <f t="shared" si="7"/>
        <v>7684.78330018494</v>
      </c>
      <c r="X15" s="31">
        <f t="shared" si="7"/>
        <v>7678.369958209635</v>
      </c>
      <c r="Y15" s="31">
        <f t="shared" si="7"/>
        <v>7671.95661623433</v>
      </c>
      <c r="Z15" s="31">
        <f t="shared" si="7"/>
        <v>7665.543274259025</v>
      </c>
      <c r="AA15" s="31">
        <f t="shared" si="7"/>
        <v>7659.129932283719</v>
      </c>
      <c r="AB15" s="31">
        <f t="shared" si="7"/>
        <v>7652.716590308414</v>
      </c>
      <c r="AC15" s="31">
        <f t="shared" si="7"/>
        <v>92217.39960221927</v>
      </c>
      <c r="AD15" s="31">
        <f t="shared" si="7"/>
        <v>91332.35840962717</v>
      </c>
      <c r="AE15" s="31">
        <f t="shared" si="7"/>
        <v>90408.83716518324</v>
      </c>
      <c r="AF15" s="31">
        <f t="shared" si="7"/>
        <v>89485.3159207393</v>
      </c>
      <c r="AG15" s="31">
        <f t="shared" si="7"/>
        <v>88561.79467629537</v>
      </c>
      <c r="AH15" s="31">
        <f t="shared" si="7"/>
        <v>87638.27343185144</v>
      </c>
      <c r="AI15" s="31">
        <f t="shared" si="7"/>
        <v>86945.63249851849</v>
      </c>
    </row>
    <row r="16" spans="1:35" ht="12.75">
      <c r="A16" s="28" t="str">
        <f>'2-ф2'!A12</f>
        <v>корма</v>
      </c>
      <c r="B16" s="27">
        <f>P16+AC16+AD16+AE16+AF16+AG16+AH16+AI16</f>
        <v>618151.1699999999</v>
      </c>
      <c r="C16" s="27"/>
      <c r="D16" s="29">
        <f>'2-ф2'!D13*Исх!$C$21</f>
        <v>0</v>
      </c>
      <c r="E16" s="29">
        <f>'2-ф2'!E13*Исх!$C$21</f>
        <v>0</v>
      </c>
      <c r="F16" s="29">
        <f>'2-ф2'!F13*Исх!$C$21</f>
        <v>0</v>
      </c>
      <c r="G16" s="29">
        <f>'2-ф2'!G13*Исх!$C$21</f>
        <v>0</v>
      </c>
      <c r="H16" s="29">
        <f>'2-ф2'!H13*Исх!$C$21</f>
        <v>0</v>
      </c>
      <c r="I16" s="29">
        <f>J16</f>
        <v>6792.87</v>
      </c>
      <c r="J16" s="29">
        <f>'2-ф2'!J12</f>
        <v>6792.87</v>
      </c>
      <c r="K16" s="29">
        <f>'2-ф2'!K12</f>
        <v>6792.87</v>
      </c>
      <c r="L16" s="29">
        <f>'2-ф2'!L12</f>
        <v>6792.87</v>
      </c>
      <c r="M16" s="29">
        <f>'2-ф2'!M12</f>
        <v>6792.87</v>
      </c>
      <c r="N16" s="29">
        <f>'2-ф2'!N12</f>
        <v>6792.87</v>
      </c>
      <c r="O16" s="29">
        <f>'2-ф2'!O12</f>
        <v>6792.87</v>
      </c>
      <c r="P16" s="27">
        <f>SUM(D16:O16)</f>
        <v>47550.090000000004</v>
      </c>
      <c r="Q16" s="29">
        <f>'2-ф2'!Q12</f>
        <v>6792.87</v>
      </c>
      <c r="R16" s="29">
        <f>'2-ф2'!R12</f>
        <v>6792.87</v>
      </c>
      <c r="S16" s="29">
        <f>'2-ф2'!S12</f>
        <v>6792.87</v>
      </c>
      <c r="T16" s="29">
        <f>'2-ф2'!T12</f>
        <v>6792.87</v>
      </c>
      <c r="U16" s="29">
        <f>'2-ф2'!U12</f>
        <v>6792.87</v>
      </c>
      <c r="V16" s="29">
        <f>'2-ф2'!V12</f>
        <v>6792.87</v>
      </c>
      <c r="W16" s="29">
        <f>'2-ф2'!W12</f>
        <v>6792.87</v>
      </c>
      <c r="X16" s="29">
        <f>'2-ф2'!X12</f>
        <v>6792.87</v>
      </c>
      <c r="Y16" s="29">
        <f>'2-ф2'!Y12</f>
        <v>6792.87</v>
      </c>
      <c r="Z16" s="29">
        <f>'2-ф2'!Z12</f>
        <v>6792.87</v>
      </c>
      <c r="AA16" s="29">
        <f>'2-ф2'!AA12</f>
        <v>6792.87</v>
      </c>
      <c r="AB16" s="29">
        <f>'2-ф2'!AB12</f>
        <v>6792.87</v>
      </c>
      <c r="AC16" s="27">
        <f>SUM(Q16:AB16)</f>
        <v>81514.44</v>
      </c>
      <c r="AD16" s="29">
        <f>'2-ф2'!AD12</f>
        <v>81514.44</v>
      </c>
      <c r="AE16" s="29">
        <f>'2-ф2'!AE12</f>
        <v>81514.44</v>
      </c>
      <c r="AF16" s="29">
        <f>'2-ф2'!AF12</f>
        <v>81514.44</v>
      </c>
      <c r="AG16" s="29">
        <f>'2-ф2'!AG12</f>
        <v>81514.44</v>
      </c>
      <c r="AH16" s="29">
        <f>'2-ф2'!AH12</f>
        <v>81514.44</v>
      </c>
      <c r="AI16" s="29">
        <f>'2-ф2'!AI12</f>
        <v>81514.44</v>
      </c>
    </row>
    <row r="17" spans="1:35" ht="12.75">
      <c r="A17" s="28" t="s">
        <v>144</v>
      </c>
      <c r="B17" s="27">
        <f>P17+AC17+AD17+AE17+AF17+AG17+AH17+AI17</f>
        <v>40441.95585</v>
      </c>
      <c r="C17" s="27"/>
      <c r="D17" s="29"/>
      <c r="E17" s="29"/>
      <c r="F17" s="29"/>
      <c r="G17" s="29"/>
      <c r="H17" s="29"/>
      <c r="I17" s="29"/>
      <c r="J17" s="29">
        <f>(Пост!$C$14-Пост!$C$6)*Исх!$C$21+Пост!$C$6+Пост!$C$16+Пост!$C$19</f>
        <v>449.355065</v>
      </c>
      <c r="K17" s="29">
        <f>(Пост!$C$14-Пост!$C$6)*Исх!$C$21+Пост!$C$6+Пост!$C$16+Пост!$C$19</f>
        <v>449.355065</v>
      </c>
      <c r="L17" s="29">
        <f>(Пост!$C$14-Пост!$C$6)*Исх!$C$21+Пост!$C$6+Пост!$C$16+Пост!$C$19</f>
        <v>449.355065</v>
      </c>
      <c r="M17" s="29">
        <f>(Пост!$C$14-Пост!$C$6)*Исх!$C$21+Пост!$C$6+Пост!$C$16+Пост!$C$19</f>
        <v>449.355065</v>
      </c>
      <c r="N17" s="29">
        <f>(Пост!$C$14-Пост!$C$6)*Исх!$C$21+Пост!$C$6+Пост!$C$16+Пост!$C$19</f>
        <v>449.355065</v>
      </c>
      <c r="O17" s="29">
        <f>(Пост!$C$14-Пост!$C$6)*Исх!$C$21+Пост!$C$6+Пост!$C$16+Пост!$C$19</f>
        <v>449.355065</v>
      </c>
      <c r="P17" s="27">
        <f>SUM(D17:O17)</f>
        <v>2696.1303900000003</v>
      </c>
      <c r="Q17" s="29">
        <f>(Пост!$D$14-Пост!$D$6)*Исх!$C$21+Пост!$D$6+Пост!$D$16+Пост!$D$19</f>
        <v>449.355065</v>
      </c>
      <c r="R17" s="29">
        <f>(Пост!$D$14-Пост!$D$6)*Исх!$C$21+Пост!$D$6+Пост!$D$16+Пост!$D$19</f>
        <v>449.355065</v>
      </c>
      <c r="S17" s="29">
        <f>(Пост!$D$14-Пост!$D$6)*Исх!$C$21+Пост!$D$6+Пост!$D$16+Пост!$D$19</f>
        <v>449.355065</v>
      </c>
      <c r="T17" s="29">
        <f>(Пост!$D$14-Пост!$D$6)*Исх!$C$21+Пост!$D$6+Пост!$D$16+Пост!$D$19</f>
        <v>449.355065</v>
      </c>
      <c r="U17" s="29">
        <f>(Пост!$D$14-Пост!$D$6)*Исх!$C$21+Пост!$D$6+Пост!$D$16+Пост!$D$19</f>
        <v>449.355065</v>
      </c>
      <c r="V17" s="29">
        <f>(Пост!$D$14-Пост!$D$6)*Исх!$C$21+Пост!$D$6+Пост!$D$16+Пост!$D$19</f>
        <v>449.355065</v>
      </c>
      <c r="W17" s="29">
        <f>(Пост!$D$14-Пост!$D$6)*Исх!$C$21+Пост!$D$6+Пост!$D$16+Пост!$D$19</f>
        <v>449.355065</v>
      </c>
      <c r="X17" s="29">
        <f>(Пост!$D$14-Пост!$D$6)*Исх!$C$21+Пост!$D$6+Пост!$D$16+Пост!$D$19</f>
        <v>449.355065</v>
      </c>
      <c r="Y17" s="29">
        <f>(Пост!$D$14-Пост!$D$6)*Исх!$C$21+Пост!$D$6+Пост!$D$16+Пост!$D$19</f>
        <v>449.355065</v>
      </c>
      <c r="Z17" s="29">
        <f>(Пост!$D$14-Пост!$D$6)*Исх!$C$21+Пост!$D$6+Пост!$D$16+Пост!$D$19</f>
        <v>449.355065</v>
      </c>
      <c r="AA17" s="29">
        <f>(Пост!$D$14-Пост!$D$6)*Исх!$C$21+Пост!$D$6+Пост!$D$16+Пост!$D$19</f>
        <v>449.355065</v>
      </c>
      <c r="AB17" s="29">
        <f>(Пост!$D$14-Пост!$D$6)*Исх!$C$21+Пост!$D$6+Пост!$D$16+Пост!$D$19</f>
        <v>449.355065</v>
      </c>
      <c r="AC17" s="27">
        <f>SUM(Q17:AB17)</f>
        <v>5392.2607800000005</v>
      </c>
      <c r="AD17" s="29">
        <f>((Пост!E14-Пост!E6)*Исх!$C$21+Пост!E6+Пост!E16+Пост!E19)*12</f>
        <v>5392.2607800000005</v>
      </c>
      <c r="AE17" s="29">
        <f>((Пост!F14-Пост!F6)*Исх!$C$21+Пост!F6+Пост!F16+Пост!F19)*12</f>
        <v>5392.2607800000005</v>
      </c>
      <c r="AF17" s="29">
        <f>((Пост!G14-Пост!G6)*Исх!$C$21+Пост!G6+Пост!G16+Пост!G19)*12</f>
        <v>5392.2607800000005</v>
      </c>
      <c r="AG17" s="29">
        <f>((Пост!H14-Пост!H6)*Исх!$C$21+Пост!H6+Пост!H16+Пост!H19)*12</f>
        <v>5392.2607800000005</v>
      </c>
      <c r="AH17" s="29">
        <f>((Пост!I14-Пост!I6)*Исх!$C$21+Пост!I6+Пост!I16+Пост!I19)*12</f>
        <v>5392.2607800000005</v>
      </c>
      <c r="AI17" s="29">
        <f>((Пост!J14-Пост!J6)*Исх!$C$21+Пост!J6+Пост!J16+Пост!J19)*12</f>
        <v>5392.2607800000005</v>
      </c>
    </row>
    <row r="18" spans="1:35" ht="12.75">
      <c r="A18" s="28" t="s">
        <v>51</v>
      </c>
      <c r="B18" s="27">
        <f t="shared" si="6"/>
        <v>18239.544577767658</v>
      </c>
      <c r="C18" s="27"/>
      <c r="D18" s="29">
        <f>кр!C11</f>
        <v>0</v>
      </c>
      <c r="E18" s="29">
        <f>кр!D11</f>
        <v>0</v>
      </c>
      <c r="F18" s="29">
        <f>кр!E11</f>
        <v>0</v>
      </c>
      <c r="G18" s="29">
        <f>кр!F11</f>
        <v>0</v>
      </c>
      <c r="H18" s="29">
        <f>кр!G11</f>
        <v>0</v>
      </c>
      <c r="I18" s="29">
        <f>кр!H11</f>
        <v>0</v>
      </c>
      <c r="J18" s="29">
        <f>кр!I11</f>
        <v>0</v>
      </c>
      <c r="K18" s="29">
        <f>кр!J11</f>
        <v>0</v>
      </c>
      <c r="L18" s="29">
        <f>кр!K11</f>
        <v>0</v>
      </c>
      <c r="M18" s="29">
        <f>кр!L11</f>
        <v>0</v>
      </c>
      <c r="N18" s="29">
        <f>кр!M11</f>
        <v>0</v>
      </c>
      <c r="O18" s="29">
        <f>кр!N11</f>
        <v>0</v>
      </c>
      <c r="P18" s="27">
        <f>SUM(D18:O18)</f>
        <v>0</v>
      </c>
      <c r="Q18" s="29">
        <f>кр!P11</f>
        <v>461.7606222219668</v>
      </c>
      <c r="R18" s="29">
        <f>кр!Q11</f>
        <v>461.7606222219668</v>
      </c>
      <c r="S18" s="29">
        <f>кр!R11</f>
        <v>461.7606222219668</v>
      </c>
      <c r="T18" s="29">
        <f>кр!S11</f>
        <v>461.7606222219668</v>
      </c>
      <c r="U18" s="29">
        <f>кр!T11</f>
        <v>455.34728024666174</v>
      </c>
      <c r="V18" s="29">
        <f>кр!U11</f>
        <v>448.93393827135657</v>
      </c>
      <c r="W18" s="29">
        <f>кр!V11</f>
        <v>442.5205962960515</v>
      </c>
      <c r="X18" s="29">
        <f>кр!W11</f>
        <v>436.10725432074634</v>
      </c>
      <c r="Y18" s="29">
        <f>кр!X11</f>
        <v>429.6939123454413</v>
      </c>
      <c r="Z18" s="29">
        <f>кр!Y11</f>
        <v>423.2805703701361</v>
      </c>
      <c r="AA18" s="29">
        <f>кр!Z11</f>
        <v>416.86722839483105</v>
      </c>
      <c r="AB18" s="29">
        <f>кр!AA11</f>
        <v>410.453886419526</v>
      </c>
      <c r="AC18" s="27">
        <f>SUM(Q18:AB18)</f>
        <v>5310.247155552617</v>
      </c>
      <c r="AD18" s="32">
        <f>кр!AO11</f>
        <v>4425.205962960513</v>
      </c>
      <c r="AE18" s="32">
        <f>кр!BB11</f>
        <v>3501.684718516577</v>
      </c>
      <c r="AF18" s="32">
        <f>кр!BO11</f>
        <v>2578.1634740726413</v>
      </c>
      <c r="AG18" s="32">
        <f>кр!CB11</f>
        <v>1654.642229628708</v>
      </c>
      <c r="AH18" s="32">
        <f>кр!CO11</f>
        <v>731.1209851847747</v>
      </c>
      <c r="AI18" s="32">
        <f>кр!DB11</f>
        <v>38.48005185182451</v>
      </c>
    </row>
    <row r="19" spans="1:35" ht="12.75">
      <c r="A19" s="28" t="s">
        <v>203</v>
      </c>
      <c r="B19" s="27">
        <f t="shared" si="6"/>
        <v>3.3875</v>
      </c>
      <c r="C19" s="27"/>
      <c r="D19" s="29">
        <f>'2-ф2'!D18</f>
        <v>0</v>
      </c>
      <c r="E19" s="29">
        <f>'2-ф2'!E18</f>
        <v>0</v>
      </c>
      <c r="F19" s="29">
        <f>'2-ф2'!F18</f>
        <v>0</v>
      </c>
      <c r="G19" s="29">
        <f>'2-ф2'!G18</f>
        <v>0</v>
      </c>
      <c r="H19" s="29">
        <f>'2-ф2'!H18</f>
        <v>0</v>
      </c>
      <c r="I19" s="29">
        <f>'2-ф2'!I18</f>
        <v>0</v>
      </c>
      <c r="J19" s="29">
        <f>'2-ф2'!J18</f>
        <v>0.037638888888888895</v>
      </c>
      <c r="K19" s="29">
        <f>'2-ф2'!K18</f>
        <v>0.037638888888888895</v>
      </c>
      <c r="L19" s="29">
        <f>'2-ф2'!L18</f>
        <v>0.037638888888888895</v>
      </c>
      <c r="M19" s="29">
        <f>'2-ф2'!M18</f>
        <v>0.037638888888888895</v>
      </c>
      <c r="N19" s="29">
        <f>'2-ф2'!N18</f>
        <v>0.037638888888888895</v>
      </c>
      <c r="O19" s="29">
        <f>'2-ф2'!O18</f>
        <v>0.037638888888888895</v>
      </c>
      <c r="P19" s="27">
        <f>SUM(D19:O19)</f>
        <v>0.22583333333333336</v>
      </c>
      <c r="Q19" s="29">
        <f>'2-ф2'!Q18</f>
        <v>0.037638888888888895</v>
      </c>
      <c r="R19" s="29">
        <f>'2-ф2'!R18</f>
        <v>0.037638888888888895</v>
      </c>
      <c r="S19" s="29">
        <f>'2-ф2'!S18</f>
        <v>0.037638888888888895</v>
      </c>
      <c r="T19" s="29">
        <f>'2-ф2'!T18</f>
        <v>0.037638888888888895</v>
      </c>
      <c r="U19" s="29">
        <f>'2-ф2'!U18</f>
        <v>0.037638888888888895</v>
      </c>
      <c r="V19" s="29">
        <f>'2-ф2'!V18</f>
        <v>0.037638888888888895</v>
      </c>
      <c r="W19" s="29">
        <f>'2-ф2'!W18</f>
        <v>0.037638888888888895</v>
      </c>
      <c r="X19" s="29">
        <f>'2-ф2'!X18</f>
        <v>0.037638888888888895</v>
      </c>
      <c r="Y19" s="29">
        <f>'2-ф2'!Y18</f>
        <v>0.037638888888888895</v>
      </c>
      <c r="Z19" s="29">
        <f>'2-ф2'!Z18</f>
        <v>0.037638888888888895</v>
      </c>
      <c r="AA19" s="29">
        <f>'2-ф2'!AA18</f>
        <v>0.037638888888888895</v>
      </c>
      <c r="AB19" s="29">
        <f>'2-ф2'!AB18</f>
        <v>0.037638888888888895</v>
      </c>
      <c r="AC19" s="27">
        <f>SUM(Q19:AB19)</f>
        <v>0.4516666666666667</v>
      </c>
      <c r="AD19" s="29">
        <f>'2-ф2'!AD18</f>
        <v>0.4516666666666667</v>
      </c>
      <c r="AE19" s="29">
        <f>'2-ф2'!AE18</f>
        <v>0.4516666666666667</v>
      </c>
      <c r="AF19" s="29">
        <f>'2-ф2'!AF18</f>
        <v>0.4516666666666667</v>
      </c>
      <c r="AG19" s="29">
        <f>'2-ф2'!AG18</f>
        <v>0.4516666666666667</v>
      </c>
      <c r="AH19" s="29">
        <f>'2-ф2'!AH18</f>
        <v>0.4516666666666667</v>
      </c>
      <c r="AI19" s="29">
        <f>'2-ф2'!AI18</f>
        <v>0.4516666666666667</v>
      </c>
    </row>
    <row r="20" spans="1:35" ht="12.75">
      <c r="A20" s="28" t="s">
        <v>31</v>
      </c>
      <c r="B20" s="27">
        <f t="shared" si="6"/>
        <v>0</v>
      </c>
      <c r="C20" s="27"/>
      <c r="D20" s="29">
        <f>'2-ф2'!D33</f>
        <v>0</v>
      </c>
      <c r="E20" s="29">
        <f>'2-ф2'!E33</f>
        <v>0</v>
      </c>
      <c r="F20" s="29">
        <f>'2-ф2'!F33</f>
        <v>0</v>
      </c>
      <c r="G20" s="29">
        <f>'2-ф2'!G33</f>
        <v>0</v>
      </c>
      <c r="H20" s="29">
        <f>'2-ф2'!H33</f>
        <v>0</v>
      </c>
      <c r="I20" s="29">
        <f>'2-ф2'!I33</f>
        <v>0</v>
      </c>
      <c r="J20" s="29">
        <f>'2-ф2'!J33</f>
        <v>0</v>
      </c>
      <c r="K20" s="29">
        <f>'2-ф2'!K33</f>
        <v>0</v>
      </c>
      <c r="L20" s="29">
        <f>'2-ф2'!L33</f>
        <v>0</v>
      </c>
      <c r="M20" s="29">
        <f>'2-ф2'!M33</f>
        <v>0</v>
      </c>
      <c r="N20" s="29">
        <f>'2-ф2'!N33</f>
        <v>0</v>
      </c>
      <c r="O20" s="29">
        <f>'2-ф2'!O33</f>
        <v>0</v>
      </c>
      <c r="P20" s="27">
        <f>SUM(D20:O20)</f>
        <v>0</v>
      </c>
      <c r="Q20" s="29">
        <f>'2-ф2'!Q33</f>
        <v>0</v>
      </c>
      <c r="R20" s="29">
        <f>'2-ф2'!R33</f>
        <v>0</v>
      </c>
      <c r="S20" s="29">
        <f>'2-ф2'!S33</f>
        <v>0</v>
      </c>
      <c r="T20" s="29">
        <f>'2-ф2'!T33</f>
        <v>0</v>
      </c>
      <c r="U20" s="29">
        <f>'2-ф2'!U33</f>
        <v>0</v>
      </c>
      <c r="V20" s="29">
        <f>'2-ф2'!V33</f>
        <v>0</v>
      </c>
      <c r="W20" s="29">
        <f>'2-ф2'!W33</f>
        <v>0</v>
      </c>
      <c r="X20" s="29">
        <f>'2-ф2'!X33</f>
        <v>0</v>
      </c>
      <c r="Y20" s="29">
        <f>'2-ф2'!Y33</f>
        <v>0</v>
      </c>
      <c r="Z20" s="29">
        <f>'2-ф2'!Z33</f>
        <v>0</v>
      </c>
      <c r="AA20" s="29">
        <f>'2-ф2'!AA33</f>
        <v>0</v>
      </c>
      <c r="AB20" s="29">
        <f>'2-ф2'!AB33</f>
        <v>0</v>
      </c>
      <c r="AC20" s="27">
        <f>SUM(Q20:AB20)</f>
        <v>0</v>
      </c>
      <c r="AD20" s="29">
        <f>'2-ф2'!AD33</f>
        <v>0</v>
      </c>
      <c r="AE20" s="29">
        <f>'2-ф2'!AE33</f>
        <v>0</v>
      </c>
      <c r="AF20" s="29">
        <f>'2-ф2'!AF33</f>
        <v>0</v>
      </c>
      <c r="AG20" s="29">
        <f>'2-ф2'!AG33</f>
        <v>0</v>
      </c>
      <c r="AH20" s="29">
        <f>'2-ф2'!AH33</f>
        <v>0</v>
      </c>
      <c r="AI20" s="29">
        <f>'2-ф2'!AI33</f>
        <v>0</v>
      </c>
    </row>
    <row r="21" spans="1:35" s="21" customFormat="1" ht="25.5">
      <c r="A21" s="33" t="s">
        <v>17</v>
      </c>
      <c r="B21" s="18">
        <f>B9-B15</f>
        <v>127763.54207223246</v>
      </c>
      <c r="C21" s="18"/>
      <c r="D21" s="18">
        <f aca="true" t="shared" si="8" ref="D21:AI21">D9-D15</f>
        <v>0</v>
      </c>
      <c r="E21" s="18">
        <f t="shared" si="8"/>
        <v>0</v>
      </c>
      <c r="F21" s="18">
        <f t="shared" si="8"/>
        <v>0</v>
      </c>
      <c r="G21" s="18">
        <f t="shared" si="8"/>
        <v>0</v>
      </c>
      <c r="H21" s="18">
        <f t="shared" si="8"/>
        <v>0</v>
      </c>
      <c r="I21" s="18">
        <f t="shared" si="8"/>
        <v>-6792.87</v>
      </c>
      <c r="J21" s="18">
        <f t="shared" si="8"/>
        <v>-7242.262703888889</v>
      </c>
      <c r="K21" s="18">
        <f t="shared" si="8"/>
        <v>-7242.262703888889</v>
      </c>
      <c r="L21" s="18">
        <f t="shared" si="8"/>
        <v>-7242.262703888889</v>
      </c>
      <c r="M21" s="18">
        <f t="shared" si="8"/>
        <v>-7242.262703888889</v>
      </c>
      <c r="N21" s="18">
        <f t="shared" si="8"/>
        <v>-7242.262703888889</v>
      </c>
      <c r="O21" s="18">
        <f t="shared" si="8"/>
        <v>-7242.262703888889</v>
      </c>
      <c r="P21" s="18">
        <f t="shared" si="8"/>
        <v>-50246.44622333333</v>
      </c>
      <c r="Q21" s="18">
        <f t="shared" si="8"/>
        <v>1874.5433405558106</v>
      </c>
      <c r="R21" s="18">
        <f t="shared" si="8"/>
        <v>1874.5433405558106</v>
      </c>
      <c r="S21" s="18">
        <f t="shared" si="8"/>
        <v>1874.5433405558106</v>
      </c>
      <c r="T21" s="18">
        <f t="shared" si="8"/>
        <v>1874.5433405558106</v>
      </c>
      <c r="U21" s="18">
        <f t="shared" si="8"/>
        <v>1880.9566825311158</v>
      </c>
      <c r="V21" s="18">
        <f t="shared" si="8"/>
        <v>1887.3700245064201</v>
      </c>
      <c r="W21" s="18">
        <f t="shared" si="8"/>
        <v>1893.7833664817254</v>
      </c>
      <c r="X21" s="18">
        <f t="shared" si="8"/>
        <v>1900.1967084570306</v>
      </c>
      <c r="Y21" s="18">
        <f t="shared" si="8"/>
        <v>1906.6100504323358</v>
      </c>
      <c r="Z21" s="18">
        <f t="shared" si="8"/>
        <v>1913.023392407641</v>
      </c>
      <c r="AA21" s="18">
        <f t="shared" si="8"/>
        <v>1919.4367343829463</v>
      </c>
      <c r="AB21" s="18">
        <f t="shared" si="8"/>
        <v>1925.8500763582515</v>
      </c>
      <c r="AC21" s="18">
        <f t="shared" si="8"/>
        <v>22725.40039778073</v>
      </c>
      <c r="AD21" s="18">
        <f t="shared" si="8"/>
        <v>23610.44159037285</v>
      </c>
      <c r="AE21" s="18">
        <f t="shared" si="8"/>
        <v>24533.962834816775</v>
      </c>
      <c r="AF21" s="18">
        <f t="shared" si="8"/>
        <v>25457.484079260714</v>
      </c>
      <c r="AG21" s="18">
        <f t="shared" si="8"/>
        <v>26381.005323704652</v>
      </c>
      <c r="AH21" s="18">
        <f t="shared" si="8"/>
        <v>27304.526568148576</v>
      </c>
      <c r="AI21" s="18">
        <f t="shared" si="8"/>
        <v>27997.167501481526</v>
      </c>
    </row>
    <row r="22" spans="1:35" s="21" customFormat="1" ht="12.75">
      <c r="A22" s="22" t="s">
        <v>18</v>
      </c>
      <c r="B22" s="23"/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34"/>
      <c r="AD22" s="34"/>
      <c r="AE22" s="34"/>
      <c r="AF22" s="34"/>
      <c r="AG22" s="34"/>
      <c r="AH22" s="34"/>
      <c r="AI22" s="34"/>
    </row>
    <row r="23" spans="1:35" s="21" customFormat="1" ht="12.75">
      <c r="A23" s="26" t="s">
        <v>5</v>
      </c>
      <c r="B23" s="27"/>
      <c r="C23" s="2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7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27"/>
      <c r="AD23" s="27"/>
      <c r="AE23" s="27"/>
      <c r="AF23" s="27"/>
      <c r="AG23" s="27"/>
      <c r="AH23" s="27"/>
      <c r="AI23" s="27"/>
    </row>
    <row r="24" spans="1:35" s="21" customFormat="1" ht="12.75">
      <c r="A24" s="26" t="s">
        <v>6</v>
      </c>
      <c r="B24" s="27">
        <f>SUM(B25:B26)</f>
        <v>76092.20862400002</v>
      </c>
      <c r="C24" s="27"/>
      <c r="D24" s="27">
        <f aca="true" t="shared" si="9" ref="D24:AC24">SUM(D25:D26)</f>
        <v>0</v>
      </c>
      <c r="E24" s="27">
        <f t="shared" si="9"/>
        <v>0</v>
      </c>
      <c r="F24" s="27">
        <f t="shared" si="9"/>
        <v>0</v>
      </c>
      <c r="G24" s="27">
        <f t="shared" si="9"/>
        <v>23058.73620800001</v>
      </c>
      <c r="H24" s="27">
        <f>SUM(H25:H26)</f>
        <v>23058.73620800001</v>
      </c>
      <c r="I24" s="27">
        <f t="shared" si="9"/>
        <v>29974.73620800001</v>
      </c>
      <c r="J24" s="27">
        <f t="shared" si="9"/>
        <v>0</v>
      </c>
      <c r="K24" s="27">
        <f t="shared" si="9"/>
        <v>0</v>
      </c>
      <c r="L24" s="27">
        <f t="shared" si="9"/>
        <v>0</v>
      </c>
      <c r="M24" s="27">
        <f t="shared" si="9"/>
        <v>0</v>
      </c>
      <c r="N24" s="27">
        <f t="shared" si="9"/>
        <v>0</v>
      </c>
      <c r="O24" s="27">
        <f t="shared" si="9"/>
        <v>0</v>
      </c>
      <c r="P24" s="27">
        <f t="shared" si="9"/>
        <v>76092.20862400002</v>
      </c>
      <c r="Q24" s="27">
        <f t="shared" si="9"/>
        <v>0</v>
      </c>
      <c r="R24" s="27">
        <f t="shared" si="9"/>
        <v>0</v>
      </c>
      <c r="S24" s="27">
        <f t="shared" si="9"/>
        <v>0</v>
      </c>
      <c r="T24" s="27">
        <f t="shared" si="9"/>
        <v>0</v>
      </c>
      <c r="U24" s="27">
        <f t="shared" si="9"/>
        <v>0</v>
      </c>
      <c r="V24" s="27">
        <f t="shared" si="9"/>
        <v>0</v>
      </c>
      <c r="W24" s="27">
        <f t="shared" si="9"/>
        <v>0</v>
      </c>
      <c r="X24" s="27">
        <f t="shared" si="9"/>
        <v>0</v>
      </c>
      <c r="Y24" s="27">
        <f t="shared" si="9"/>
        <v>0</v>
      </c>
      <c r="Z24" s="27">
        <f t="shared" si="9"/>
        <v>0</v>
      </c>
      <c r="AA24" s="27">
        <f t="shared" si="9"/>
        <v>0</v>
      </c>
      <c r="AB24" s="27">
        <f t="shared" si="9"/>
        <v>0</v>
      </c>
      <c r="AC24" s="27">
        <f t="shared" si="9"/>
        <v>0</v>
      </c>
      <c r="AD24" s="27">
        <f aca="true" t="shared" si="10" ref="AD24:AI24">SUM(AD25:AD26)</f>
        <v>0</v>
      </c>
      <c r="AE24" s="27">
        <f t="shared" si="10"/>
        <v>0</v>
      </c>
      <c r="AF24" s="27">
        <f t="shared" si="10"/>
        <v>0</v>
      </c>
      <c r="AG24" s="27">
        <f t="shared" si="10"/>
        <v>0</v>
      </c>
      <c r="AH24" s="27">
        <f t="shared" si="10"/>
        <v>0</v>
      </c>
      <c r="AI24" s="27">
        <f t="shared" si="10"/>
        <v>0</v>
      </c>
    </row>
    <row r="25" spans="1:35" ht="12.75">
      <c r="A25" s="36" t="s">
        <v>19</v>
      </c>
      <c r="B25" s="27">
        <f>P25+AC25+AD25+AE25+AF25+AG25+AH25+AI25</f>
        <v>76092.20862400002</v>
      </c>
      <c r="C25" s="27"/>
      <c r="D25" s="29">
        <f>Инв!E16</f>
        <v>0</v>
      </c>
      <c r="E25" s="29">
        <f>Инв!F16</f>
        <v>0</v>
      </c>
      <c r="F25" s="29">
        <f>Инв!G16</f>
        <v>0</v>
      </c>
      <c r="G25" s="29">
        <f>Инв!H16</f>
        <v>23058.73620800001</v>
      </c>
      <c r="H25" s="29">
        <f>Инв!I16</f>
        <v>23058.73620800001</v>
      </c>
      <c r="I25" s="29">
        <f>Инв!J16</f>
        <v>29974.73620800001</v>
      </c>
      <c r="J25" s="29">
        <f>Инв!K16</f>
        <v>0</v>
      </c>
      <c r="K25" s="29"/>
      <c r="L25" s="29">
        <f>Инв!M16</f>
        <v>0</v>
      </c>
      <c r="M25" s="29">
        <f>Инв!N16</f>
        <v>0</v>
      </c>
      <c r="N25" s="29">
        <f>Инв!O16</f>
        <v>0</v>
      </c>
      <c r="O25" s="29">
        <f>Инв!P16</f>
        <v>0</v>
      </c>
      <c r="P25" s="27">
        <f>SUM(D25:O25)</f>
        <v>76092.20862400002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7">
        <f>SUM(Q25:AB25)</f>
        <v>0</v>
      </c>
      <c r="AD25" s="27"/>
      <c r="AE25" s="27"/>
      <c r="AF25" s="27"/>
      <c r="AG25" s="27"/>
      <c r="AH25" s="27"/>
      <c r="AI25" s="27"/>
    </row>
    <row r="26" spans="1:35" ht="12.75" hidden="1" outlineLevel="1">
      <c r="A26" s="36"/>
      <c r="B26" s="27">
        <f>P26+AC26+AD26+AE26+AF26+AG26+AH26+AI26</f>
        <v>0</v>
      </c>
      <c r="C26" s="2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7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7"/>
      <c r="AD26" s="27"/>
      <c r="AE26" s="27"/>
      <c r="AF26" s="27"/>
      <c r="AG26" s="27"/>
      <c r="AH26" s="27"/>
      <c r="AI26" s="27"/>
    </row>
    <row r="27" spans="1:35" s="21" customFormat="1" ht="25.5" collapsed="1">
      <c r="A27" s="37" t="s">
        <v>20</v>
      </c>
      <c r="B27" s="18">
        <f>B23-B24</f>
        <v>-76092.20862400002</v>
      </c>
      <c r="C27" s="18"/>
      <c r="D27" s="18">
        <f>D23-D24</f>
        <v>0</v>
      </c>
      <c r="E27" s="18">
        <f aca="true" t="shared" si="11" ref="E27:O27">E23-E24</f>
        <v>0</v>
      </c>
      <c r="F27" s="18">
        <f t="shared" si="11"/>
        <v>0</v>
      </c>
      <c r="G27" s="18">
        <f t="shared" si="11"/>
        <v>-23058.73620800001</v>
      </c>
      <c r="H27" s="18">
        <f t="shared" si="11"/>
        <v>-23058.73620800001</v>
      </c>
      <c r="I27" s="18">
        <f t="shared" si="11"/>
        <v>-29974.73620800001</v>
      </c>
      <c r="J27" s="18">
        <f>J23-J24</f>
        <v>0</v>
      </c>
      <c r="K27" s="18">
        <f t="shared" si="11"/>
        <v>0</v>
      </c>
      <c r="L27" s="18">
        <f t="shared" si="11"/>
        <v>0</v>
      </c>
      <c r="M27" s="18">
        <f t="shared" si="11"/>
        <v>0</v>
      </c>
      <c r="N27" s="18">
        <f t="shared" si="11"/>
        <v>0</v>
      </c>
      <c r="O27" s="18">
        <f t="shared" si="11"/>
        <v>0</v>
      </c>
      <c r="P27" s="18">
        <f>SUM(D27:O27)</f>
        <v>-76092.20862400002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41" customFormat="1" ht="12.75">
      <c r="A28" s="38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  <c r="AD28" s="40"/>
      <c r="AE28" s="40"/>
      <c r="AF28" s="40"/>
      <c r="AG28" s="40"/>
      <c r="AH28" s="40"/>
      <c r="AI28" s="40"/>
    </row>
    <row r="29" spans="1:35" s="21" customFormat="1" ht="12.75">
      <c r="A29" s="22" t="s">
        <v>22</v>
      </c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34"/>
      <c r="AD29" s="34"/>
      <c r="AE29" s="34"/>
      <c r="AF29" s="34"/>
      <c r="AG29" s="34"/>
      <c r="AH29" s="34"/>
      <c r="AI29" s="34"/>
    </row>
    <row r="30" spans="1:35" s="21" customFormat="1" ht="12.75">
      <c r="A30" s="26" t="s">
        <v>5</v>
      </c>
      <c r="B30" s="27">
        <f>SUM(B31:B32)</f>
        <v>126338.65484733335</v>
      </c>
      <c r="C30" s="27"/>
      <c r="D30" s="27">
        <f>SUM(D31:D32)</f>
        <v>0</v>
      </c>
      <c r="E30" s="27">
        <f aca="true" t="shared" si="12" ref="E30:O30">SUM(E31:E32)</f>
        <v>0</v>
      </c>
      <c r="F30" s="27">
        <f t="shared" si="12"/>
        <v>0</v>
      </c>
      <c r="G30" s="27">
        <f t="shared" si="12"/>
        <v>23058.73620800001</v>
      </c>
      <c r="H30" s="27">
        <f t="shared" si="12"/>
        <v>23058.73620800001</v>
      </c>
      <c r="I30" s="27">
        <f t="shared" si="12"/>
        <v>36767.60620800001</v>
      </c>
      <c r="J30" s="27">
        <f t="shared" si="12"/>
        <v>7242.262703888889</v>
      </c>
      <c r="K30" s="27">
        <f t="shared" si="12"/>
        <v>7242.262703888889</v>
      </c>
      <c r="L30" s="27">
        <f t="shared" si="12"/>
        <v>7242.262703888889</v>
      </c>
      <c r="M30" s="27">
        <f t="shared" si="12"/>
        <v>7242.262703888889</v>
      </c>
      <c r="N30" s="27">
        <f t="shared" si="12"/>
        <v>7242.262703888889</v>
      </c>
      <c r="O30" s="27">
        <f t="shared" si="12"/>
        <v>7242.262703888889</v>
      </c>
      <c r="P30" s="27">
        <f aca="true" t="shared" si="13" ref="P30:AD30">SUM(P31:P32)</f>
        <v>126338.65484733335</v>
      </c>
      <c r="Q30" s="27">
        <f t="shared" si="13"/>
        <v>0</v>
      </c>
      <c r="R30" s="27">
        <f t="shared" si="13"/>
        <v>0</v>
      </c>
      <c r="S30" s="27">
        <f t="shared" si="13"/>
        <v>0</v>
      </c>
      <c r="T30" s="27">
        <f t="shared" si="13"/>
        <v>0</v>
      </c>
      <c r="U30" s="27">
        <f t="shared" si="13"/>
        <v>0</v>
      </c>
      <c r="V30" s="27">
        <f t="shared" si="13"/>
        <v>0</v>
      </c>
      <c r="W30" s="27">
        <f t="shared" si="13"/>
        <v>0</v>
      </c>
      <c r="X30" s="27">
        <f t="shared" si="13"/>
        <v>0</v>
      </c>
      <c r="Y30" s="27">
        <f t="shared" si="13"/>
        <v>0</v>
      </c>
      <c r="Z30" s="27">
        <f t="shared" si="13"/>
        <v>0</v>
      </c>
      <c r="AA30" s="27">
        <f t="shared" si="13"/>
        <v>0</v>
      </c>
      <c r="AB30" s="27">
        <f t="shared" si="13"/>
        <v>0</v>
      </c>
      <c r="AC30" s="27">
        <f t="shared" si="13"/>
        <v>0</v>
      </c>
      <c r="AD30" s="27">
        <f t="shared" si="13"/>
        <v>0</v>
      </c>
      <c r="AE30" s="27">
        <f>SUM(AE31:AE32)</f>
        <v>0</v>
      </c>
      <c r="AF30" s="27">
        <f>SUM(AF31:AF32)</f>
        <v>0</v>
      </c>
      <c r="AG30" s="27">
        <f>SUM(AG31:AG32)</f>
        <v>0</v>
      </c>
      <c r="AH30" s="27">
        <f>SUM(AH31:AH32)</f>
        <v>0</v>
      </c>
      <c r="AI30" s="27">
        <f>SUM(AI31:AI32)</f>
        <v>0</v>
      </c>
    </row>
    <row r="31" spans="1:35" ht="12.75" customHeight="1">
      <c r="A31" s="36" t="s">
        <v>53</v>
      </c>
      <c r="B31" s="27">
        <f>P31+AC31+AD31+AE31+AF31+AG31+AH31+AI31</f>
        <v>50246.44622333333</v>
      </c>
      <c r="C31" s="27"/>
      <c r="D31" s="29"/>
      <c r="E31" s="29"/>
      <c r="F31" s="29"/>
      <c r="G31" s="29"/>
      <c r="H31" s="29"/>
      <c r="I31" s="29">
        <f>I16</f>
        <v>6792.87</v>
      </c>
      <c r="J31" s="29">
        <f aca="true" t="shared" si="14" ref="J31:O31">J16+J17+J19</f>
        <v>7242.262703888889</v>
      </c>
      <c r="K31" s="29">
        <f t="shared" si="14"/>
        <v>7242.262703888889</v>
      </c>
      <c r="L31" s="29">
        <f t="shared" si="14"/>
        <v>7242.262703888889</v>
      </c>
      <c r="M31" s="29">
        <f t="shared" si="14"/>
        <v>7242.262703888889</v>
      </c>
      <c r="N31" s="29">
        <f t="shared" si="14"/>
        <v>7242.262703888889</v>
      </c>
      <c r="O31" s="29">
        <f t="shared" si="14"/>
        <v>7242.262703888889</v>
      </c>
      <c r="P31" s="27">
        <f>SUM(D31:O31)</f>
        <v>50246.44622333333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7">
        <f>SUM(Q31:AB31)</f>
        <v>0</v>
      </c>
      <c r="AD31" s="27"/>
      <c r="AE31" s="27"/>
      <c r="AF31" s="27"/>
      <c r="AG31" s="27"/>
      <c r="AH31" s="27"/>
      <c r="AI31" s="27"/>
    </row>
    <row r="32" spans="1:35" ht="12.75">
      <c r="A32" s="42" t="s">
        <v>159</v>
      </c>
      <c r="B32" s="27">
        <f>P32+AC32+AD32+AE32+AF32+AG32+AH32+AI32</f>
        <v>76092.20862400002</v>
      </c>
      <c r="C32" s="27"/>
      <c r="D32" s="43">
        <f>(-D21-D27)-D31</f>
        <v>0</v>
      </c>
      <c r="E32" s="43">
        <f>(-E21-E27)-E31</f>
        <v>0</v>
      </c>
      <c r="F32" s="43">
        <f>(-F21-F27)-F31</f>
        <v>0</v>
      </c>
      <c r="G32" s="43">
        <f>G24</f>
        <v>23058.73620800001</v>
      </c>
      <c r="H32" s="43">
        <f>H24</f>
        <v>23058.73620800001</v>
      </c>
      <c r="I32" s="43">
        <f>I24</f>
        <v>29974.73620800001</v>
      </c>
      <c r="J32" s="43">
        <f>Инв!K16</f>
        <v>0</v>
      </c>
      <c r="K32" s="43"/>
      <c r="L32" s="43"/>
      <c r="M32" s="43">
        <f>Инв!N16</f>
        <v>0</v>
      </c>
      <c r="N32" s="43"/>
      <c r="O32" s="43"/>
      <c r="P32" s="27">
        <f>SUM(D32:O32)</f>
        <v>76092.20862400002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7">
        <f>SUM(Q32:AB32)</f>
        <v>0</v>
      </c>
      <c r="AD32" s="27"/>
      <c r="AE32" s="27"/>
      <c r="AF32" s="27"/>
      <c r="AG32" s="27"/>
      <c r="AH32" s="27"/>
      <c r="AI32" s="27"/>
    </row>
    <row r="33" spans="1:35" s="21" customFormat="1" ht="12.75">
      <c r="A33" s="26" t="s">
        <v>6</v>
      </c>
      <c r="B33" s="27">
        <f>SUM(B34:B35)</f>
        <v>79158.96380948002</v>
      </c>
      <c r="C33" s="27"/>
      <c r="D33" s="27">
        <f>SUM(D34:D35)</f>
        <v>0</v>
      </c>
      <c r="E33" s="27">
        <f aca="true" t="shared" si="15" ref="E33:AF33">SUM(E34:E35)</f>
        <v>0</v>
      </c>
      <c r="F33" s="27">
        <f t="shared" si="15"/>
        <v>0</v>
      </c>
      <c r="G33" s="27">
        <f t="shared" si="15"/>
        <v>0</v>
      </c>
      <c r="H33" s="27">
        <f t="shared" si="15"/>
        <v>0</v>
      </c>
      <c r="I33" s="27">
        <f>SUM(I34:I35)</f>
        <v>0</v>
      </c>
      <c r="J33" s="27">
        <f t="shared" si="15"/>
        <v>0</v>
      </c>
      <c r="K33" s="27">
        <f t="shared" si="15"/>
        <v>0</v>
      </c>
      <c r="L33" s="27">
        <f t="shared" si="15"/>
        <v>0</v>
      </c>
      <c r="M33" s="27">
        <f t="shared" si="15"/>
        <v>0</v>
      </c>
      <c r="N33" s="27">
        <f t="shared" si="15"/>
        <v>0</v>
      </c>
      <c r="O33" s="27">
        <f t="shared" si="15"/>
        <v>0</v>
      </c>
      <c r="P33" s="27">
        <f t="shared" si="15"/>
        <v>0</v>
      </c>
      <c r="Q33" s="27">
        <f t="shared" si="15"/>
        <v>0</v>
      </c>
      <c r="R33" s="27">
        <f t="shared" si="15"/>
        <v>0</v>
      </c>
      <c r="S33" s="27">
        <f t="shared" si="15"/>
        <v>0</v>
      </c>
      <c r="T33" s="27">
        <f t="shared" si="15"/>
        <v>1099.4300529094446</v>
      </c>
      <c r="U33" s="27">
        <f t="shared" si="15"/>
        <v>1099.4300529094446</v>
      </c>
      <c r="V33" s="27">
        <f t="shared" si="15"/>
        <v>1099.4300529094446</v>
      </c>
      <c r="W33" s="27">
        <f t="shared" si="15"/>
        <v>1099.4300529094446</v>
      </c>
      <c r="X33" s="27">
        <f t="shared" si="15"/>
        <v>1099.4300529094446</v>
      </c>
      <c r="Y33" s="27">
        <f t="shared" si="15"/>
        <v>1099.4300529094446</v>
      </c>
      <c r="Z33" s="27">
        <f t="shared" si="15"/>
        <v>1099.4300529094446</v>
      </c>
      <c r="AA33" s="27">
        <f t="shared" si="15"/>
        <v>1099.4300529094446</v>
      </c>
      <c r="AB33" s="27">
        <f t="shared" si="15"/>
        <v>1099.4300529094446</v>
      </c>
      <c r="AC33" s="27">
        <f t="shared" si="15"/>
        <v>9894.870476185002</v>
      </c>
      <c r="AD33" s="27">
        <f t="shared" si="15"/>
        <v>13193.160634913338</v>
      </c>
      <c r="AE33" s="27">
        <f t="shared" si="15"/>
        <v>13193.160634913338</v>
      </c>
      <c r="AF33" s="27">
        <f t="shared" si="15"/>
        <v>13193.160634913338</v>
      </c>
      <c r="AG33" s="27">
        <f>SUM(AG34:AG35)</f>
        <v>13193.160634913338</v>
      </c>
      <c r="AH33" s="27">
        <f>SUM(AH34:AH35)</f>
        <v>13193.160634913338</v>
      </c>
      <c r="AI33" s="27">
        <f>SUM(AI34:AI35)</f>
        <v>3298.290158728334</v>
      </c>
    </row>
    <row r="34" spans="1:35" ht="12.75">
      <c r="A34" s="28" t="s">
        <v>30</v>
      </c>
      <c r="B34" s="27">
        <f>P34+AC34+AD34+AE34+AF34+AG34+AH34+AI34</f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7">
        <f>SUM(D34:O34)</f>
        <v>0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27">
        <f>SUM(Q34:AB34)</f>
        <v>0</v>
      </c>
      <c r="AD34" s="32"/>
      <c r="AE34" s="27"/>
      <c r="AF34" s="27"/>
      <c r="AG34" s="27"/>
      <c r="AH34" s="27"/>
      <c r="AI34" s="27"/>
    </row>
    <row r="35" spans="1:35" ht="13.5" customHeight="1">
      <c r="A35" s="36" t="s">
        <v>158</v>
      </c>
      <c r="B35" s="27">
        <f>P35+AC35+AD35+AE35+AF35+AG35+AH35+AI35</f>
        <v>79158.96380948002</v>
      </c>
      <c r="C35" s="27"/>
      <c r="D35" s="32">
        <f>кр!C10</f>
        <v>0</v>
      </c>
      <c r="E35" s="32">
        <f>кр!D10</f>
        <v>0</v>
      </c>
      <c r="F35" s="32">
        <f>кр!E10</f>
        <v>0</v>
      </c>
      <c r="G35" s="32">
        <f>кр!F10</f>
        <v>0</v>
      </c>
      <c r="H35" s="32">
        <f>кр!G10</f>
        <v>0</v>
      </c>
      <c r="I35" s="32">
        <f>кр!H10</f>
        <v>0</v>
      </c>
      <c r="J35" s="32">
        <f>кр!I10</f>
        <v>0</v>
      </c>
      <c r="K35" s="32">
        <f>кр!J10</f>
        <v>0</v>
      </c>
      <c r="L35" s="32">
        <f>кр!K10</f>
        <v>0</v>
      </c>
      <c r="M35" s="32">
        <f>кр!L10</f>
        <v>0</v>
      </c>
      <c r="N35" s="32">
        <f>кр!M10</f>
        <v>0</v>
      </c>
      <c r="O35" s="32">
        <f>кр!N10</f>
        <v>0</v>
      </c>
      <c r="P35" s="27">
        <f>SUM(D35:O35)</f>
        <v>0</v>
      </c>
      <c r="Q35" s="32">
        <f>кр!P10</f>
        <v>0</v>
      </c>
      <c r="R35" s="32">
        <f>кр!Q10</f>
        <v>0</v>
      </c>
      <c r="S35" s="32">
        <f>кр!R10</f>
        <v>0</v>
      </c>
      <c r="T35" s="32">
        <f>кр!S10</f>
        <v>1099.4300529094446</v>
      </c>
      <c r="U35" s="32">
        <f>кр!T10</f>
        <v>1099.4300529094446</v>
      </c>
      <c r="V35" s="32">
        <f>кр!U10</f>
        <v>1099.4300529094446</v>
      </c>
      <c r="W35" s="32">
        <f>кр!V10</f>
        <v>1099.4300529094446</v>
      </c>
      <c r="X35" s="32">
        <f>кр!W10</f>
        <v>1099.4300529094446</v>
      </c>
      <c r="Y35" s="32">
        <f>кр!X10</f>
        <v>1099.4300529094446</v>
      </c>
      <c r="Z35" s="32">
        <f>кр!Y10</f>
        <v>1099.4300529094446</v>
      </c>
      <c r="AA35" s="32">
        <f>кр!Z10</f>
        <v>1099.4300529094446</v>
      </c>
      <c r="AB35" s="32">
        <f>кр!AA10</f>
        <v>1099.4300529094446</v>
      </c>
      <c r="AC35" s="27">
        <f>SUM(Q35:AB35)</f>
        <v>9894.870476185002</v>
      </c>
      <c r="AD35" s="32">
        <f>кр!AO10</f>
        <v>13193.160634913338</v>
      </c>
      <c r="AE35" s="32">
        <f>кр!BB10</f>
        <v>13193.160634913338</v>
      </c>
      <c r="AF35" s="32">
        <f>кр!BO10</f>
        <v>13193.160634913338</v>
      </c>
      <c r="AG35" s="32">
        <f>кр!CB10</f>
        <v>13193.160634913338</v>
      </c>
      <c r="AH35" s="32">
        <f>кр!CO10</f>
        <v>13193.160634913338</v>
      </c>
      <c r="AI35" s="32">
        <f>кр!DB10</f>
        <v>3298.290158728334</v>
      </c>
    </row>
    <row r="36" spans="1:35" s="21" customFormat="1" ht="25.5">
      <c r="A36" s="37" t="s">
        <v>23</v>
      </c>
      <c r="B36" s="18">
        <f>B30-B33</f>
        <v>47179.691037853336</v>
      </c>
      <c r="C36" s="18"/>
      <c r="D36" s="18">
        <f>D30-D33</f>
        <v>0</v>
      </c>
      <c r="E36" s="18">
        <f aca="true" t="shared" si="16" ref="E36:AF36">E30-E33</f>
        <v>0</v>
      </c>
      <c r="F36" s="18">
        <f t="shared" si="16"/>
        <v>0</v>
      </c>
      <c r="G36" s="18">
        <f t="shared" si="16"/>
        <v>23058.73620800001</v>
      </c>
      <c r="H36" s="18">
        <f t="shared" si="16"/>
        <v>23058.73620800001</v>
      </c>
      <c r="I36" s="18">
        <f t="shared" si="16"/>
        <v>36767.60620800001</v>
      </c>
      <c r="J36" s="18">
        <f t="shared" si="16"/>
        <v>7242.262703888889</v>
      </c>
      <c r="K36" s="18">
        <f t="shared" si="16"/>
        <v>7242.262703888889</v>
      </c>
      <c r="L36" s="18">
        <f t="shared" si="16"/>
        <v>7242.262703888889</v>
      </c>
      <c r="M36" s="18">
        <f t="shared" si="16"/>
        <v>7242.262703888889</v>
      </c>
      <c r="N36" s="18">
        <f t="shared" si="16"/>
        <v>7242.262703888889</v>
      </c>
      <c r="O36" s="18">
        <f t="shared" si="16"/>
        <v>7242.262703888889</v>
      </c>
      <c r="P36" s="18">
        <f t="shared" si="16"/>
        <v>126338.65484733335</v>
      </c>
      <c r="Q36" s="18">
        <f t="shared" si="16"/>
        <v>0</v>
      </c>
      <c r="R36" s="18">
        <f t="shared" si="16"/>
        <v>0</v>
      </c>
      <c r="S36" s="18">
        <f t="shared" si="16"/>
        <v>0</v>
      </c>
      <c r="T36" s="18">
        <f t="shared" si="16"/>
        <v>-1099.4300529094446</v>
      </c>
      <c r="U36" s="18">
        <f t="shared" si="16"/>
        <v>-1099.4300529094446</v>
      </c>
      <c r="V36" s="18">
        <f t="shared" si="16"/>
        <v>-1099.4300529094446</v>
      </c>
      <c r="W36" s="18">
        <f t="shared" si="16"/>
        <v>-1099.4300529094446</v>
      </c>
      <c r="X36" s="18">
        <f t="shared" si="16"/>
        <v>-1099.4300529094446</v>
      </c>
      <c r="Y36" s="18">
        <f t="shared" si="16"/>
        <v>-1099.4300529094446</v>
      </c>
      <c r="Z36" s="18">
        <f t="shared" si="16"/>
        <v>-1099.4300529094446</v>
      </c>
      <c r="AA36" s="18">
        <f t="shared" si="16"/>
        <v>-1099.4300529094446</v>
      </c>
      <c r="AB36" s="18">
        <f t="shared" si="16"/>
        <v>-1099.4300529094446</v>
      </c>
      <c r="AC36" s="18">
        <f t="shared" si="16"/>
        <v>-9894.870476185002</v>
      </c>
      <c r="AD36" s="18">
        <f t="shared" si="16"/>
        <v>-13193.160634913338</v>
      </c>
      <c r="AE36" s="18">
        <f t="shared" si="16"/>
        <v>-13193.160634913338</v>
      </c>
      <c r="AF36" s="18">
        <f t="shared" si="16"/>
        <v>-13193.160634913338</v>
      </c>
      <c r="AG36" s="18">
        <f>AG30-AG33</f>
        <v>-13193.160634913338</v>
      </c>
      <c r="AH36" s="18">
        <f>AH30-AH33</f>
        <v>-13193.160634913338</v>
      </c>
      <c r="AI36" s="18">
        <f>AI30-AI33</f>
        <v>-3298.290158728334</v>
      </c>
    </row>
    <row r="37" spans="1:35" s="46" customFormat="1" ht="12.75">
      <c r="A37" s="44" t="s">
        <v>24</v>
      </c>
      <c r="B37" s="45">
        <f>B21+B27+B36</f>
        <v>98851.02448608578</v>
      </c>
      <c r="C37" s="27"/>
      <c r="D37" s="45">
        <f>D21+D27+D36</f>
        <v>0</v>
      </c>
      <c r="E37" s="45">
        <f aca="true" t="shared" si="17" ref="E37:AF37">E21+E27+E36</f>
        <v>0</v>
      </c>
      <c r="F37" s="45">
        <f t="shared" si="17"/>
        <v>0</v>
      </c>
      <c r="G37" s="45">
        <f t="shared" si="17"/>
        <v>0</v>
      </c>
      <c r="H37" s="45">
        <f t="shared" si="17"/>
        <v>0</v>
      </c>
      <c r="I37" s="45">
        <f t="shared" si="17"/>
        <v>0</v>
      </c>
      <c r="J37" s="45">
        <f t="shared" si="17"/>
        <v>0</v>
      </c>
      <c r="K37" s="45">
        <f t="shared" si="17"/>
        <v>0</v>
      </c>
      <c r="L37" s="45">
        <f t="shared" si="17"/>
        <v>0</v>
      </c>
      <c r="M37" s="45">
        <f t="shared" si="17"/>
        <v>0</v>
      </c>
      <c r="N37" s="45">
        <f t="shared" si="17"/>
        <v>0</v>
      </c>
      <c r="O37" s="45">
        <f t="shared" si="17"/>
        <v>0</v>
      </c>
      <c r="P37" s="45">
        <f t="shared" si="17"/>
        <v>0</v>
      </c>
      <c r="Q37" s="45">
        <f t="shared" si="17"/>
        <v>1874.5433405558106</v>
      </c>
      <c r="R37" s="45">
        <f t="shared" si="17"/>
        <v>1874.5433405558106</v>
      </c>
      <c r="S37" s="45">
        <f t="shared" si="17"/>
        <v>1874.5433405558106</v>
      </c>
      <c r="T37" s="45">
        <f t="shared" si="17"/>
        <v>775.113287646366</v>
      </c>
      <c r="U37" s="45">
        <f t="shared" si="17"/>
        <v>781.5266296216712</v>
      </c>
      <c r="V37" s="45">
        <f t="shared" si="17"/>
        <v>787.9399715969755</v>
      </c>
      <c r="W37" s="45">
        <f t="shared" si="17"/>
        <v>794.3533135722807</v>
      </c>
      <c r="X37" s="45">
        <f t="shared" si="17"/>
        <v>800.766655547586</v>
      </c>
      <c r="Y37" s="45">
        <f t="shared" si="17"/>
        <v>807.1799975228912</v>
      </c>
      <c r="Z37" s="45">
        <f t="shared" si="17"/>
        <v>813.5933394981964</v>
      </c>
      <c r="AA37" s="45">
        <f t="shared" si="17"/>
        <v>820.0066814735017</v>
      </c>
      <c r="AB37" s="45">
        <f t="shared" si="17"/>
        <v>826.4200234488069</v>
      </c>
      <c r="AC37" s="45">
        <f>AC21+AC27+AC36</f>
        <v>12830.529921595728</v>
      </c>
      <c r="AD37" s="45">
        <f t="shared" si="17"/>
        <v>10417.280955459513</v>
      </c>
      <c r="AE37" s="45">
        <f t="shared" si="17"/>
        <v>11340.802199903437</v>
      </c>
      <c r="AF37" s="45">
        <f t="shared" si="17"/>
        <v>12264.323444347376</v>
      </c>
      <c r="AG37" s="45">
        <f>AG21+AG27+AG36</f>
        <v>13187.844688791314</v>
      </c>
      <c r="AH37" s="45">
        <f>AH21+AH27+AH36</f>
        <v>14111.365933235238</v>
      </c>
      <c r="AI37" s="45">
        <f>AI21+AI27+AI36</f>
        <v>24698.877342753192</v>
      </c>
    </row>
    <row r="38" spans="1:43" s="21" customFormat="1" ht="12.75">
      <c r="A38" s="47" t="s">
        <v>52</v>
      </c>
      <c r="B38" s="27">
        <f>B7+B21+B27+B36</f>
        <v>98851.02448608578</v>
      </c>
      <c r="C38" s="48"/>
      <c r="D38" s="49">
        <f aca="true" t="shared" si="18" ref="D38:O38">D7+D21+D27+D36</f>
        <v>0</v>
      </c>
      <c r="E38" s="49">
        <f t="shared" si="18"/>
        <v>0</v>
      </c>
      <c r="F38" s="49">
        <f t="shared" si="18"/>
        <v>0</v>
      </c>
      <c r="G38" s="49">
        <f t="shared" si="18"/>
        <v>0</v>
      </c>
      <c r="H38" s="49">
        <f t="shared" si="18"/>
        <v>0</v>
      </c>
      <c r="I38" s="49">
        <f t="shared" si="18"/>
        <v>0</v>
      </c>
      <c r="J38" s="49">
        <f t="shared" si="18"/>
        <v>0</v>
      </c>
      <c r="K38" s="49">
        <f t="shared" si="18"/>
        <v>0</v>
      </c>
      <c r="L38" s="49">
        <f t="shared" si="18"/>
        <v>0</v>
      </c>
      <c r="M38" s="49">
        <f t="shared" si="18"/>
        <v>0</v>
      </c>
      <c r="N38" s="49">
        <f t="shared" si="18"/>
        <v>0</v>
      </c>
      <c r="O38" s="49">
        <f t="shared" si="18"/>
        <v>0</v>
      </c>
      <c r="P38" s="50">
        <f>O38</f>
        <v>0</v>
      </c>
      <c r="Q38" s="49">
        <f>P38+Q21+Q27+Q36</f>
        <v>1874.5433405558106</v>
      </c>
      <c r="R38" s="49">
        <f aca="true" t="shared" si="19" ref="R38:AB38">Q38+R21+R27+R36</f>
        <v>3749.086681111621</v>
      </c>
      <c r="S38" s="49">
        <f t="shared" si="19"/>
        <v>5623.630021667432</v>
      </c>
      <c r="T38" s="49">
        <f t="shared" si="19"/>
        <v>6398.743309313798</v>
      </c>
      <c r="U38" s="49">
        <f t="shared" si="19"/>
        <v>7180.26993893547</v>
      </c>
      <c r="V38" s="49">
        <f t="shared" si="19"/>
        <v>7968.209910532446</v>
      </c>
      <c r="W38" s="49">
        <f t="shared" si="19"/>
        <v>8762.563224104726</v>
      </c>
      <c r="X38" s="49">
        <f t="shared" si="19"/>
        <v>9563.32987965231</v>
      </c>
      <c r="Y38" s="49">
        <f t="shared" si="19"/>
        <v>10370.5098771752</v>
      </c>
      <c r="Z38" s="49">
        <f t="shared" si="19"/>
        <v>11184.103216673395</v>
      </c>
      <c r="AA38" s="49">
        <f t="shared" si="19"/>
        <v>12004.109898146895</v>
      </c>
      <c r="AB38" s="49">
        <f t="shared" si="19"/>
        <v>12830.5299215957</v>
      </c>
      <c r="AC38" s="49">
        <f>AB38</f>
        <v>12830.5299215957</v>
      </c>
      <c r="AD38" s="49">
        <f aca="true" t="shared" si="20" ref="AD38:AI38">AC38+AD21+AD27+AD36</f>
        <v>23247.810877055213</v>
      </c>
      <c r="AE38" s="49">
        <f t="shared" si="20"/>
        <v>34588.61307695865</v>
      </c>
      <c r="AF38" s="49">
        <f t="shared" si="20"/>
        <v>46852.93652130603</v>
      </c>
      <c r="AG38" s="49">
        <f t="shared" si="20"/>
        <v>60040.78121009734</v>
      </c>
      <c r="AH38" s="49">
        <f t="shared" si="20"/>
        <v>74152.14714333258</v>
      </c>
      <c r="AI38" s="49">
        <f t="shared" si="20"/>
        <v>98851.02448608578</v>
      </c>
      <c r="AJ38" s="7">
        <v>2014</v>
      </c>
      <c r="AK38" s="7">
        <f aca="true" t="shared" si="21" ref="AK38:AN39">AJ38+1</f>
        <v>2015</v>
      </c>
      <c r="AL38" s="7">
        <f t="shared" si="21"/>
        <v>2016</v>
      </c>
      <c r="AM38" s="7">
        <f t="shared" si="21"/>
        <v>2017</v>
      </c>
      <c r="AN38" s="7">
        <f t="shared" si="21"/>
        <v>2018</v>
      </c>
      <c r="AO38" s="7">
        <f aca="true" t="shared" si="22" ref="AO38:AQ39">AN38+1</f>
        <v>2019</v>
      </c>
      <c r="AP38" s="7">
        <f t="shared" si="22"/>
        <v>2020</v>
      </c>
      <c r="AQ38" s="7">
        <f t="shared" si="22"/>
        <v>2021</v>
      </c>
    </row>
    <row r="39" spans="1:43" ht="12.75">
      <c r="A39" s="51"/>
      <c r="B39" s="52">
        <f>AI38</f>
        <v>98851.02448608578</v>
      </c>
      <c r="C39" s="53"/>
      <c r="D39" s="54">
        <f aca="true" t="shared" si="23" ref="D39:AB39">D7+D37-D38</f>
        <v>0</v>
      </c>
      <c r="E39" s="54">
        <f t="shared" si="23"/>
        <v>0</v>
      </c>
      <c r="F39" s="54">
        <f t="shared" si="23"/>
        <v>0</v>
      </c>
      <c r="G39" s="54">
        <f t="shared" si="23"/>
        <v>0</v>
      </c>
      <c r="H39" s="54">
        <f t="shared" si="23"/>
        <v>0</v>
      </c>
      <c r="I39" s="54">
        <f t="shared" si="23"/>
        <v>0</v>
      </c>
      <c r="J39" s="54">
        <f t="shared" si="23"/>
        <v>0</v>
      </c>
      <c r="K39" s="54">
        <f t="shared" si="23"/>
        <v>0</v>
      </c>
      <c r="L39" s="54">
        <f t="shared" si="23"/>
        <v>0</v>
      </c>
      <c r="M39" s="54">
        <f t="shared" si="23"/>
        <v>0</v>
      </c>
      <c r="N39" s="54">
        <f t="shared" si="23"/>
        <v>0</v>
      </c>
      <c r="O39" s="54">
        <f t="shared" si="23"/>
        <v>0</v>
      </c>
      <c r="P39" s="54">
        <f t="shared" si="23"/>
        <v>0</v>
      </c>
      <c r="Q39" s="54">
        <f t="shared" si="23"/>
        <v>0</v>
      </c>
      <c r="R39" s="54">
        <f t="shared" si="23"/>
        <v>0</v>
      </c>
      <c r="S39" s="54">
        <f t="shared" si="23"/>
        <v>0</v>
      </c>
      <c r="T39" s="54">
        <f t="shared" si="23"/>
        <v>0</v>
      </c>
      <c r="U39" s="54">
        <f t="shared" si="23"/>
        <v>0</v>
      </c>
      <c r="V39" s="54">
        <f t="shared" si="23"/>
        <v>0</v>
      </c>
      <c r="W39" s="54">
        <f t="shared" si="23"/>
        <v>0</v>
      </c>
      <c r="X39" s="54">
        <f t="shared" si="23"/>
        <v>0</v>
      </c>
      <c r="Y39" s="54">
        <f t="shared" si="23"/>
        <v>0</v>
      </c>
      <c r="Z39" s="54">
        <f t="shared" si="23"/>
        <v>0</v>
      </c>
      <c r="AA39" s="54">
        <f t="shared" si="23"/>
        <v>0</v>
      </c>
      <c r="AB39" s="54">
        <f t="shared" si="23"/>
        <v>0</v>
      </c>
      <c r="AC39" s="54"/>
      <c r="AD39" s="54">
        <f aca="true" t="shared" si="24" ref="AD39:AI39">AD7+AD37-AD38</f>
        <v>0</v>
      </c>
      <c r="AE39" s="54">
        <f t="shared" si="24"/>
        <v>0</v>
      </c>
      <c r="AF39" s="54">
        <f t="shared" si="24"/>
        <v>0</v>
      </c>
      <c r="AG39" s="54">
        <f t="shared" si="24"/>
        <v>0</v>
      </c>
      <c r="AH39" s="54">
        <f t="shared" si="24"/>
        <v>0</v>
      </c>
      <c r="AI39" s="54">
        <f t="shared" si="24"/>
        <v>0</v>
      </c>
      <c r="AJ39" s="61">
        <v>0</v>
      </c>
      <c r="AK39" s="61">
        <f t="shared" si="21"/>
        <v>1</v>
      </c>
      <c r="AL39" s="61">
        <f t="shared" si="21"/>
        <v>2</v>
      </c>
      <c r="AM39" s="61">
        <f t="shared" si="21"/>
        <v>3</v>
      </c>
      <c r="AN39" s="61">
        <f t="shared" si="21"/>
        <v>4</v>
      </c>
      <c r="AO39" s="61">
        <f t="shared" si="22"/>
        <v>5</v>
      </c>
      <c r="AP39" s="61">
        <f t="shared" si="22"/>
        <v>6</v>
      </c>
      <c r="AQ39" s="61">
        <f t="shared" si="22"/>
        <v>7</v>
      </c>
    </row>
    <row r="40" spans="1:43" ht="12.75">
      <c r="A40" s="51" t="s">
        <v>58</v>
      </c>
      <c r="B40" s="62">
        <f>B38-B39</f>
        <v>0</v>
      </c>
      <c r="C40" s="53"/>
      <c r="Q40" s="56"/>
      <c r="AJ40" s="56">
        <f>P37</f>
        <v>0</v>
      </c>
      <c r="AK40" s="56">
        <f aca="true" t="shared" si="25" ref="AK40:AP40">AC37</f>
        <v>12830.529921595728</v>
      </c>
      <c r="AL40" s="56">
        <f t="shared" si="25"/>
        <v>10417.280955459513</v>
      </c>
      <c r="AM40" s="56">
        <f t="shared" si="25"/>
        <v>11340.802199903437</v>
      </c>
      <c r="AN40" s="56">
        <f t="shared" si="25"/>
        <v>12264.323444347376</v>
      </c>
      <c r="AO40" s="56">
        <f t="shared" si="25"/>
        <v>13187.844688791314</v>
      </c>
      <c r="AP40" s="56">
        <f t="shared" si="25"/>
        <v>14111.365933235238</v>
      </c>
      <c r="AQ40" s="56">
        <f>AP40+AH35+AH18</f>
        <v>28035.64755333335</v>
      </c>
    </row>
    <row r="41" spans="1:43" ht="12.75">
      <c r="A41" s="51" t="s">
        <v>59</v>
      </c>
      <c r="B41" s="53"/>
      <c r="C41" s="53"/>
      <c r="AJ41" s="56">
        <f>AJ40+P35+P34+P18</f>
        <v>0</v>
      </c>
      <c r="AK41" s="56">
        <f aca="true" t="shared" si="26" ref="AK41:AP41">AK40+AC35+AC34+AC18</f>
        <v>28035.647553333347</v>
      </c>
      <c r="AL41" s="56">
        <f t="shared" si="26"/>
        <v>28035.647553333365</v>
      </c>
      <c r="AM41" s="56">
        <f t="shared" si="26"/>
        <v>28035.64755333335</v>
      </c>
      <c r="AN41" s="56">
        <f t="shared" si="26"/>
        <v>28035.647553333354</v>
      </c>
      <c r="AO41" s="56">
        <f t="shared" si="26"/>
        <v>28035.64755333336</v>
      </c>
      <c r="AP41" s="56">
        <f t="shared" si="26"/>
        <v>28035.64755333335</v>
      </c>
      <c r="AQ41" s="56">
        <f>AQ40+AJ35+AJ34+AJ18</f>
        <v>28035.64755333335</v>
      </c>
    </row>
    <row r="42" spans="1:43" ht="12.75">
      <c r="A42" s="51" t="s">
        <v>60</v>
      </c>
      <c r="B42" s="53"/>
      <c r="C42" s="53"/>
      <c r="V42" s="56"/>
      <c r="AJ42" s="56">
        <f>P30</f>
        <v>126338.65484733335</v>
      </c>
      <c r="AK42" s="56">
        <f>AC30</f>
        <v>0</v>
      </c>
      <c r="AL42" s="56"/>
      <c r="AM42" s="56"/>
      <c r="AN42" s="56"/>
      <c r="AO42" s="56"/>
      <c r="AP42" s="56"/>
      <c r="AQ42" s="56"/>
    </row>
    <row r="43" spans="1:43" ht="12.75">
      <c r="A43" s="63" t="s">
        <v>61</v>
      </c>
      <c r="B43" s="53"/>
      <c r="C43" s="53"/>
      <c r="AJ43" s="64">
        <f aca="true" t="shared" si="27" ref="AJ43:AP43">AJ41-AJ42</f>
        <v>-126338.65484733335</v>
      </c>
      <c r="AK43" s="64">
        <f t="shared" si="27"/>
        <v>28035.647553333347</v>
      </c>
      <c r="AL43" s="64">
        <f t="shared" si="27"/>
        <v>28035.647553333365</v>
      </c>
      <c r="AM43" s="64">
        <f t="shared" si="27"/>
        <v>28035.64755333335</v>
      </c>
      <c r="AN43" s="64">
        <f t="shared" si="27"/>
        <v>28035.647553333354</v>
      </c>
      <c r="AO43" s="64">
        <f t="shared" si="27"/>
        <v>28035.64755333336</v>
      </c>
      <c r="AP43" s="64">
        <f t="shared" si="27"/>
        <v>28035.64755333335</v>
      </c>
      <c r="AQ43" s="64">
        <f>AQ41-AQ42</f>
        <v>28035.64755333335</v>
      </c>
    </row>
    <row r="44" spans="1:43" ht="12.75">
      <c r="A44" s="65" t="s">
        <v>62</v>
      </c>
      <c r="B44" s="53"/>
      <c r="C44" s="53"/>
      <c r="AJ44" s="66">
        <f>AJ43/(1+Исх!$C$8)^'1-Ф3'!AJ39</f>
        <v>-126338.65484733335</v>
      </c>
      <c r="AK44" s="66">
        <f>AK43/(1+Исх!$C$8)^'1-Ф3'!AK39</f>
        <v>26201.539769470415</v>
      </c>
      <c r="AL44" s="66">
        <f>AL43/(1+Исх!$C$8)^'1-Ф3'!AL39</f>
        <v>24487.42034529947</v>
      </c>
      <c r="AM44" s="66">
        <f>AM43/(1+Исх!$C$8)^'1-Ф3'!AM39</f>
        <v>22885.43957504622</v>
      </c>
      <c r="AN44" s="66">
        <f>AN43/(1+Исх!$C$8)^'1-Ф3'!AN39</f>
        <v>21388.26128508993</v>
      </c>
      <c r="AO44" s="66">
        <f>AO43/(1+Исх!$C$8)^'1-Ф3'!AO39</f>
        <v>19989.029238401807</v>
      </c>
      <c r="AP44" s="66">
        <f>AP43/(1+Исх!$C$8)^'1-Ф3'!AP39</f>
        <v>18681.335736824112</v>
      </c>
      <c r="AQ44" s="66">
        <f>AQ43/(1+Исх!$C$8)^'1-Ф3'!AQ39</f>
        <v>17459.192277405713</v>
      </c>
    </row>
    <row r="45" spans="1:43" ht="12.75">
      <c r="A45" s="63" t="s">
        <v>63</v>
      </c>
      <c r="B45" s="53"/>
      <c r="C45" s="53"/>
      <c r="AJ45" s="64">
        <f>AJ43</f>
        <v>-126338.65484733335</v>
      </c>
      <c r="AK45" s="64">
        <f aca="true" t="shared" si="28" ref="AK45:AN46">AJ45+AK43</f>
        <v>-98303.00729400001</v>
      </c>
      <c r="AL45" s="64">
        <f t="shared" si="28"/>
        <v>-70267.35974066664</v>
      </c>
      <c r="AM45" s="64">
        <f t="shared" si="28"/>
        <v>-42231.71218733329</v>
      </c>
      <c r="AN45" s="64">
        <f t="shared" si="28"/>
        <v>-14196.064633999933</v>
      </c>
      <c r="AO45" s="64">
        <f aca="true" t="shared" si="29" ref="AO45:AQ46">AN45+AO43</f>
        <v>13839.582919333428</v>
      </c>
      <c r="AP45" s="64">
        <f t="shared" si="29"/>
        <v>41875.23047266678</v>
      </c>
      <c r="AQ45" s="64">
        <f t="shared" si="29"/>
        <v>69910.87802600014</v>
      </c>
    </row>
    <row r="46" spans="1:43" ht="12.75">
      <c r="A46" s="65" t="s">
        <v>64</v>
      </c>
      <c r="B46" s="53"/>
      <c r="C46" s="53"/>
      <c r="AJ46" s="66">
        <f>AJ44</f>
        <v>-126338.65484733335</v>
      </c>
      <c r="AK46" s="66">
        <f t="shared" si="28"/>
        <v>-100137.11507786294</v>
      </c>
      <c r="AL46" s="66">
        <f t="shared" si="28"/>
        <v>-75649.69473256347</v>
      </c>
      <c r="AM46" s="66">
        <f t="shared" si="28"/>
        <v>-52764.25515751725</v>
      </c>
      <c r="AN46" s="66">
        <f t="shared" si="28"/>
        <v>-31375.993872427316</v>
      </c>
      <c r="AO46" s="66">
        <f t="shared" si="29"/>
        <v>-11386.96463402551</v>
      </c>
      <c r="AP46" s="66">
        <f t="shared" si="29"/>
        <v>7294.371102798603</v>
      </c>
      <c r="AQ46" s="66">
        <f t="shared" si="29"/>
        <v>24753.563380204316</v>
      </c>
    </row>
    <row r="47" spans="1:43" ht="12.75">
      <c r="A47" s="51" t="s">
        <v>65</v>
      </c>
      <c r="B47" s="53"/>
      <c r="C47" s="53"/>
      <c r="AJ47" s="56">
        <f>NPV(Исх!$C$8,'1-Ф3'!$AJ41:AJ41)</f>
        <v>0</v>
      </c>
      <c r="AK47" s="56">
        <f>NPV(Исх!$C$8,'1-Ф3'!$AJ41:AK41)</f>
        <v>24487.42034529945</v>
      </c>
      <c r="AL47" s="56">
        <f>NPV(Исх!$C$8,'1-Ф3'!$AJ41:AL41)</f>
        <v>47372.85992034568</v>
      </c>
      <c r="AM47" s="56">
        <f>NPV(Исх!$C$8,'1-Ф3'!$AJ41:AM41)</f>
        <v>68761.12120543561</v>
      </c>
      <c r="AN47" s="56">
        <f>NPV(Исх!$C$8,'1-Ф3'!$AJ41:AN41)</f>
        <v>88750.15044383742</v>
      </c>
      <c r="AO47" s="56">
        <f>NPV(Исх!$C$8,'1-Ф3'!$AJ41:AO41)</f>
        <v>107431.48618066154</v>
      </c>
      <c r="AP47" s="56">
        <f>NPV(Исх!$C$8,'1-Ф3'!$AJ41:AP41)</f>
        <v>124890.67845806725</v>
      </c>
      <c r="AQ47" s="56">
        <f>NPV(Исх!$C$8,'1-Ф3'!$AJ41:AQ41)</f>
        <v>141207.6805864838</v>
      </c>
    </row>
    <row r="48" spans="1:43" ht="12.75">
      <c r="A48" s="51" t="s">
        <v>66</v>
      </c>
      <c r="B48" s="53"/>
      <c r="C48" s="53"/>
      <c r="AJ48" s="56">
        <f>NPV(Исх!$C$8,'1-Ф3'!$AJ42:AJ42)</f>
        <v>118073.50920311527</v>
      </c>
      <c r="AK48" s="56">
        <f>NPV(Исх!$C$8,'1-Ф3'!$AJ42:AK42)</f>
        <v>118073.50920311527</v>
      </c>
      <c r="AL48" s="56">
        <f>NPV(Исх!$C$8,'1-Ф3'!$AJ42:AL42)</f>
        <v>118073.50920311527</v>
      </c>
      <c r="AM48" s="56">
        <f>NPV(Исх!$C$8,'1-Ф3'!$AJ42:AM42)</f>
        <v>118073.50920311527</v>
      </c>
      <c r="AN48" s="56">
        <f>NPV(Исх!$C$8,'1-Ф3'!$AJ42:AN42)</f>
        <v>118073.50920311527</v>
      </c>
      <c r="AO48" s="56">
        <f>NPV(Исх!$C$8,'1-Ф3'!$AJ42:AO42)</f>
        <v>118073.50920311527</v>
      </c>
      <c r="AP48" s="56">
        <f>NPV(Исх!$C$8,'1-Ф3'!$AJ42:AP42)</f>
        <v>118073.50920311527</v>
      </c>
      <c r="AQ48" s="56">
        <f>NPV(Исх!$C$8,'1-Ф3'!$AJ42:AQ42)</f>
        <v>118073.50920311527</v>
      </c>
    </row>
    <row r="49" spans="1:43" ht="12.75">
      <c r="A49" s="51" t="s">
        <v>67</v>
      </c>
      <c r="B49" s="53"/>
      <c r="C49" s="53"/>
      <c r="AJ49" s="56">
        <f aca="true" t="shared" si="30" ref="AJ49:AP49">AJ47-AJ48</f>
        <v>-118073.50920311527</v>
      </c>
      <c r="AK49" s="56">
        <f t="shared" si="30"/>
        <v>-93586.08885781582</v>
      </c>
      <c r="AL49" s="56">
        <f t="shared" si="30"/>
        <v>-70700.64928276959</v>
      </c>
      <c r="AM49" s="56">
        <f t="shared" si="30"/>
        <v>-49312.38799767966</v>
      </c>
      <c r="AN49" s="56">
        <f t="shared" si="30"/>
        <v>-29323.35875927785</v>
      </c>
      <c r="AO49" s="56">
        <f t="shared" si="30"/>
        <v>-10642.023022453737</v>
      </c>
      <c r="AP49" s="56">
        <f t="shared" si="30"/>
        <v>6817.169254951979</v>
      </c>
      <c r="AQ49" s="56">
        <f>AQ47-AQ48</f>
        <v>23134.17138336852</v>
      </c>
    </row>
    <row r="50" spans="1:43" ht="12.75">
      <c r="A50" s="51" t="s">
        <v>68</v>
      </c>
      <c r="B50" s="53"/>
      <c r="C50" s="53"/>
      <c r="AJ50" s="67">
        <f aca="true" t="shared" si="31" ref="AJ50:AP50">AJ47/AJ48</f>
        <v>0</v>
      </c>
      <c r="AK50" s="67">
        <f t="shared" si="31"/>
        <v>0.20739131504235306</v>
      </c>
      <c r="AL50" s="67">
        <f t="shared" si="31"/>
        <v>0.40121497396044015</v>
      </c>
      <c r="AM50" s="67">
        <f t="shared" si="31"/>
        <v>0.582358580425942</v>
      </c>
      <c r="AN50" s="67">
        <f t="shared" si="31"/>
        <v>0.7516516705806168</v>
      </c>
      <c r="AO50" s="67">
        <f t="shared" si="31"/>
        <v>0.9098695118466679</v>
      </c>
      <c r="AP50" s="67">
        <f t="shared" si="31"/>
        <v>1.057736653216809</v>
      </c>
      <c r="AQ50" s="67">
        <f>AQ47/AQ48</f>
        <v>1.1959302432823615</v>
      </c>
    </row>
    <row r="51" spans="1:43" ht="12.75">
      <c r="A51" s="51" t="s">
        <v>69</v>
      </c>
      <c r="B51" s="53"/>
      <c r="C51" s="53"/>
      <c r="AG51" s="68" t="str">
        <f>IF(ISERROR(IRR($AJ43:AJ$43))," ",IF(IRR($AJ43:AJ$43)&lt;0," ",IRR($AJ43:AJ$43)))</f>
        <v> </v>
      </c>
      <c r="AH51" s="68"/>
      <c r="AI51" s="68"/>
      <c r="AJ51" s="68" t="str">
        <f>IF(ISERROR(IRR($AJ43:AJ$43))," ",IF(IRR($AJ43:AJ$43)&lt;0," ",IRR($AJ43:AJ$43)))</f>
        <v> </v>
      </c>
      <c r="AK51" s="68" t="str">
        <f>IF(ISERROR(IRR($AJ43:AK$43))," ",IF(IRR($AJ43:AK$43)&lt;0," ",IRR($AJ43:AK$43)))</f>
        <v> </v>
      </c>
      <c r="AL51" s="68" t="str">
        <f>IF(ISERROR(IRR($AJ43:AL$43))," ",IF(IRR($AJ43:AL$43)&lt;0," ",IRR($AJ43:AL$43)))</f>
        <v> </v>
      </c>
      <c r="AM51" s="68" t="str">
        <f>IF(ISERROR(IRR($AJ43:AM$43))," ",IF(IRR($AJ43:AM$43)&lt;0," ",IRR($AJ43:AM$43)))</f>
        <v> </v>
      </c>
      <c r="AN51" s="68" t="str">
        <f>IF(ISERROR(IRR($AJ43:AN$43))," ",IF(IRR($AJ43:AN$43)&lt;0," ",IRR($AJ43:AN$43)))</f>
        <v> </v>
      </c>
      <c r="AO51" s="68">
        <f>IF(ISERROR(IRR($AJ43:AO$43))," ",IF(IRR($AJ43:AO$43)&lt;0," ",IRR($AJ43:AO$43)))</f>
        <v>0.03568099164792393</v>
      </c>
      <c r="AP51" s="68">
        <f>IF(ISERROR(IRR($AJ43:AP$43))," ",IF(IRR($AJ43:AP$43)&lt;0," ",IRR($AJ43:AP$43)))</f>
        <v>0.08847727770331759</v>
      </c>
      <c r="AQ51" s="68">
        <f>IF(ISERROR(IRR($AJ43:AQ$43))," ",IF(IRR($AJ43:AQ$43)&lt;0," ",IRR($AJ43:AQ$43)))</f>
        <v>0.12400644137389527</v>
      </c>
    </row>
    <row r="52" spans="1:3" ht="12.75">
      <c r="A52" s="69" t="s">
        <v>32</v>
      </c>
      <c r="B52" s="57">
        <f>AN39-AN45/AO43</f>
        <v>4.5063576508084635</v>
      </c>
      <c r="C52" s="53"/>
    </row>
    <row r="53" spans="1:3" ht="12.75">
      <c r="A53" s="69" t="s">
        <v>27</v>
      </c>
      <c r="B53" s="57">
        <f>AO39-AO46/AP44</f>
        <v>5.60953696215522</v>
      </c>
      <c r="C53" s="53"/>
    </row>
    <row r="54" spans="1:3" ht="12.75">
      <c r="A54" s="51"/>
      <c r="B54" s="53"/>
      <c r="C54" s="53"/>
    </row>
    <row r="55" spans="1:3" ht="12.75">
      <c r="A55" s="51"/>
      <c r="B55" s="53"/>
      <c r="C55" s="53"/>
    </row>
    <row r="56" spans="1:3" ht="12.75">
      <c r="A56" s="51"/>
      <c r="B56" s="53"/>
      <c r="C56" s="53"/>
    </row>
    <row r="57" spans="1:3" ht="12.75">
      <c r="A57" s="51"/>
      <c r="B57" s="53"/>
      <c r="C57" s="53"/>
    </row>
    <row r="58" spans="1:3" ht="12.75">
      <c r="A58" s="51"/>
      <c r="B58" s="53"/>
      <c r="C58" s="53"/>
    </row>
    <row r="59" spans="1:3" ht="12.75">
      <c r="A59" s="51"/>
      <c r="B59" s="53"/>
      <c r="C59" s="53"/>
    </row>
    <row r="60" spans="1:3" ht="12.75">
      <c r="A60" s="51"/>
      <c r="B60" s="53"/>
      <c r="C60" s="53"/>
    </row>
    <row r="61" spans="1:3" ht="12.75">
      <c r="A61" s="51"/>
      <c r="B61" s="53"/>
      <c r="C61" s="53"/>
    </row>
    <row r="62" spans="1:3" ht="12.75">
      <c r="A62" s="51"/>
      <c r="B62" s="53"/>
      <c r="C62" s="53"/>
    </row>
    <row r="63" spans="1:3" ht="12.75">
      <c r="A63" s="51"/>
      <c r="B63" s="53"/>
      <c r="C63" s="53"/>
    </row>
    <row r="64" spans="1:3" ht="12.75">
      <c r="A64" s="51"/>
      <c r="B64" s="53"/>
      <c r="C64" s="53"/>
    </row>
    <row r="65" spans="1:3" ht="12.75">
      <c r="A65" s="51"/>
      <c r="B65" s="53"/>
      <c r="C65" s="53"/>
    </row>
    <row r="66" spans="1:3" ht="12.75">
      <c r="A66" s="51"/>
      <c r="B66" s="53"/>
      <c r="C66" s="53"/>
    </row>
    <row r="67" spans="1:3" ht="12.75">
      <c r="A67" s="51"/>
      <c r="B67" s="53"/>
      <c r="C67" s="53"/>
    </row>
    <row r="68" spans="1:3" ht="12.75">
      <c r="A68" s="51"/>
      <c r="B68" s="53"/>
      <c r="C68" s="53"/>
    </row>
    <row r="69" spans="1:3" ht="12.75">
      <c r="A69" s="51"/>
      <c r="B69" s="53"/>
      <c r="C69" s="53"/>
    </row>
    <row r="70" spans="1:3" ht="12.75">
      <c r="A70" s="51"/>
      <c r="B70" s="53"/>
      <c r="C70" s="53"/>
    </row>
    <row r="71" spans="1:3" ht="12.75">
      <c r="A71" s="51"/>
      <c r="B71" s="53"/>
      <c r="C71" s="53"/>
    </row>
    <row r="72" spans="1:3" ht="12.75">
      <c r="A72" s="51"/>
      <c r="B72" s="53"/>
      <c r="C72" s="53"/>
    </row>
    <row r="73" spans="1:3" ht="12.75">
      <c r="A73" s="51"/>
      <c r="B73" s="53"/>
      <c r="C73" s="53"/>
    </row>
    <row r="74" spans="1:3" ht="12.75">
      <c r="A74" s="51"/>
      <c r="B74" s="53"/>
      <c r="C74" s="53"/>
    </row>
    <row r="75" spans="1:3" ht="12.75">
      <c r="A75" s="51"/>
      <c r="B75" s="53"/>
      <c r="C75" s="53"/>
    </row>
    <row r="76" spans="1:3" ht="12.75">
      <c r="A76" s="51"/>
      <c r="B76" s="53"/>
      <c r="C76" s="53"/>
    </row>
    <row r="77" spans="1:3" ht="12.75">
      <c r="A77" s="51"/>
      <c r="B77" s="53"/>
      <c r="C77" s="53"/>
    </row>
    <row r="78" spans="1:3" ht="12.75">
      <c r="A78" s="51"/>
      <c r="B78" s="53"/>
      <c r="C78" s="53"/>
    </row>
    <row r="79" spans="1:3" ht="12.75">
      <c r="A79" s="51"/>
      <c r="B79" s="53"/>
      <c r="C79" s="53"/>
    </row>
    <row r="80" spans="1:3" ht="12.75">
      <c r="A80" s="51"/>
      <c r="B80" s="53"/>
      <c r="C80" s="53"/>
    </row>
    <row r="81" spans="1:3" ht="12.75">
      <c r="A81" s="51"/>
      <c r="B81" s="53"/>
      <c r="C81" s="53"/>
    </row>
    <row r="82" spans="1:3" ht="12.75">
      <c r="A82" s="51"/>
      <c r="B82" s="53"/>
      <c r="C82" s="53"/>
    </row>
    <row r="83" spans="1:3" ht="12.75">
      <c r="A83" s="51"/>
      <c r="B83" s="53"/>
      <c r="C83" s="53"/>
    </row>
    <row r="84" spans="1:3" ht="12.75">
      <c r="A84" s="51"/>
      <c r="B84" s="53"/>
      <c r="C84" s="53"/>
    </row>
    <row r="85" spans="1:3" ht="12.75">
      <c r="A85" s="51"/>
      <c r="B85" s="53"/>
      <c r="C85" s="53"/>
    </row>
    <row r="86" spans="1:3" ht="12.75">
      <c r="A86" s="51"/>
      <c r="B86" s="53"/>
      <c r="C86" s="53"/>
    </row>
    <row r="87" spans="1:3" ht="12.75">
      <c r="A87" s="51"/>
      <c r="B87" s="53"/>
      <c r="C87" s="53"/>
    </row>
    <row r="88" spans="1:3" ht="12.75">
      <c r="A88" s="51"/>
      <c r="B88" s="53"/>
      <c r="C88" s="53"/>
    </row>
    <row r="89" spans="1:3" ht="12.75">
      <c r="A89" s="51"/>
      <c r="B89" s="53"/>
      <c r="C89" s="53"/>
    </row>
    <row r="90" spans="1:3" ht="12.75">
      <c r="A90" s="51"/>
      <c r="B90" s="53"/>
      <c r="C90" s="53"/>
    </row>
    <row r="91" spans="1:3" ht="12.75">
      <c r="A91" s="51"/>
      <c r="B91" s="53"/>
      <c r="C91" s="53"/>
    </row>
    <row r="92" spans="1:3" ht="12.75">
      <c r="A92" s="51"/>
      <c r="B92" s="53"/>
      <c r="C92" s="53"/>
    </row>
    <row r="93" spans="1:3" ht="12.75">
      <c r="A93" s="51"/>
      <c r="B93" s="53"/>
      <c r="C93" s="53"/>
    </row>
    <row r="94" spans="1:3" ht="12.75">
      <c r="A94" s="51"/>
      <c r="B94" s="53"/>
      <c r="C94" s="53"/>
    </row>
    <row r="95" spans="1:3" ht="12.75">
      <c r="A95" s="51"/>
      <c r="B95" s="53"/>
      <c r="C95" s="53"/>
    </row>
    <row r="96" spans="1:3" ht="12.75">
      <c r="A96" s="51"/>
      <c r="B96" s="53"/>
      <c r="C96" s="53"/>
    </row>
    <row r="97" spans="1:3" ht="12.75">
      <c r="A97" s="51"/>
      <c r="B97" s="53"/>
      <c r="C97" s="53"/>
    </row>
    <row r="98" spans="1:3" ht="12.75">
      <c r="A98" s="51"/>
      <c r="B98" s="53"/>
      <c r="C98" s="53"/>
    </row>
    <row r="99" spans="1:3" ht="12.75">
      <c r="A99" s="51"/>
      <c r="B99" s="53"/>
      <c r="C99" s="53"/>
    </row>
    <row r="100" spans="1:3" ht="12.75">
      <c r="A100" s="51"/>
      <c r="B100" s="53"/>
      <c r="C100" s="53"/>
    </row>
    <row r="101" spans="1:3" ht="12.75">
      <c r="A101" s="51"/>
      <c r="B101" s="53"/>
      <c r="C101" s="53"/>
    </row>
    <row r="102" spans="1:3" ht="12.75">
      <c r="A102" s="51"/>
      <c r="B102" s="53"/>
      <c r="C102" s="53"/>
    </row>
    <row r="103" spans="1:3" ht="12.75">
      <c r="A103" s="51"/>
      <c r="B103" s="53"/>
      <c r="C103" s="53"/>
    </row>
    <row r="104" spans="1:3" ht="12.75">
      <c r="A104" s="51"/>
      <c r="B104" s="53"/>
      <c r="C104" s="53"/>
    </row>
    <row r="105" spans="1:3" ht="12.75">
      <c r="A105" s="51"/>
      <c r="B105" s="53"/>
      <c r="C105" s="53"/>
    </row>
    <row r="106" spans="1:3" ht="12.75">
      <c r="A106" s="51"/>
      <c r="B106" s="53"/>
      <c r="C106" s="53"/>
    </row>
    <row r="107" spans="1:3" ht="12.75">
      <c r="A107" s="51"/>
      <c r="B107" s="53"/>
      <c r="C107" s="53"/>
    </row>
    <row r="108" spans="1:3" ht="12.75">
      <c r="A108" s="51"/>
      <c r="B108" s="53"/>
      <c r="C108" s="53"/>
    </row>
    <row r="109" spans="1:3" ht="12.75">
      <c r="A109" s="51"/>
      <c r="B109" s="53"/>
      <c r="C109" s="53"/>
    </row>
    <row r="110" spans="1:3" ht="12.75">
      <c r="A110" s="51"/>
      <c r="B110" s="53"/>
      <c r="C110" s="53"/>
    </row>
    <row r="111" spans="1:3" ht="12.75">
      <c r="A111" s="51"/>
      <c r="B111" s="53"/>
      <c r="C111" s="53"/>
    </row>
    <row r="112" spans="1:3" ht="12.75">
      <c r="A112" s="51"/>
      <c r="B112" s="53"/>
      <c r="C112" s="53"/>
    </row>
    <row r="113" spans="1:3" ht="12.75">
      <c r="A113" s="51"/>
      <c r="B113" s="53"/>
      <c r="C113" s="53"/>
    </row>
    <row r="114" spans="1:3" ht="12.75">
      <c r="A114" s="51"/>
      <c r="B114" s="53"/>
      <c r="C114" s="53"/>
    </row>
    <row r="115" spans="1:3" ht="12.75">
      <c r="A115" s="51"/>
      <c r="B115" s="53"/>
      <c r="C115" s="53"/>
    </row>
    <row r="116" spans="1:3" ht="12.75">
      <c r="A116" s="51"/>
      <c r="B116" s="53"/>
      <c r="C116" s="53"/>
    </row>
    <row r="117" spans="1:3" ht="12.75">
      <c r="A117" s="51"/>
      <c r="B117" s="53"/>
      <c r="C117" s="53"/>
    </row>
    <row r="118" spans="1:3" ht="12.75">
      <c r="A118" s="51"/>
      <c r="B118" s="53"/>
      <c r="C118" s="53"/>
    </row>
    <row r="119" spans="1:3" ht="12.75">
      <c r="A119" s="51"/>
      <c r="B119" s="53"/>
      <c r="C119" s="53"/>
    </row>
    <row r="120" spans="1:3" ht="12.75">
      <c r="A120" s="51"/>
      <c r="B120" s="53"/>
      <c r="C120" s="53"/>
    </row>
    <row r="121" spans="1:3" ht="12.75">
      <c r="A121" s="51"/>
      <c r="B121" s="53"/>
      <c r="C121" s="53"/>
    </row>
    <row r="122" spans="1:3" ht="12.75">
      <c r="A122" s="51"/>
      <c r="B122" s="53"/>
      <c r="C122" s="53"/>
    </row>
    <row r="123" spans="1:3" ht="12.75">
      <c r="A123" s="51"/>
      <c r="B123" s="53"/>
      <c r="C123" s="53"/>
    </row>
    <row r="124" spans="1:3" ht="12.75">
      <c r="A124" s="51"/>
      <c r="B124" s="53"/>
      <c r="C124" s="53"/>
    </row>
    <row r="125" spans="1:3" ht="12.75">
      <c r="A125" s="51"/>
      <c r="B125" s="53"/>
      <c r="C125" s="53"/>
    </row>
    <row r="126" spans="1:3" ht="12.75">
      <c r="A126" s="51"/>
      <c r="B126" s="53"/>
      <c r="C126" s="53"/>
    </row>
    <row r="127" spans="1:3" ht="12.75">
      <c r="A127" s="51"/>
      <c r="B127" s="53"/>
      <c r="C127" s="53"/>
    </row>
    <row r="128" spans="1:3" ht="12.75">
      <c r="A128" s="51"/>
      <c r="B128" s="53"/>
      <c r="C128" s="53"/>
    </row>
    <row r="129" spans="1:3" ht="12.75">
      <c r="A129" s="51"/>
      <c r="B129" s="53"/>
      <c r="C129" s="53"/>
    </row>
    <row r="130" spans="1:3" ht="12.75">
      <c r="A130" s="51"/>
      <c r="B130" s="53"/>
      <c r="C130" s="53"/>
    </row>
    <row r="131" spans="1:3" ht="12.75">
      <c r="A131" s="51"/>
      <c r="B131" s="53"/>
      <c r="C131" s="53"/>
    </row>
    <row r="132" spans="1:3" ht="12.75">
      <c r="A132" s="51"/>
      <c r="B132" s="53"/>
      <c r="C132" s="53"/>
    </row>
    <row r="133" spans="1:3" ht="12.75">
      <c r="A133" s="51"/>
      <c r="B133" s="53"/>
      <c r="C133" s="53"/>
    </row>
    <row r="134" spans="1:3" ht="12.75">
      <c r="A134" s="51"/>
      <c r="B134" s="53"/>
      <c r="C134" s="53"/>
    </row>
    <row r="135" spans="1:3" ht="12.75">
      <c r="A135" s="51"/>
      <c r="B135" s="53"/>
      <c r="C135" s="53"/>
    </row>
    <row r="136" spans="1:3" ht="12.75">
      <c r="A136" s="51"/>
      <c r="B136" s="53"/>
      <c r="C136" s="53"/>
    </row>
    <row r="137" spans="1:3" ht="12.75">
      <c r="A137" s="51"/>
      <c r="B137" s="53"/>
      <c r="C137" s="53"/>
    </row>
    <row r="138" spans="1:3" ht="12.75">
      <c r="A138" s="51"/>
      <c r="B138" s="53"/>
      <c r="C138" s="53"/>
    </row>
    <row r="139" spans="1:3" ht="12.75">
      <c r="A139" s="51"/>
      <c r="B139" s="53"/>
      <c r="C139" s="53"/>
    </row>
    <row r="140" spans="1:3" ht="12.75">
      <c r="A140" s="51"/>
      <c r="B140" s="53"/>
      <c r="C140" s="53"/>
    </row>
    <row r="141" spans="1:3" ht="12.75">
      <c r="A141" s="51"/>
      <c r="B141" s="53"/>
      <c r="C141" s="53"/>
    </row>
    <row r="142" spans="1:3" ht="12.75">
      <c r="A142" s="51"/>
      <c r="B142" s="53"/>
      <c r="C142" s="53"/>
    </row>
    <row r="143" spans="1:3" ht="12.75">
      <c r="A143" s="51"/>
      <c r="B143" s="53"/>
      <c r="C143" s="53"/>
    </row>
    <row r="144" spans="1:3" ht="12.75">
      <c r="A144" s="51"/>
      <c r="B144" s="53"/>
      <c r="C144" s="53"/>
    </row>
    <row r="145" spans="1:3" ht="12.75">
      <c r="A145" s="51"/>
      <c r="B145" s="53"/>
      <c r="C145" s="53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49" bottom="0.35433070866141736" header="0.35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C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19" sqref="D19"/>
    </sheetView>
  </sheetViews>
  <sheetFormatPr defaultColWidth="9.00390625" defaultRowHeight="12.75" outlineLevelRow="1" outlineLevelCol="1"/>
  <cols>
    <col min="1" max="1" width="23.25390625" style="171" customWidth="1"/>
    <col min="2" max="2" width="12.125" style="171" customWidth="1"/>
    <col min="3" max="14" width="9.125" style="171" hidden="1" customWidth="1" outlineLevel="1"/>
    <col min="15" max="15" width="10.125" style="172" bestFit="1" customWidth="1" collapsed="1"/>
    <col min="16" max="27" width="9.125" style="171" hidden="1" customWidth="1" outlineLevel="1"/>
    <col min="28" max="28" width="10.125" style="172" bestFit="1" customWidth="1" collapsed="1"/>
    <col min="29" max="40" width="9.125" style="171" hidden="1" customWidth="1" outlineLevel="1"/>
    <col min="41" max="41" width="10.125" style="172" bestFit="1" customWidth="1" collapsed="1"/>
    <col min="42" max="47" width="9.125" style="171" hidden="1" customWidth="1" outlineLevel="1"/>
    <col min="48" max="48" width="9.25390625" style="171" hidden="1" customWidth="1" outlineLevel="1"/>
    <col min="49" max="53" width="8.75390625" style="171" hidden="1" customWidth="1" outlineLevel="1"/>
    <col min="54" max="54" width="10.125" style="172" bestFit="1" customWidth="1" collapsed="1"/>
    <col min="55" max="66" width="8.75390625" style="171" hidden="1" customWidth="1" outlineLevel="1"/>
    <col min="67" max="67" width="10.125" style="172" bestFit="1" customWidth="1" collapsed="1"/>
    <col min="68" max="79" width="8.75390625" style="171" hidden="1" customWidth="1" outlineLevel="1"/>
    <col min="80" max="80" width="10.125" style="172" bestFit="1" customWidth="1" collapsed="1"/>
    <col min="81" max="92" width="8.75390625" style="171" hidden="1" customWidth="1" outlineLevel="1"/>
    <col min="93" max="93" width="10.125" style="172" bestFit="1" customWidth="1" collapsed="1"/>
    <col min="94" max="105" width="8.75390625" style="171" hidden="1" customWidth="1" outlineLevel="1"/>
    <col min="106" max="106" width="10.125" style="172" bestFit="1" customWidth="1" collapsed="1"/>
    <col min="107" max="16384" width="9.125" style="171" customWidth="1"/>
  </cols>
  <sheetData>
    <row r="1" ht="9.75" customHeight="1"/>
    <row r="2" spans="1:15" ht="18.75" customHeight="1">
      <c r="A2" s="172" t="s">
        <v>96</v>
      </c>
      <c r="B2" s="173"/>
      <c r="D2" s="174"/>
      <c r="E2" s="174"/>
      <c r="F2" s="175"/>
      <c r="G2" s="174"/>
      <c r="O2" s="176"/>
    </row>
    <row r="3" spans="1:15" ht="13.5" customHeight="1">
      <c r="A3" s="177"/>
      <c r="B3" s="173"/>
      <c r="D3" s="174"/>
      <c r="E3" s="174"/>
      <c r="F3" s="175"/>
      <c r="G3" s="174"/>
      <c r="O3" s="176"/>
    </row>
    <row r="4" spans="1:2" ht="12.75">
      <c r="A4" s="277"/>
      <c r="B4" s="278"/>
    </row>
    <row r="5" spans="1:106" ht="15.75" customHeight="1">
      <c r="A5" s="178" t="s">
        <v>10</v>
      </c>
      <c r="B5" s="279">
        <f>Исх!C53</f>
        <v>0.07</v>
      </c>
      <c r="C5" s="334">
        <v>2014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>
        <v>2015</v>
      </c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>
        <v>2016</v>
      </c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>
        <v>2017</v>
      </c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>
        <v>2018</v>
      </c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>
        <v>2019</v>
      </c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>
        <v>2020</v>
      </c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>
        <v>2021</v>
      </c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</row>
    <row r="6" spans="1:106" s="183" customFormat="1" ht="15" customHeight="1">
      <c r="A6" s="179" t="s">
        <v>8</v>
      </c>
      <c r="B6" s="180" t="s">
        <v>85</v>
      </c>
      <c r="C6" s="181">
        <v>1</v>
      </c>
      <c r="D6" s="181">
        <v>2</v>
      </c>
      <c r="E6" s="181">
        <f>D6+1</f>
        <v>3</v>
      </c>
      <c r="F6" s="181">
        <f aca="true" t="shared" si="0" ref="F6:N6">E6+1</f>
        <v>4</v>
      </c>
      <c r="G6" s="181">
        <f t="shared" si="0"/>
        <v>5</v>
      </c>
      <c r="H6" s="181">
        <f t="shared" si="0"/>
        <v>6</v>
      </c>
      <c r="I6" s="181">
        <f t="shared" si="0"/>
        <v>7</v>
      </c>
      <c r="J6" s="181">
        <f t="shared" si="0"/>
        <v>8</v>
      </c>
      <c r="K6" s="181">
        <f t="shared" si="0"/>
        <v>9</v>
      </c>
      <c r="L6" s="181">
        <f t="shared" si="0"/>
        <v>10</v>
      </c>
      <c r="M6" s="181">
        <f t="shared" si="0"/>
        <v>11</v>
      </c>
      <c r="N6" s="181">
        <f t="shared" si="0"/>
        <v>12</v>
      </c>
      <c r="O6" s="182" t="s">
        <v>0</v>
      </c>
      <c r="P6" s="181">
        <v>1</v>
      </c>
      <c r="Q6" s="181">
        <v>2</v>
      </c>
      <c r="R6" s="181">
        <f>Q6+1</f>
        <v>3</v>
      </c>
      <c r="S6" s="181">
        <f aca="true" t="shared" si="1" ref="S6:AA6">R6+1</f>
        <v>4</v>
      </c>
      <c r="T6" s="181">
        <f t="shared" si="1"/>
        <v>5</v>
      </c>
      <c r="U6" s="181">
        <f t="shared" si="1"/>
        <v>6</v>
      </c>
      <c r="V6" s="181">
        <f t="shared" si="1"/>
        <v>7</v>
      </c>
      <c r="W6" s="181">
        <f t="shared" si="1"/>
        <v>8</v>
      </c>
      <c r="X6" s="181">
        <f t="shared" si="1"/>
        <v>9</v>
      </c>
      <c r="Y6" s="181">
        <f t="shared" si="1"/>
        <v>10</v>
      </c>
      <c r="Z6" s="181">
        <f t="shared" si="1"/>
        <v>11</v>
      </c>
      <c r="AA6" s="181">
        <f t="shared" si="1"/>
        <v>12</v>
      </c>
      <c r="AB6" s="182" t="s">
        <v>0</v>
      </c>
      <c r="AC6" s="181">
        <v>1</v>
      </c>
      <c r="AD6" s="181">
        <v>2</v>
      </c>
      <c r="AE6" s="181">
        <f aca="true" t="shared" si="2" ref="AE6:BN6">AD6+1</f>
        <v>3</v>
      </c>
      <c r="AF6" s="181">
        <f t="shared" si="2"/>
        <v>4</v>
      </c>
      <c r="AG6" s="181">
        <f t="shared" si="2"/>
        <v>5</v>
      </c>
      <c r="AH6" s="181">
        <f t="shared" si="2"/>
        <v>6</v>
      </c>
      <c r="AI6" s="181">
        <f t="shared" si="2"/>
        <v>7</v>
      </c>
      <c r="AJ6" s="181">
        <f t="shared" si="2"/>
        <v>8</v>
      </c>
      <c r="AK6" s="181">
        <f t="shared" si="2"/>
        <v>9</v>
      </c>
      <c r="AL6" s="181">
        <f t="shared" si="2"/>
        <v>10</v>
      </c>
      <c r="AM6" s="181">
        <f t="shared" si="2"/>
        <v>11</v>
      </c>
      <c r="AN6" s="181">
        <f t="shared" si="2"/>
        <v>12</v>
      </c>
      <c r="AO6" s="182" t="s">
        <v>0</v>
      </c>
      <c r="AP6" s="181">
        <v>1</v>
      </c>
      <c r="AQ6" s="181">
        <v>2</v>
      </c>
      <c r="AR6" s="181">
        <f>AQ6+1</f>
        <v>3</v>
      </c>
      <c r="AS6" s="181">
        <f t="shared" si="2"/>
        <v>4</v>
      </c>
      <c r="AT6" s="181">
        <f t="shared" si="2"/>
        <v>5</v>
      </c>
      <c r="AU6" s="181">
        <f t="shared" si="2"/>
        <v>6</v>
      </c>
      <c r="AV6" s="181">
        <f t="shared" si="2"/>
        <v>7</v>
      </c>
      <c r="AW6" s="181">
        <f t="shared" si="2"/>
        <v>8</v>
      </c>
      <c r="AX6" s="181">
        <f t="shared" si="2"/>
        <v>9</v>
      </c>
      <c r="AY6" s="181">
        <f t="shared" si="2"/>
        <v>10</v>
      </c>
      <c r="AZ6" s="181">
        <f t="shared" si="2"/>
        <v>11</v>
      </c>
      <c r="BA6" s="181">
        <f t="shared" si="2"/>
        <v>12</v>
      </c>
      <c r="BB6" s="182" t="s">
        <v>0</v>
      </c>
      <c r="BC6" s="181">
        <v>1</v>
      </c>
      <c r="BD6" s="181">
        <v>2</v>
      </c>
      <c r="BE6" s="181">
        <f>BD6+1</f>
        <v>3</v>
      </c>
      <c r="BF6" s="181">
        <f t="shared" si="2"/>
        <v>4</v>
      </c>
      <c r="BG6" s="181">
        <f t="shared" si="2"/>
        <v>5</v>
      </c>
      <c r="BH6" s="181">
        <f t="shared" si="2"/>
        <v>6</v>
      </c>
      <c r="BI6" s="181">
        <f t="shared" si="2"/>
        <v>7</v>
      </c>
      <c r="BJ6" s="181">
        <f t="shared" si="2"/>
        <v>8</v>
      </c>
      <c r="BK6" s="181">
        <f t="shared" si="2"/>
        <v>9</v>
      </c>
      <c r="BL6" s="181">
        <f t="shared" si="2"/>
        <v>10</v>
      </c>
      <c r="BM6" s="181">
        <f t="shared" si="2"/>
        <v>11</v>
      </c>
      <c r="BN6" s="181">
        <f t="shared" si="2"/>
        <v>12</v>
      </c>
      <c r="BO6" s="182" t="s">
        <v>0</v>
      </c>
      <c r="BP6" s="181">
        <v>1</v>
      </c>
      <c r="BQ6" s="181">
        <v>2</v>
      </c>
      <c r="BR6" s="181">
        <f aca="true" t="shared" si="3" ref="BR6:CA6">BQ6+1</f>
        <v>3</v>
      </c>
      <c r="BS6" s="181">
        <f t="shared" si="3"/>
        <v>4</v>
      </c>
      <c r="BT6" s="181">
        <f t="shared" si="3"/>
        <v>5</v>
      </c>
      <c r="BU6" s="181">
        <f t="shared" si="3"/>
        <v>6</v>
      </c>
      <c r="BV6" s="181">
        <f t="shared" si="3"/>
        <v>7</v>
      </c>
      <c r="BW6" s="181">
        <f t="shared" si="3"/>
        <v>8</v>
      </c>
      <c r="BX6" s="181">
        <f t="shared" si="3"/>
        <v>9</v>
      </c>
      <c r="BY6" s="181">
        <f t="shared" si="3"/>
        <v>10</v>
      </c>
      <c r="BZ6" s="181">
        <f t="shared" si="3"/>
        <v>11</v>
      </c>
      <c r="CA6" s="181">
        <f t="shared" si="3"/>
        <v>12</v>
      </c>
      <c r="CB6" s="182" t="s">
        <v>0</v>
      </c>
      <c r="CC6" s="181">
        <v>1</v>
      </c>
      <c r="CD6" s="181">
        <v>2</v>
      </c>
      <c r="CE6" s="181">
        <f aca="true" t="shared" si="4" ref="CE6:CN6">CD6+1</f>
        <v>3</v>
      </c>
      <c r="CF6" s="181">
        <f t="shared" si="4"/>
        <v>4</v>
      </c>
      <c r="CG6" s="181">
        <f t="shared" si="4"/>
        <v>5</v>
      </c>
      <c r="CH6" s="181">
        <f t="shared" si="4"/>
        <v>6</v>
      </c>
      <c r="CI6" s="181">
        <f t="shared" si="4"/>
        <v>7</v>
      </c>
      <c r="CJ6" s="181">
        <f t="shared" si="4"/>
        <v>8</v>
      </c>
      <c r="CK6" s="181">
        <f t="shared" si="4"/>
        <v>9</v>
      </c>
      <c r="CL6" s="181">
        <f t="shared" si="4"/>
        <v>10</v>
      </c>
      <c r="CM6" s="181">
        <f t="shared" si="4"/>
        <v>11</v>
      </c>
      <c r="CN6" s="181">
        <f t="shared" si="4"/>
        <v>12</v>
      </c>
      <c r="CO6" s="182" t="s">
        <v>0</v>
      </c>
      <c r="CP6" s="181">
        <v>1</v>
      </c>
      <c r="CQ6" s="181">
        <v>2</v>
      </c>
      <c r="CR6" s="181">
        <f aca="true" t="shared" si="5" ref="CR6:DA6">CQ6+1</f>
        <v>3</v>
      </c>
      <c r="CS6" s="181">
        <f t="shared" si="5"/>
        <v>4</v>
      </c>
      <c r="CT6" s="181">
        <f t="shared" si="5"/>
        <v>5</v>
      </c>
      <c r="CU6" s="181">
        <f t="shared" si="5"/>
        <v>6</v>
      </c>
      <c r="CV6" s="181">
        <f t="shared" si="5"/>
        <v>7</v>
      </c>
      <c r="CW6" s="181">
        <f t="shared" si="5"/>
        <v>8</v>
      </c>
      <c r="CX6" s="181">
        <f t="shared" si="5"/>
        <v>9</v>
      </c>
      <c r="CY6" s="181">
        <f t="shared" si="5"/>
        <v>10</v>
      </c>
      <c r="CZ6" s="181">
        <f t="shared" si="5"/>
        <v>11</v>
      </c>
      <c r="DA6" s="181">
        <f t="shared" si="5"/>
        <v>12</v>
      </c>
      <c r="DB6" s="182" t="s">
        <v>0</v>
      </c>
    </row>
    <row r="7" spans="1:107" ht="12.75">
      <c r="A7" s="179" t="s">
        <v>104</v>
      </c>
      <c r="B7" s="184">
        <f>O7+AB7+AO7+BB7+BO7+CB7+CO7+DB7</f>
        <v>76092.20862400002</v>
      </c>
      <c r="C7" s="185"/>
      <c r="D7" s="185"/>
      <c r="E7" s="185"/>
      <c r="F7" s="185">
        <f>'1-Ф3'!G32</f>
        <v>23058.73620800001</v>
      </c>
      <c r="G7" s="185">
        <f>'1-Ф3'!H32</f>
        <v>23058.73620800001</v>
      </c>
      <c r="H7" s="185">
        <f>'1-Ф3'!I32</f>
        <v>29974.73620800001</v>
      </c>
      <c r="I7" s="185"/>
      <c r="J7" s="185"/>
      <c r="K7" s="185"/>
      <c r="L7" s="185"/>
      <c r="M7" s="185"/>
      <c r="N7" s="185"/>
      <c r="O7" s="186">
        <f>SUM(C7:N7)</f>
        <v>76092.20862400002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6">
        <f>SUM(P7:AA7)</f>
        <v>0</v>
      </c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7"/>
    </row>
    <row r="8" spans="1:106" s="188" customFormat="1" ht="20.25" customHeight="1">
      <c r="A8" s="179" t="s">
        <v>29</v>
      </c>
      <c r="B8" s="184">
        <f>O8+AB8+AO8+BB8+BO8+CB8+CO8+DB8</f>
        <v>3066.7551854800013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>
        <f>SUM(F9:N9)</f>
        <v>3066.7551854800013</v>
      </c>
      <c r="O8" s="186">
        <f>SUM(C8:N8)</f>
        <v>3066.7551854800013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>
        <f>SUM(P8:AA8)</f>
        <v>0</v>
      </c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6">
        <f>SUM(AC8:AN8)</f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>
        <f>SUM(AP8:BA8)</f>
        <v>0</v>
      </c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6">
        <f>SUM(BC8:BN8)</f>
        <v>0</v>
      </c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6">
        <f>SUM(BP8:CA8)</f>
        <v>0</v>
      </c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6">
        <f>SUM(CC8:CN8)</f>
        <v>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6">
        <f>SUM(CP8:DA8)</f>
        <v>0</v>
      </c>
    </row>
    <row r="9" spans="1:106" s="188" customFormat="1" ht="12.75">
      <c r="A9" s="189" t="s">
        <v>11</v>
      </c>
      <c r="B9" s="184">
        <f>O9+AB9+AO9+BB9+BO9+CB9+CO9+DB9</f>
        <v>21306.299763247658</v>
      </c>
      <c r="C9" s="185"/>
      <c r="D9" s="185">
        <f>C12*$B$5/12</f>
        <v>0</v>
      </c>
      <c r="E9" s="185">
        <f>D12*$B$5/12</f>
        <v>0</v>
      </c>
      <c r="F9" s="185">
        <f>E12*$B$5/12</f>
        <v>0</v>
      </c>
      <c r="G9" s="185">
        <f>F12*$B$5/12</f>
        <v>134.50929454666672</v>
      </c>
      <c r="H9" s="185">
        <f>G12*$B$5/12</f>
        <v>269.01858909333345</v>
      </c>
      <c r="I9" s="185">
        <f aca="true" t="shared" si="6" ref="I9:AA9">H12*$B$5/12</f>
        <v>443.8712169733335</v>
      </c>
      <c r="J9" s="185">
        <f t="shared" si="6"/>
        <v>443.8712169733335</v>
      </c>
      <c r="K9" s="185">
        <f t="shared" si="6"/>
        <v>443.8712169733335</v>
      </c>
      <c r="L9" s="185">
        <f>K12*$B$5/12</f>
        <v>443.8712169733335</v>
      </c>
      <c r="M9" s="185">
        <f t="shared" si="6"/>
        <v>443.8712169733335</v>
      </c>
      <c r="N9" s="185">
        <f t="shared" si="6"/>
        <v>443.8712169733335</v>
      </c>
      <c r="O9" s="186">
        <f>SUM(C9:N9)</f>
        <v>3066.7551854800013</v>
      </c>
      <c r="P9" s="185">
        <f t="shared" si="6"/>
        <v>461.7606222219668</v>
      </c>
      <c r="Q9" s="185">
        <f t="shared" si="6"/>
        <v>461.7606222219668</v>
      </c>
      <c r="R9" s="185">
        <f t="shared" si="6"/>
        <v>461.7606222219668</v>
      </c>
      <c r="S9" s="185">
        <f t="shared" si="6"/>
        <v>461.7606222219668</v>
      </c>
      <c r="T9" s="185">
        <f t="shared" si="6"/>
        <v>455.34728024666174</v>
      </c>
      <c r="U9" s="185">
        <f t="shared" si="6"/>
        <v>448.93393827135657</v>
      </c>
      <c r="V9" s="185">
        <f t="shared" si="6"/>
        <v>442.5205962960515</v>
      </c>
      <c r="W9" s="185">
        <f t="shared" si="6"/>
        <v>436.10725432074634</v>
      </c>
      <c r="X9" s="185">
        <f t="shared" si="6"/>
        <v>429.6939123454413</v>
      </c>
      <c r="Y9" s="185">
        <f t="shared" si="6"/>
        <v>423.2805703701361</v>
      </c>
      <c r="Z9" s="185">
        <f t="shared" si="6"/>
        <v>416.86722839483105</v>
      </c>
      <c r="AA9" s="185">
        <f t="shared" si="6"/>
        <v>410.453886419526</v>
      </c>
      <c r="AB9" s="186">
        <f>SUM(P9:AA9)</f>
        <v>5310.247155552617</v>
      </c>
      <c r="AC9" s="185">
        <f aca="true" t="shared" si="7" ref="AC9:AN9">AB12*$B$5/12</f>
        <v>404.0405444442208</v>
      </c>
      <c r="AD9" s="185">
        <f t="shared" si="7"/>
        <v>397.62720246891575</v>
      </c>
      <c r="AE9" s="185">
        <f t="shared" si="7"/>
        <v>391.2138604936106</v>
      </c>
      <c r="AF9" s="185">
        <f t="shared" si="7"/>
        <v>384.8005185183055</v>
      </c>
      <c r="AG9" s="185">
        <f t="shared" si="7"/>
        <v>378.3871765430004</v>
      </c>
      <c r="AH9" s="185">
        <f t="shared" si="7"/>
        <v>371.9738345676953</v>
      </c>
      <c r="AI9" s="185">
        <f t="shared" si="7"/>
        <v>365.5604925923902</v>
      </c>
      <c r="AJ9" s="185">
        <f t="shared" si="7"/>
        <v>359.14715061708506</v>
      </c>
      <c r="AK9" s="185">
        <f t="shared" si="7"/>
        <v>352.73380864177994</v>
      </c>
      <c r="AL9" s="185">
        <f t="shared" si="7"/>
        <v>346.3204666664749</v>
      </c>
      <c r="AM9" s="185">
        <f t="shared" si="7"/>
        <v>339.9071246911697</v>
      </c>
      <c r="AN9" s="185">
        <f t="shared" si="7"/>
        <v>333.49378271586465</v>
      </c>
      <c r="AO9" s="186">
        <f>SUM(AC9:AN9)</f>
        <v>4425.205962960513</v>
      </c>
      <c r="AP9" s="185">
        <f aca="true" t="shared" si="8" ref="AP9:BA9">AO12*$B$5/12</f>
        <v>327.08044074055954</v>
      </c>
      <c r="AQ9" s="185">
        <f t="shared" si="8"/>
        <v>320.6670987652544</v>
      </c>
      <c r="AR9" s="185">
        <f t="shared" si="8"/>
        <v>314.2537567899493</v>
      </c>
      <c r="AS9" s="185">
        <f t="shared" si="8"/>
        <v>307.8404148146442</v>
      </c>
      <c r="AT9" s="185">
        <f t="shared" si="8"/>
        <v>301.4270728393391</v>
      </c>
      <c r="AU9" s="185">
        <f t="shared" si="8"/>
        <v>295.013730864034</v>
      </c>
      <c r="AV9" s="185">
        <f t="shared" si="8"/>
        <v>288.6003888887289</v>
      </c>
      <c r="AW9" s="185">
        <f t="shared" si="8"/>
        <v>282.1870469134238</v>
      </c>
      <c r="AX9" s="185">
        <f t="shared" si="8"/>
        <v>275.77370493811867</v>
      </c>
      <c r="AY9" s="185">
        <f t="shared" si="8"/>
        <v>269.36036296281355</v>
      </c>
      <c r="AZ9" s="185">
        <f t="shared" si="8"/>
        <v>262.94702098750844</v>
      </c>
      <c r="BA9" s="185">
        <f t="shared" si="8"/>
        <v>256.5336790122033</v>
      </c>
      <c r="BB9" s="186">
        <f>SUM(AP9:BA9)</f>
        <v>3501.684718516577</v>
      </c>
      <c r="BC9" s="185">
        <f aca="true" t="shared" si="9" ref="BC9:BN9">BB12*$B$5/12</f>
        <v>250.12033703689823</v>
      </c>
      <c r="BD9" s="185">
        <f t="shared" si="9"/>
        <v>243.70699506159312</v>
      </c>
      <c r="BE9" s="185">
        <f t="shared" si="9"/>
        <v>237.293653086288</v>
      </c>
      <c r="BF9" s="185">
        <f t="shared" si="9"/>
        <v>230.8803111109829</v>
      </c>
      <c r="BG9" s="185">
        <f t="shared" si="9"/>
        <v>224.4669691356778</v>
      </c>
      <c r="BH9" s="185">
        <f t="shared" si="9"/>
        <v>218.05362716037268</v>
      </c>
      <c r="BI9" s="185">
        <f t="shared" si="9"/>
        <v>211.64028518506757</v>
      </c>
      <c r="BJ9" s="185">
        <f t="shared" si="9"/>
        <v>205.22694320976245</v>
      </c>
      <c r="BK9" s="185">
        <f t="shared" si="9"/>
        <v>198.81360123445734</v>
      </c>
      <c r="BL9" s="185">
        <f t="shared" si="9"/>
        <v>192.40025925915225</v>
      </c>
      <c r="BM9" s="185">
        <f t="shared" si="9"/>
        <v>185.98691728384713</v>
      </c>
      <c r="BN9" s="185">
        <f t="shared" si="9"/>
        <v>179.57357530854208</v>
      </c>
      <c r="BO9" s="186">
        <f>SUM(BC9:BN9)</f>
        <v>2578.1634740726413</v>
      </c>
      <c r="BP9" s="185">
        <f aca="true" t="shared" si="10" ref="BP9:CA9">BO12*$B$5/12</f>
        <v>173.160233333237</v>
      </c>
      <c r="BQ9" s="185">
        <f t="shared" si="10"/>
        <v>166.7468913579319</v>
      </c>
      <c r="BR9" s="185">
        <f t="shared" si="10"/>
        <v>160.3335493826268</v>
      </c>
      <c r="BS9" s="185">
        <f t="shared" si="10"/>
        <v>153.92020740732173</v>
      </c>
      <c r="BT9" s="185">
        <f t="shared" si="10"/>
        <v>147.50686543201664</v>
      </c>
      <c r="BU9" s="185">
        <f t="shared" si="10"/>
        <v>141.09352345671155</v>
      </c>
      <c r="BV9" s="185">
        <f t="shared" si="10"/>
        <v>134.68018148140646</v>
      </c>
      <c r="BW9" s="185">
        <f t="shared" si="10"/>
        <v>128.26683950610138</v>
      </c>
      <c r="BX9" s="185">
        <f t="shared" si="10"/>
        <v>121.85349753079629</v>
      </c>
      <c r="BY9" s="185">
        <f t="shared" si="10"/>
        <v>115.44015555549119</v>
      </c>
      <c r="BZ9" s="185">
        <f t="shared" si="10"/>
        <v>109.02681358018611</v>
      </c>
      <c r="CA9" s="185">
        <f t="shared" si="10"/>
        <v>102.61347160488101</v>
      </c>
      <c r="CB9" s="186">
        <f>SUM(BP9:CA9)</f>
        <v>1654.642229628708</v>
      </c>
      <c r="CC9" s="185">
        <f aca="true" t="shared" si="11" ref="CC9:CN9">CB12*$B$5/12</f>
        <v>96.20012962957594</v>
      </c>
      <c r="CD9" s="185">
        <f t="shared" si="11"/>
        <v>89.78678765427082</v>
      </c>
      <c r="CE9" s="185">
        <f t="shared" si="11"/>
        <v>83.37344567896574</v>
      </c>
      <c r="CF9" s="185">
        <f t="shared" si="11"/>
        <v>76.96010370366064</v>
      </c>
      <c r="CG9" s="185">
        <f t="shared" si="11"/>
        <v>70.54676172835553</v>
      </c>
      <c r="CH9" s="185">
        <f t="shared" si="11"/>
        <v>64.13341975305043</v>
      </c>
      <c r="CI9" s="185">
        <f t="shared" si="11"/>
        <v>57.72007777774534</v>
      </c>
      <c r="CJ9" s="185">
        <f t="shared" si="11"/>
        <v>51.306735802440244</v>
      </c>
      <c r="CK9" s="185">
        <f t="shared" si="11"/>
        <v>44.89339382713515</v>
      </c>
      <c r="CL9" s="185">
        <f t="shared" si="11"/>
        <v>38.48005185183006</v>
      </c>
      <c r="CM9" s="185">
        <f t="shared" si="11"/>
        <v>32.06670987652497</v>
      </c>
      <c r="CN9" s="185">
        <f t="shared" si="11"/>
        <v>25.65336790121987</v>
      </c>
      <c r="CO9" s="186">
        <f>SUM(CC9:CN9)</f>
        <v>731.1209851847747</v>
      </c>
      <c r="CP9" s="185">
        <f aca="true" t="shared" si="12" ref="CP9:DA9">CO12*$B$5/12</f>
        <v>19.24002592591478</v>
      </c>
      <c r="CQ9" s="185">
        <f t="shared" si="12"/>
        <v>12.826683950609686</v>
      </c>
      <c r="CR9" s="185">
        <f t="shared" si="12"/>
        <v>6.413341975304593</v>
      </c>
      <c r="CS9" s="185">
        <f t="shared" si="12"/>
        <v>-5.013589543523267E-13</v>
      </c>
      <c r="CT9" s="185">
        <f t="shared" si="12"/>
        <v>-5.013589543523267E-13</v>
      </c>
      <c r="CU9" s="185">
        <f t="shared" si="12"/>
        <v>-5.013589543523267E-13</v>
      </c>
      <c r="CV9" s="185">
        <f t="shared" si="12"/>
        <v>-5.013589543523267E-13</v>
      </c>
      <c r="CW9" s="185">
        <f t="shared" si="12"/>
        <v>-5.013589543523267E-13</v>
      </c>
      <c r="CX9" s="185">
        <f t="shared" si="12"/>
        <v>-5.013589543523267E-13</v>
      </c>
      <c r="CY9" s="185">
        <f t="shared" si="12"/>
        <v>-5.013589543523267E-13</v>
      </c>
      <c r="CZ9" s="185">
        <f t="shared" si="12"/>
        <v>-5.013589543523267E-13</v>
      </c>
      <c r="DA9" s="185">
        <f t="shared" si="12"/>
        <v>-5.013589543523267E-13</v>
      </c>
      <c r="DB9" s="186">
        <f>SUM(CP9:DA9)</f>
        <v>38.48005185182451</v>
      </c>
    </row>
    <row r="10" spans="1:107" ht="12.75">
      <c r="A10" s="179" t="s">
        <v>12</v>
      </c>
      <c r="B10" s="184">
        <f>O10+AB10+AO10+BB10+BO10+CB10+CO10+DB10</f>
        <v>79158.96380948002</v>
      </c>
      <c r="C10" s="185"/>
      <c r="D10" s="185"/>
      <c r="E10" s="185"/>
      <c r="F10" s="190"/>
      <c r="G10" s="190"/>
      <c r="H10" s="190"/>
      <c r="I10" s="190"/>
      <c r="J10" s="190"/>
      <c r="K10" s="190"/>
      <c r="L10" s="190"/>
      <c r="M10" s="190"/>
      <c r="N10" s="190"/>
      <c r="O10" s="186">
        <f>SUM(C10:N10)</f>
        <v>0</v>
      </c>
      <c r="P10" s="190"/>
      <c r="Q10" s="190"/>
      <c r="R10" s="190"/>
      <c r="S10" s="185">
        <f aca="true" t="shared" si="13" ref="S10:AA10">$N$12/$B$13</f>
        <v>1099.4300529094446</v>
      </c>
      <c r="T10" s="185">
        <f t="shared" si="13"/>
        <v>1099.4300529094446</v>
      </c>
      <c r="U10" s="185">
        <f t="shared" si="13"/>
        <v>1099.4300529094446</v>
      </c>
      <c r="V10" s="185">
        <f t="shared" si="13"/>
        <v>1099.4300529094446</v>
      </c>
      <c r="W10" s="185">
        <f t="shared" si="13"/>
        <v>1099.4300529094446</v>
      </c>
      <c r="X10" s="185">
        <f t="shared" si="13"/>
        <v>1099.4300529094446</v>
      </c>
      <c r="Y10" s="185">
        <f t="shared" si="13"/>
        <v>1099.4300529094446</v>
      </c>
      <c r="Z10" s="185">
        <f t="shared" si="13"/>
        <v>1099.4300529094446</v>
      </c>
      <c r="AA10" s="185">
        <f t="shared" si="13"/>
        <v>1099.4300529094446</v>
      </c>
      <c r="AB10" s="186">
        <f>SUM(P10:AA10)</f>
        <v>9894.870476185002</v>
      </c>
      <c r="AC10" s="185">
        <f>$N$12/$B$13</f>
        <v>1099.4300529094446</v>
      </c>
      <c r="AD10" s="185">
        <f aca="true" t="shared" si="14" ref="AD10:CF10">$N$12/$B$13</f>
        <v>1099.4300529094446</v>
      </c>
      <c r="AE10" s="185">
        <f t="shared" si="14"/>
        <v>1099.4300529094446</v>
      </c>
      <c r="AF10" s="185">
        <f t="shared" si="14"/>
        <v>1099.4300529094446</v>
      </c>
      <c r="AG10" s="185">
        <f t="shared" si="14"/>
        <v>1099.4300529094446</v>
      </c>
      <c r="AH10" s="185">
        <f t="shared" si="14"/>
        <v>1099.4300529094446</v>
      </c>
      <c r="AI10" s="185">
        <f t="shared" si="14"/>
        <v>1099.4300529094446</v>
      </c>
      <c r="AJ10" s="185">
        <f t="shared" si="14"/>
        <v>1099.4300529094446</v>
      </c>
      <c r="AK10" s="185">
        <f t="shared" si="14"/>
        <v>1099.4300529094446</v>
      </c>
      <c r="AL10" s="185">
        <f t="shared" si="14"/>
        <v>1099.4300529094446</v>
      </c>
      <c r="AM10" s="185">
        <f t="shared" si="14"/>
        <v>1099.4300529094446</v>
      </c>
      <c r="AN10" s="185">
        <f t="shared" si="14"/>
        <v>1099.4300529094446</v>
      </c>
      <c r="AO10" s="186">
        <f>SUM(AC10:AN10)</f>
        <v>13193.160634913338</v>
      </c>
      <c r="AP10" s="185">
        <f t="shared" si="14"/>
        <v>1099.4300529094446</v>
      </c>
      <c r="AQ10" s="185">
        <f t="shared" si="14"/>
        <v>1099.4300529094446</v>
      </c>
      <c r="AR10" s="185">
        <f t="shared" si="14"/>
        <v>1099.4300529094446</v>
      </c>
      <c r="AS10" s="185">
        <f t="shared" si="14"/>
        <v>1099.4300529094446</v>
      </c>
      <c r="AT10" s="185">
        <f t="shared" si="14"/>
        <v>1099.4300529094446</v>
      </c>
      <c r="AU10" s="185">
        <f t="shared" si="14"/>
        <v>1099.4300529094446</v>
      </c>
      <c r="AV10" s="185">
        <f t="shared" si="14"/>
        <v>1099.4300529094446</v>
      </c>
      <c r="AW10" s="185">
        <f t="shared" si="14"/>
        <v>1099.4300529094446</v>
      </c>
      <c r="AX10" s="185">
        <f t="shared" si="14"/>
        <v>1099.4300529094446</v>
      </c>
      <c r="AY10" s="185">
        <f t="shared" si="14"/>
        <v>1099.4300529094446</v>
      </c>
      <c r="AZ10" s="185">
        <f t="shared" si="14"/>
        <v>1099.4300529094446</v>
      </c>
      <c r="BA10" s="185">
        <f t="shared" si="14"/>
        <v>1099.4300529094446</v>
      </c>
      <c r="BB10" s="186">
        <f>SUM(AP10:BA10)</f>
        <v>13193.160634913338</v>
      </c>
      <c r="BC10" s="185">
        <f t="shared" si="14"/>
        <v>1099.4300529094446</v>
      </c>
      <c r="BD10" s="185">
        <f t="shared" si="14"/>
        <v>1099.4300529094446</v>
      </c>
      <c r="BE10" s="185">
        <f t="shared" si="14"/>
        <v>1099.4300529094446</v>
      </c>
      <c r="BF10" s="185">
        <f t="shared" si="14"/>
        <v>1099.4300529094446</v>
      </c>
      <c r="BG10" s="185">
        <f t="shared" si="14"/>
        <v>1099.4300529094446</v>
      </c>
      <c r="BH10" s="185">
        <f t="shared" si="14"/>
        <v>1099.4300529094446</v>
      </c>
      <c r="BI10" s="185">
        <f t="shared" si="14"/>
        <v>1099.4300529094446</v>
      </c>
      <c r="BJ10" s="185">
        <f t="shared" si="14"/>
        <v>1099.4300529094446</v>
      </c>
      <c r="BK10" s="185">
        <f t="shared" si="14"/>
        <v>1099.4300529094446</v>
      </c>
      <c r="BL10" s="185">
        <f t="shared" si="14"/>
        <v>1099.4300529094446</v>
      </c>
      <c r="BM10" s="185">
        <f t="shared" si="14"/>
        <v>1099.4300529094446</v>
      </c>
      <c r="BN10" s="185">
        <f t="shared" si="14"/>
        <v>1099.4300529094446</v>
      </c>
      <c r="BO10" s="186">
        <f>SUM(BC10:BN10)</f>
        <v>13193.160634913338</v>
      </c>
      <c r="BP10" s="185">
        <f t="shared" si="14"/>
        <v>1099.4300529094446</v>
      </c>
      <c r="BQ10" s="185">
        <f t="shared" si="14"/>
        <v>1099.4300529094446</v>
      </c>
      <c r="BR10" s="185">
        <f t="shared" si="14"/>
        <v>1099.4300529094446</v>
      </c>
      <c r="BS10" s="185">
        <f t="shared" si="14"/>
        <v>1099.4300529094446</v>
      </c>
      <c r="BT10" s="185">
        <f t="shared" si="14"/>
        <v>1099.4300529094446</v>
      </c>
      <c r="BU10" s="185">
        <f t="shared" si="14"/>
        <v>1099.4300529094446</v>
      </c>
      <c r="BV10" s="185">
        <f t="shared" si="14"/>
        <v>1099.4300529094446</v>
      </c>
      <c r="BW10" s="185">
        <f t="shared" si="14"/>
        <v>1099.4300529094446</v>
      </c>
      <c r="BX10" s="185">
        <f t="shared" si="14"/>
        <v>1099.4300529094446</v>
      </c>
      <c r="BY10" s="185">
        <f t="shared" si="14"/>
        <v>1099.4300529094446</v>
      </c>
      <c r="BZ10" s="185">
        <f t="shared" si="14"/>
        <v>1099.4300529094446</v>
      </c>
      <c r="CA10" s="185">
        <f t="shared" si="14"/>
        <v>1099.4300529094446</v>
      </c>
      <c r="CB10" s="186">
        <f>SUM(BP10:CA10)</f>
        <v>13193.160634913338</v>
      </c>
      <c r="CC10" s="185">
        <f t="shared" si="14"/>
        <v>1099.4300529094446</v>
      </c>
      <c r="CD10" s="185">
        <f t="shared" si="14"/>
        <v>1099.4300529094446</v>
      </c>
      <c r="CE10" s="185">
        <f t="shared" si="14"/>
        <v>1099.4300529094446</v>
      </c>
      <c r="CF10" s="185">
        <f t="shared" si="14"/>
        <v>1099.4300529094446</v>
      </c>
      <c r="CG10" s="185">
        <f aca="true" t="shared" si="15" ref="CG10:CR10">$N$12/$B$13</f>
        <v>1099.4300529094446</v>
      </c>
      <c r="CH10" s="185">
        <f t="shared" si="15"/>
        <v>1099.4300529094446</v>
      </c>
      <c r="CI10" s="185">
        <f t="shared" si="15"/>
        <v>1099.4300529094446</v>
      </c>
      <c r="CJ10" s="185">
        <f t="shared" si="15"/>
        <v>1099.4300529094446</v>
      </c>
      <c r="CK10" s="185">
        <f t="shared" si="15"/>
        <v>1099.4300529094446</v>
      </c>
      <c r="CL10" s="185">
        <f t="shared" si="15"/>
        <v>1099.4300529094446</v>
      </c>
      <c r="CM10" s="185">
        <f t="shared" si="15"/>
        <v>1099.4300529094446</v>
      </c>
      <c r="CN10" s="185">
        <f t="shared" si="15"/>
        <v>1099.4300529094446</v>
      </c>
      <c r="CO10" s="186">
        <f>SUM(CC10:CN10)</f>
        <v>13193.160634913338</v>
      </c>
      <c r="CP10" s="185">
        <f t="shared" si="15"/>
        <v>1099.4300529094446</v>
      </c>
      <c r="CQ10" s="185">
        <f t="shared" si="15"/>
        <v>1099.4300529094446</v>
      </c>
      <c r="CR10" s="185">
        <f t="shared" si="15"/>
        <v>1099.4300529094446</v>
      </c>
      <c r="CS10" s="185"/>
      <c r="CT10" s="185"/>
      <c r="CU10" s="185"/>
      <c r="CV10" s="185"/>
      <c r="CW10" s="185"/>
      <c r="CX10" s="185"/>
      <c r="CY10" s="185"/>
      <c r="CZ10" s="185"/>
      <c r="DA10" s="185"/>
      <c r="DB10" s="186">
        <f>SUM(CP10:DA10)</f>
        <v>3298.290158728334</v>
      </c>
      <c r="DC10" s="187"/>
    </row>
    <row r="11" spans="1:107" ht="12.75">
      <c r="A11" s="179" t="s">
        <v>13</v>
      </c>
      <c r="B11" s="184">
        <f>O11+AB11+AO11+BB11+BO11+CB11+CO11+DB11</f>
        <v>18239.544577767658</v>
      </c>
      <c r="C11" s="185"/>
      <c r="D11" s="185"/>
      <c r="E11" s="185"/>
      <c r="F11" s="190"/>
      <c r="G11" s="190"/>
      <c r="H11" s="190"/>
      <c r="I11" s="190"/>
      <c r="J11" s="190"/>
      <c r="K11" s="190"/>
      <c r="L11" s="190"/>
      <c r="M11" s="190"/>
      <c r="N11" s="190"/>
      <c r="O11" s="186">
        <f>SUM(C11:N11)</f>
        <v>0</v>
      </c>
      <c r="P11" s="185">
        <f aca="true" t="shared" si="16" ref="P11:X11">P9</f>
        <v>461.7606222219668</v>
      </c>
      <c r="Q11" s="185">
        <f t="shared" si="16"/>
        <v>461.7606222219668</v>
      </c>
      <c r="R11" s="185">
        <f t="shared" si="16"/>
        <v>461.7606222219668</v>
      </c>
      <c r="S11" s="185">
        <f t="shared" si="16"/>
        <v>461.7606222219668</v>
      </c>
      <c r="T11" s="185">
        <f t="shared" si="16"/>
        <v>455.34728024666174</v>
      </c>
      <c r="U11" s="185">
        <f t="shared" si="16"/>
        <v>448.93393827135657</v>
      </c>
      <c r="V11" s="185">
        <f t="shared" si="16"/>
        <v>442.5205962960515</v>
      </c>
      <c r="W11" s="185">
        <f t="shared" si="16"/>
        <v>436.10725432074634</v>
      </c>
      <c r="X11" s="185">
        <f t="shared" si="16"/>
        <v>429.6939123454413</v>
      </c>
      <c r="Y11" s="185">
        <f aca="true" t="shared" si="17" ref="Y11:BN11">Y9</f>
        <v>423.2805703701361</v>
      </c>
      <c r="Z11" s="185">
        <f t="shared" si="17"/>
        <v>416.86722839483105</v>
      </c>
      <c r="AA11" s="185">
        <f t="shared" si="17"/>
        <v>410.453886419526</v>
      </c>
      <c r="AB11" s="186">
        <f>SUM(P11:AA11)</f>
        <v>5310.247155552617</v>
      </c>
      <c r="AC11" s="185">
        <f t="shared" si="17"/>
        <v>404.0405444442208</v>
      </c>
      <c r="AD11" s="185">
        <f t="shared" si="17"/>
        <v>397.62720246891575</v>
      </c>
      <c r="AE11" s="185">
        <f t="shared" si="17"/>
        <v>391.2138604936106</v>
      </c>
      <c r="AF11" s="185">
        <f t="shared" si="17"/>
        <v>384.8005185183055</v>
      </c>
      <c r="AG11" s="185">
        <f t="shared" si="17"/>
        <v>378.3871765430004</v>
      </c>
      <c r="AH11" s="185">
        <f t="shared" si="17"/>
        <v>371.9738345676953</v>
      </c>
      <c r="AI11" s="185">
        <f t="shared" si="17"/>
        <v>365.5604925923902</v>
      </c>
      <c r="AJ11" s="185">
        <f t="shared" si="17"/>
        <v>359.14715061708506</v>
      </c>
      <c r="AK11" s="185">
        <f t="shared" si="17"/>
        <v>352.73380864177994</v>
      </c>
      <c r="AL11" s="185">
        <f t="shared" si="17"/>
        <v>346.3204666664749</v>
      </c>
      <c r="AM11" s="185">
        <f t="shared" si="17"/>
        <v>339.9071246911697</v>
      </c>
      <c r="AN11" s="185">
        <f t="shared" si="17"/>
        <v>333.49378271586465</v>
      </c>
      <c r="AO11" s="186">
        <f>SUM(AC11:AN11)</f>
        <v>4425.205962960513</v>
      </c>
      <c r="AP11" s="185">
        <f t="shared" si="17"/>
        <v>327.08044074055954</v>
      </c>
      <c r="AQ11" s="185">
        <f t="shared" si="17"/>
        <v>320.6670987652544</v>
      </c>
      <c r="AR11" s="185">
        <f t="shared" si="17"/>
        <v>314.2537567899493</v>
      </c>
      <c r="AS11" s="185">
        <f t="shared" si="17"/>
        <v>307.8404148146442</v>
      </c>
      <c r="AT11" s="185">
        <f t="shared" si="17"/>
        <v>301.4270728393391</v>
      </c>
      <c r="AU11" s="185">
        <f t="shared" si="17"/>
        <v>295.013730864034</v>
      </c>
      <c r="AV11" s="185">
        <f t="shared" si="17"/>
        <v>288.6003888887289</v>
      </c>
      <c r="AW11" s="185">
        <f t="shared" si="17"/>
        <v>282.1870469134238</v>
      </c>
      <c r="AX11" s="185">
        <f t="shared" si="17"/>
        <v>275.77370493811867</v>
      </c>
      <c r="AY11" s="185">
        <f t="shared" si="17"/>
        <v>269.36036296281355</v>
      </c>
      <c r="AZ11" s="185">
        <f t="shared" si="17"/>
        <v>262.94702098750844</v>
      </c>
      <c r="BA11" s="185">
        <f t="shared" si="17"/>
        <v>256.5336790122033</v>
      </c>
      <c r="BB11" s="186">
        <f>SUM(AP11:BA11)</f>
        <v>3501.684718516577</v>
      </c>
      <c r="BC11" s="185">
        <f t="shared" si="17"/>
        <v>250.12033703689823</v>
      </c>
      <c r="BD11" s="185">
        <f t="shared" si="17"/>
        <v>243.70699506159312</v>
      </c>
      <c r="BE11" s="185">
        <f t="shared" si="17"/>
        <v>237.293653086288</v>
      </c>
      <c r="BF11" s="185">
        <f t="shared" si="17"/>
        <v>230.8803111109829</v>
      </c>
      <c r="BG11" s="185">
        <f t="shared" si="17"/>
        <v>224.4669691356778</v>
      </c>
      <c r="BH11" s="185">
        <f t="shared" si="17"/>
        <v>218.05362716037268</v>
      </c>
      <c r="BI11" s="185">
        <f t="shared" si="17"/>
        <v>211.64028518506757</v>
      </c>
      <c r="BJ11" s="185">
        <f t="shared" si="17"/>
        <v>205.22694320976245</v>
      </c>
      <c r="BK11" s="185">
        <f t="shared" si="17"/>
        <v>198.81360123445734</v>
      </c>
      <c r="BL11" s="185">
        <f t="shared" si="17"/>
        <v>192.40025925915225</v>
      </c>
      <c r="BM11" s="185">
        <f t="shared" si="17"/>
        <v>185.98691728384713</v>
      </c>
      <c r="BN11" s="185">
        <f t="shared" si="17"/>
        <v>179.57357530854208</v>
      </c>
      <c r="BO11" s="186">
        <f>SUM(BC11:BN11)</f>
        <v>2578.1634740726413</v>
      </c>
      <c r="BP11" s="185">
        <f aca="true" t="shared" si="18" ref="BP11:CA11">BP9</f>
        <v>173.160233333237</v>
      </c>
      <c r="BQ11" s="185">
        <f t="shared" si="18"/>
        <v>166.7468913579319</v>
      </c>
      <c r="BR11" s="185">
        <f t="shared" si="18"/>
        <v>160.3335493826268</v>
      </c>
      <c r="BS11" s="185">
        <f t="shared" si="18"/>
        <v>153.92020740732173</v>
      </c>
      <c r="BT11" s="185">
        <f t="shared" si="18"/>
        <v>147.50686543201664</v>
      </c>
      <c r="BU11" s="185">
        <f t="shared" si="18"/>
        <v>141.09352345671155</v>
      </c>
      <c r="BV11" s="185">
        <f t="shared" si="18"/>
        <v>134.68018148140646</v>
      </c>
      <c r="BW11" s="185">
        <f t="shared" si="18"/>
        <v>128.26683950610138</v>
      </c>
      <c r="BX11" s="185">
        <f t="shared" si="18"/>
        <v>121.85349753079629</v>
      </c>
      <c r="BY11" s="185">
        <f t="shared" si="18"/>
        <v>115.44015555549119</v>
      </c>
      <c r="BZ11" s="185">
        <f t="shared" si="18"/>
        <v>109.02681358018611</v>
      </c>
      <c r="CA11" s="185">
        <f t="shared" si="18"/>
        <v>102.61347160488101</v>
      </c>
      <c r="CB11" s="186">
        <f>SUM(BP11:CA11)</f>
        <v>1654.642229628708</v>
      </c>
      <c r="CC11" s="185">
        <f aca="true" t="shared" si="19" ref="CC11:CN11">CC9</f>
        <v>96.20012962957594</v>
      </c>
      <c r="CD11" s="185">
        <f t="shared" si="19"/>
        <v>89.78678765427082</v>
      </c>
      <c r="CE11" s="185">
        <f t="shared" si="19"/>
        <v>83.37344567896574</v>
      </c>
      <c r="CF11" s="185">
        <f t="shared" si="19"/>
        <v>76.96010370366064</v>
      </c>
      <c r="CG11" s="185">
        <f t="shared" si="19"/>
        <v>70.54676172835553</v>
      </c>
      <c r="CH11" s="185">
        <f t="shared" si="19"/>
        <v>64.13341975305043</v>
      </c>
      <c r="CI11" s="185">
        <f t="shared" si="19"/>
        <v>57.72007777774534</v>
      </c>
      <c r="CJ11" s="185">
        <f t="shared" si="19"/>
        <v>51.306735802440244</v>
      </c>
      <c r="CK11" s="185">
        <f t="shared" si="19"/>
        <v>44.89339382713515</v>
      </c>
      <c r="CL11" s="185">
        <f t="shared" si="19"/>
        <v>38.48005185183006</v>
      </c>
      <c r="CM11" s="185">
        <f t="shared" si="19"/>
        <v>32.06670987652497</v>
      </c>
      <c r="CN11" s="185">
        <f t="shared" si="19"/>
        <v>25.65336790121987</v>
      </c>
      <c r="CO11" s="186">
        <f>SUM(CC11:CN11)</f>
        <v>731.1209851847747</v>
      </c>
      <c r="CP11" s="185">
        <f aca="true" t="shared" si="20" ref="CP11:DA11">CP9</f>
        <v>19.24002592591478</v>
      </c>
      <c r="CQ11" s="185">
        <f t="shared" si="20"/>
        <v>12.826683950609686</v>
      </c>
      <c r="CR11" s="185">
        <f t="shared" si="20"/>
        <v>6.413341975304593</v>
      </c>
      <c r="CS11" s="185">
        <f t="shared" si="20"/>
        <v>-5.013589543523267E-13</v>
      </c>
      <c r="CT11" s="185">
        <f t="shared" si="20"/>
        <v>-5.013589543523267E-13</v>
      </c>
      <c r="CU11" s="185">
        <f t="shared" si="20"/>
        <v>-5.013589543523267E-13</v>
      </c>
      <c r="CV11" s="185">
        <f t="shared" si="20"/>
        <v>-5.013589543523267E-13</v>
      </c>
      <c r="CW11" s="185">
        <f t="shared" si="20"/>
        <v>-5.013589543523267E-13</v>
      </c>
      <c r="CX11" s="185">
        <f t="shared" si="20"/>
        <v>-5.013589543523267E-13</v>
      </c>
      <c r="CY11" s="185">
        <f t="shared" si="20"/>
        <v>-5.013589543523267E-13</v>
      </c>
      <c r="CZ11" s="185">
        <f t="shared" si="20"/>
        <v>-5.013589543523267E-13</v>
      </c>
      <c r="DA11" s="185">
        <f t="shared" si="20"/>
        <v>-5.013589543523267E-13</v>
      </c>
      <c r="DB11" s="186">
        <f>SUM(CP11:DA11)</f>
        <v>38.48005185182451</v>
      </c>
      <c r="DC11" s="187" t="s">
        <v>55</v>
      </c>
    </row>
    <row r="12" spans="1:107" ht="12.75">
      <c r="A12" s="179" t="s">
        <v>14</v>
      </c>
      <c r="B12" s="184">
        <f>DB12</f>
        <v>-8.594724931754172E-11</v>
      </c>
      <c r="C12" s="185">
        <f>C7</f>
        <v>0</v>
      </c>
      <c r="D12" s="185">
        <f>C12+D7-D10+D8</f>
        <v>0</v>
      </c>
      <c r="E12" s="185">
        <f>D12+E7-E10+E8</f>
        <v>0</v>
      </c>
      <c r="F12" s="185">
        <f>E12+F7-F10+F8</f>
        <v>23058.73620800001</v>
      </c>
      <c r="G12" s="185">
        <f aca="true" t="shared" si="21" ref="G12:M12">F12+G7-G10+G8</f>
        <v>46117.47241600002</v>
      </c>
      <c r="H12" s="185">
        <f>G12+H7-H10+H8</f>
        <v>76092.20862400002</v>
      </c>
      <c r="I12" s="185">
        <f t="shared" si="21"/>
        <v>76092.20862400002</v>
      </c>
      <c r="J12" s="185">
        <f t="shared" si="21"/>
        <v>76092.20862400002</v>
      </c>
      <c r="K12" s="185">
        <f t="shared" si="21"/>
        <v>76092.20862400002</v>
      </c>
      <c r="L12" s="185">
        <f t="shared" si="21"/>
        <v>76092.20862400002</v>
      </c>
      <c r="M12" s="185">
        <f t="shared" si="21"/>
        <v>76092.20862400002</v>
      </c>
      <c r="N12" s="185">
        <f>M12+N7-N10+N8</f>
        <v>79158.96380948002</v>
      </c>
      <c r="O12" s="186">
        <f>N12</f>
        <v>79158.96380948002</v>
      </c>
      <c r="P12" s="185">
        <f>O12+P7-P10+P8</f>
        <v>79158.96380948002</v>
      </c>
      <c r="Q12" s="185">
        <f aca="true" t="shared" si="22" ref="Q12:Z12">P12+Q7-Q10+Q8</f>
        <v>79158.96380948002</v>
      </c>
      <c r="R12" s="185">
        <f t="shared" si="22"/>
        <v>79158.96380948002</v>
      </c>
      <c r="S12" s="185">
        <f t="shared" si="22"/>
        <v>78059.53375657057</v>
      </c>
      <c r="T12" s="185">
        <f t="shared" si="22"/>
        <v>76960.10370366112</v>
      </c>
      <c r="U12" s="185">
        <f t="shared" si="22"/>
        <v>75860.67365075168</v>
      </c>
      <c r="V12" s="185">
        <f t="shared" si="22"/>
        <v>74761.24359784223</v>
      </c>
      <c r="W12" s="185">
        <f t="shared" si="22"/>
        <v>73661.81354493278</v>
      </c>
      <c r="X12" s="185">
        <f t="shared" si="22"/>
        <v>72562.38349202333</v>
      </c>
      <c r="Y12" s="185">
        <f t="shared" si="22"/>
        <v>71462.95343911389</v>
      </c>
      <c r="Z12" s="185">
        <f t="shared" si="22"/>
        <v>70363.52338620444</v>
      </c>
      <c r="AA12" s="185">
        <f>Z12+AA7-AA10+AA8</f>
        <v>69264.093333295</v>
      </c>
      <c r="AB12" s="186">
        <f>AA12</f>
        <v>69264.093333295</v>
      </c>
      <c r="AC12" s="185">
        <f>AB12+AC7-AC10+AC8</f>
        <v>68164.66328038555</v>
      </c>
      <c r="AD12" s="185">
        <f aca="true" t="shared" si="23" ref="AD12:AN12">AC12+AD7-AD10+AD8</f>
        <v>67065.2332274761</v>
      </c>
      <c r="AE12" s="185">
        <f t="shared" si="23"/>
        <v>65965.80317456665</v>
      </c>
      <c r="AF12" s="185">
        <f t="shared" si="23"/>
        <v>64866.373121657205</v>
      </c>
      <c r="AG12" s="185">
        <f t="shared" si="23"/>
        <v>63766.94306874776</v>
      </c>
      <c r="AH12" s="185">
        <f t="shared" si="23"/>
        <v>62667.51301583831</v>
      </c>
      <c r="AI12" s="185">
        <f t="shared" si="23"/>
        <v>61568.082962928864</v>
      </c>
      <c r="AJ12" s="185">
        <f t="shared" si="23"/>
        <v>60468.65291001942</v>
      </c>
      <c r="AK12" s="185">
        <f t="shared" si="23"/>
        <v>59369.22285710997</v>
      </c>
      <c r="AL12" s="185">
        <f t="shared" si="23"/>
        <v>58269.79280420052</v>
      </c>
      <c r="AM12" s="185">
        <f t="shared" si="23"/>
        <v>57170.362751291075</v>
      </c>
      <c r="AN12" s="185">
        <f t="shared" si="23"/>
        <v>56070.93269838163</v>
      </c>
      <c r="AO12" s="186">
        <f>AN12</f>
        <v>56070.93269838163</v>
      </c>
      <c r="AP12" s="185">
        <f>AO12+AP7-AP10+AP8</f>
        <v>54971.50264547218</v>
      </c>
      <c r="AQ12" s="185">
        <f aca="true" t="shared" si="24" ref="AQ12:BA12">AP12+AQ7-AQ10+AQ8</f>
        <v>53872.072592562734</v>
      </c>
      <c r="AR12" s="185">
        <f t="shared" si="24"/>
        <v>52772.64253965329</v>
      </c>
      <c r="AS12" s="185">
        <f t="shared" si="24"/>
        <v>51673.21248674384</v>
      </c>
      <c r="AT12" s="185">
        <f t="shared" si="24"/>
        <v>50573.78243383439</v>
      </c>
      <c r="AU12" s="185">
        <f t="shared" si="24"/>
        <v>49474.352380924945</v>
      </c>
      <c r="AV12" s="185">
        <f t="shared" si="24"/>
        <v>48374.9223280155</v>
      </c>
      <c r="AW12" s="185">
        <f t="shared" si="24"/>
        <v>47275.49227510605</v>
      </c>
      <c r="AX12" s="185">
        <f t="shared" si="24"/>
        <v>46176.062222196604</v>
      </c>
      <c r="AY12" s="185">
        <f t="shared" si="24"/>
        <v>45076.63216928716</v>
      </c>
      <c r="AZ12" s="185">
        <f t="shared" si="24"/>
        <v>43977.20211637771</v>
      </c>
      <c r="BA12" s="185">
        <f t="shared" si="24"/>
        <v>42877.77206346826</v>
      </c>
      <c r="BB12" s="186">
        <f>BA12</f>
        <v>42877.77206346826</v>
      </c>
      <c r="BC12" s="185">
        <f>BB12+BC7-BC10+BC8</f>
        <v>41778.342010558816</v>
      </c>
      <c r="BD12" s="185">
        <f aca="true" t="shared" si="25" ref="BD12:BN12">BC12+BD7-BD10+BD8</f>
        <v>40678.91195764937</v>
      </c>
      <c r="BE12" s="185">
        <f t="shared" si="25"/>
        <v>39579.48190473992</v>
      </c>
      <c r="BF12" s="185">
        <f t="shared" si="25"/>
        <v>38480.051851830474</v>
      </c>
      <c r="BG12" s="185">
        <f t="shared" si="25"/>
        <v>37380.62179892103</v>
      </c>
      <c r="BH12" s="185">
        <f t="shared" si="25"/>
        <v>36281.19174601158</v>
      </c>
      <c r="BI12" s="185">
        <f t="shared" si="25"/>
        <v>35181.76169310213</v>
      </c>
      <c r="BJ12" s="185">
        <f t="shared" si="25"/>
        <v>34082.331640192686</v>
      </c>
      <c r="BK12" s="185">
        <f t="shared" si="25"/>
        <v>32982.90158728324</v>
      </c>
      <c r="BL12" s="185">
        <f t="shared" si="25"/>
        <v>31883.471534373795</v>
      </c>
      <c r="BM12" s="185">
        <f t="shared" si="25"/>
        <v>30784.04148146435</v>
      </c>
      <c r="BN12" s="185">
        <f t="shared" si="25"/>
        <v>29684.61142855491</v>
      </c>
      <c r="BO12" s="186">
        <f>BN12</f>
        <v>29684.61142855491</v>
      </c>
      <c r="BP12" s="185">
        <f aca="true" t="shared" si="26" ref="BP12:CA12">BO12+BP7-BP10+BP8</f>
        <v>28585.181375645465</v>
      </c>
      <c r="BQ12" s="185">
        <f t="shared" si="26"/>
        <v>27485.75132273602</v>
      </c>
      <c r="BR12" s="185">
        <f t="shared" si="26"/>
        <v>26386.321269826578</v>
      </c>
      <c r="BS12" s="185">
        <f t="shared" si="26"/>
        <v>25286.891216917134</v>
      </c>
      <c r="BT12" s="185">
        <f t="shared" si="26"/>
        <v>24187.46116400769</v>
      </c>
      <c r="BU12" s="185">
        <f t="shared" si="26"/>
        <v>23088.031111098247</v>
      </c>
      <c r="BV12" s="185">
        <f t="shared" si="26"/>
        <v>21988.601058188804</v>
      </c>
      <c r="BW12" s="185">
        <f t="shared" si="26"/>
        <v>20889.17100527936</v>
      </c>
      <c r="BX12" s="185">
        <f t="shared" si="26"/>
        <v>19789.740952369917</v>
      </c>
      <c r="BY12" s="185">
        <f t="shared" si="26"/>
        <v>18690.310899460474</v>
      </c>
      <c r="BZ12" s="185">
        <f t="shared" si="26"/>
        <v>17590.88084655103</v>
      </c>
      <c r="CA12" s="185">
        <f t="shared" si="26"/>
        <v>16491.450793641587</v>
      </c>
      <c r="CB12" s="186">
        <f>CA12</f>
        <v>16491.450793641587</v>
      </c>
      <c r="CC12" s="185">
        <f aca="true" t="shared" si="27" ref="CC12:CN12">CB12+CC7-CC10+CC8</f>
        <v>15392.020740732141</v>
      </c>
      <c r="CD12" s="185">
        <f t="shared" si="27"/>
        <v>14292.590687822696</v>
      </c>
      <c r="CE12" s="185">
        <f t="shared" si="27"/>
        <v>13193.16063491325</v>
      </c>
      <c r="CF12" s="185">
        <f t="shared" si="27"/>
        <v>12093.730582003805</v>
      </c>
      <c r="CG12" s="185">
        <f t="shared" si="27"/>
        <v>10994.30052909436</v>
      </c>
      <c r="CH12" s="185">
        <f t="shared" si="27"/>
        <v>9894.870476184915</v>
      </c>
      <c r="CI12" s="185">
        <f t="shared" si="27"/>
        <v>8795.44042327547</v>
      </c>
      <c r="CJ12" s="185">
        <f t="shared" si="27"/>
        <v>7696.010370366025</v>
      </c>
      <c r="CK12" s="185">
        <f t="shared" si="27"/>
        <v>6596.580317456581</v>
      </c>
      <c r="CL12" s="185">
        <f t="shared" si="27"/>
        <v>5497.150264547136</v>
      </c>
      <c r="CM12" s="185">
        <f t="shared" si="27"/>
        <v>4397.720211637692</v>
      </c>
      <c r="CN12" s="185">
        <f t="shared" si="27"/>
        <v>3298.2901587282477</v>
      </c>
      <c r="CO12" s="186">
        <f>CN12</f>
        <v>3298.2901587282477</v>
      </c>
      <c r="CP12" s="185">
        <f aca="true" t="shared" si="28" ref="CP12:DA12">CO12+CP7-CP10+CP8</f>
        <v>2198.8601058188033</v>
      </c>
      <c r="CQ12" s="185">
        <f t="shared" si="28"/>
        <v>1099.4300529093587</v>
      </c>
      <c r="CR12" s="185">
        <f t="shared" si="28"/>
        <v>-8.594724931754172E-11</v>
      </c>
      <c r="CS12" s="185">
        <f t="shared" si="28"/>
        <v>-8.594724931754172E-11</v>
      </c>
      <c r="CT12" s="185">
        <f t="shared" si="28"/>
        <v>-8.594724931754172E-11</v>
      </c>
      <c r="CU12" s="185">
        <f t="shared" si="28"/>
        <v>-8.594724931754172E-11</v>
      </c>
      <c r="CV12" s="185">
        <f t="shared" si="28"/>
        <v>-8.594724931754172E-11</v>
      </c>
      <c r="CW12" s="185">
        <f t="shared" si="28"/>
        <v>-8.594724931754172E-11</v>
      </c>
      <c r="CX12" s="185">
        <f t="shared" si="28"/>
        <v>-8.594724931754172E-11</v>
      </c>
      <c r="CY12" s="185">
        <f t="shared" si="28"/>
        <v>-8.594724931754172E-11</v>
      </c>
      <c r="CZ12" s="185">
        <f t="shared" si="28"/>
        <v>-8.594724931754172E-11</v>
      </c>
      <c r="DA12" s="185">
        <f t="shared" si="28"/>
        <v>-8.594724931754172E-11</v>
      </c>
      <c r="DB12" s="186">
        <f>DA12</f>
        <v>-8.594724931754172E-11</v>
      </c>
      <c r="DC12" s="191">
        <f>MAX(C12:DB12)</f>
        <v>79158.96380948002</v>
      </c>
    </row>
    <row r="13" spans="1:107" ht="12.75">
      <c r="A13" s="171" t="s">
        <v>75</v>
      </c>
      <c r="B13" s="171">
        <f>Исх!C54*12-Исх!C55</f>
        <v>72</v>
      </c>
      <c r="DC13" s="174"/>
    </row>
    <row r="16" ht="12.75" outlineLevel="1">
      <c r="A16" s="192">
        <f>B7+B8-B10</f>
        <v>0</v>
      </c>
    </row>
    <row r="17" ht="12.75" outlineLevel="1">
      <c r="A17" s="192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22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J24" sqref="J24"/>
    </sheetView>
  </sheetViews>
  <sheetFormatPr defaultColWidth="8.875" defaultRowHeight="12.75" outlineLevelRow="1" outlineLevelCol="1"/>
  <cols>
    <col min="1" max="1" width="36.25390625" style="70" customWidth="1"/>
    <col min="2" max="2" width="10.00390625" style="70" customWidth="1"/>
    <col min="3" max="3" width="9.00390625" style="70" customWidth="1"/>
    <col min="4" max="4" width="10.00390625" style="70" customWidth="1"/>
    <col min="5" max="7" width="4.875" style="70" customWidth="1" outlineLevel="1"/>
    <col min="8" max="10" width="6.625" style="70" bestFit="1" customWidth="1" outlineLevel="1"/>
    <col min="11" max="16" width="5.25390625" style="70" customWidth="1" outlineLevel="1"/>
    <col min="17" max="17" width="10.125" style="70" customWidth="1"/>
    <col min="18" max="18" width="8.375" style="70" customWidth="1"/>
    <col min="19" max="19" width="16.00390625" style="70" customWidth="1"/>
    <col min="20" max="20" width="12.875" style="70" bestFit="1" customWidth="1"/>
    <col min="21" max="16384" width="8.875" style="70" customWidth="1"/>
  </cols>
  <sheetData>
    <row r="1" ht="8.25" customHeight="1"/>
    <row r="2" spans="1:19" ht="12.75">
      <c r="A2" s="60" t="s">
        <v>235</v>
      </c>
      <c r="B2" s="167"/>
      <c r="Q2" s="143" t="s">
        <v>56</v>
      </c>
      <c r="R2" s="193"/>
      <c r="S2" s="165"/>
    </row>
    <row r="3" spans="1:19" ht="17.25" customHeight="1">
      <c r="A3" s="338" t="s">
        <v>185</v>
      </c>
      <c r="B3" s="339" t="s">
        <v>155</v>
      </c>
      <c r="C3" s="339" t="s">
        <v>156</v>
      </c>
      <c r="D3" s="340" t="s">
        <v>154</v>
      </c>
      <c r="E3" s="335">
        <v>2014</v>
      </c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  <c r="Q3" s="85" t="s">
        <v>0</v>
      </c>
      <c r="R3" s="193"/>
      <c r="S3" s="194"/>
    </row>
    <row r="4" spans="1:17" ht="27" customHeight="1">
      <c r="A4" s="338"/>
      <c r="B4" s="339"/>
      <c r="C4" s="339"/>
      <c r="D4" s="340"/>
      <c r="E4" s="195">
        <v>1</v>
      </c>
      <c r="F4" s="195">
        <v>2</v>
      </c>
      <c r="G4" s="195">
        <v>3</v>
      </c>
      <c r="H4" s="195">
        <v>4</v>
      </c>
      <c r="I4" s="195">
        <v>5</v>
      </c>
      <c r="J4" s="195">
        <v>6</v>
      </c>
      <c r="K4" s="195">
        <v>7</v>
      </c>
      <c r="L4" s="195">
        <v>8</v>
      </c>
      <c r="M4" s="195">
        <v>9</v>
      </c>
      <c r="N4" s="195">
        <v>10</v>
      </c>
      <c r="O4" s="195">
        <v>11</v>
      </c>
      <c r="P4" s="195">
        <v>12</v>
      </c>
      <c r="Q4" s="87">
        <v>2014</v>
      </c>
    </row>
    <row r="5" spans="1:17" s="60" customFormat="1" ht="12.75">
      <c r="A5" s="196" t="s">
        <v>184</v>
      </c>
      <c r="B5" s="197"/>
      <c r="C5" s="197"/>
      <c r="D5" s="140">
        <f aca="true" t="shared" si="0" ref="D5:Q5">SUM(D6:D7)</f>
        <v>33217.80862400001</v>
      </c>
      <c r="E5" s="140">
        <f t="shared" si="0"/>
        <v>0</v>
      </c>
      <c r="F5" s="140">
        <f t="shared" si="0"/>
        <v>0</v>
      </c>
      <c r="G5" s="140">
        <f t="shared" si="0"/>
        <v>0</v>
      </c>
      <c r="H5" s="140">
        <f t="shared" si="0"/>
        <v>11072.60287466667</v>
      </c>
      <c r="I5" s="140">
        <f t="shared" si="0"/>
        <v>11072.60287466667</v>
      </c>
      <c r="J5" s="140">
        <f t="shared" si="0"/>
        <v>11072.60287466667</v>
      </c>
      <c r="K5" s="140">
        <f t="shared" si="0"/>
        <v>0</v>
      </c>
      <c r="L5" s="140">
        <f t="shared" si="0"/>
        <v>0</v>
      </c>
      <c r="M5" s="140">
        <f t="shared" si="0"/>
        <v>0</v>
      </c>
      <c r="N5" s="140">
        <f t="shared" si="0"/>
        <v>0</v>
      </c>
      <c r="O5" s="140">
        <f t="shared" si="0"/>
        <v>0</v>
      </c>
      <c r="P5" s="140">
        <f t="shared" si="0"/>
        <v>0</v>
      </c>
      <c r="Q5" s="140">
        <f t="shared" si="0"/>
        <v>33217.80862400001</v>
      </c>
    </row>
    <row r="6" spans="1:19" ht="25.5" outlineLevel="1">
      <c r="A6" s="229" t="s">
        <v>261</v>
      </c>
      <c r="B6" s="228">
        <f>18*99</f>
        <v>1782</v>
      </c>
      <c r="C6" s="283">
        <f>5848.7*Исх!$C$7*1.1*1.12/B6</f>
        <v>18.64074558024692</v>
      </c>
      <c r="D6" s="147">
        <f>B6*C6</f>
        <v>33217.80862400001</v>
      </c>
      <c r="E6" s="147"/>
      <c r="F6" s="147"/>
      <c r="G6" s="147"/>
      <c r="H6" s="147">
        <f>$D6/3</f>
        <v>11072.60287466667</v>
      </c>
      <c r="I6" s="147">
        <f>$D6/3</f>
        <v>11072.60287466667</v>
      </c>
      <c r="J6" s="147">
        <f>$D6/3</f>
        <v>11072.60287466667</v>
      </c>
      <c r="K6" s="147"/>
      <c r="L6" s="147"/>
      <c r="M6" s="147"/>
      <c r="N6" s="147"/>
      <c r="O6" s="147"/>
      <c r="P6" s="147"/>
      <c r="Q6" s="148">
        <f>SUM(E6:P6)</f>
        <v>33217.80862400001</v>
      </c>
      <c r="R6" s="217" t="s">
        <v>262</v>
      </c>
      <c r="S6" s="60"/>
    </row>
    <row r="7" spans="1:19" ht="12.75" hidden="1" outlineLevel="1">
      <c r="A7" s="198"/>
      <c r="B7" s="78"/>
      <c r="C7" s="141"/>
      <c r="D7" s="147">
        <f>B7*C7</f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>
        <f>SUM(E7:P7)</f>
        <v>0</v>
      </c>
      <c r="S7" s="60"/>
    </row>
    <row r="8" spans="1:19" ht="12.75" collapsed="1">
      <c r="A8" s="196" t="s">
        <v>103</v>
      </c>
      <c r="B8" s="197"/>
      <c r="C8" s="197"/>
      <c r="D8" s="140">
        <f aca="true" t="shared" si="1" ref="D8:Q8">SUM(D9:D11)</f>
        <v>35958.40000000001</v>
      </c>
      <c r="E8" s="140">
        <f t="shared" si="1"/>
        <v>0</v>
      </c>
      <c r="F8" s="140">
        <f t="shared" si="1"/>
        <v>0</v>
      </c>
      <c r="G8" s="140">
        <f t="shared" si="1"/>
        <v>0</v>
      </c>
      <c r="H8" s="140">
        <f t="shared" si="1"/>
        <v>11986.133333333337</v>
      </c>
      <c r="I8" s="140">
        <f t="shared" si="1"/>
        <v>11986.133333333337</v>
      </c>
      <c r="J8" s="140">
        <f t="shared" si="1"/>
        <v>11986.133333333337</v>
      </c>
      <c r="K8" s="140">
        <f t="shared" si="1"/>
        <v>0</v>
      </c>
      <c r="L8" s="140">
        <f t="shared" si="1"/>
        <v>0</v>
      </c>
      <c r="M8" s="140">
        <f t="shared" si="1"/>
        <v>0</v>
      </c>
      <c r="N8" s="140">
        <f t="shared" si="1"/>
        <v>0</v>
      </c>
      <c r="O8" s="140">
        <f t="shared" si="1"/>
        <v>0</v>
      </c>
      <c r="P8" s="140">
        <f t="shared" si="1"/>
        <v>0</v>
      </c>
      <c r="Q8" s="140">
        <f t="shared" si="1"/>
        <v>35958.40000000001</v>
      </c>
      <c r="S8" s="60"/>
    </row>
    <row r="9" spans="1:19" ht="25.5" outlineLevel="1">
      <c r="A9" s="221" t="s">
        <v>263</v>
      </c>
      <c r="B9" s="142">
        <f>Исх!$C$25</f>
        <v>28</v>
      </c>
      <c r="C9" s="141">
        <f>5*Исх!$C$6*1.1*1.12</f>
        <v>1262.8000000000002</v>
      </c>
      <c r="D9" s="147">
        <f>B9*C9</f>
        <v>35358.40000000001</v>
      </c>
      <c r="E9" s="147"/>
      <c r="F9" s="147"/>
      <c r="G9" s="147"/>
      <c r="H9" s="147">
        <f>$D9/3</f>
        <v>11786.133333333337</v>
      </c>
      <c r="I9" s="147">
        <f aca="true" t="shared" si="2" ref="I9:J11">$D9/3</f>
        <v>11786.133333333337</v>
      </c>
      <c r="J9" s="147">
        <f t="shared" si="2"/>
        <v>11786.133333333337</v>
      </c>
      <c r="K9" s="147"/>
      <c r="L9" s="147"/>
      <c r="M9" s="147"/>
      <c r="N9" s="147"/>
      <c r="O9" s="147"/>
      <c r="P9" s="147"/>
      <c r="Q9" s="148">
        <f>SUM(E9:P9)</f>
        <v>35358.40000000001</v>
      </c>
      <c r="R9" s="70" t="s">
        <v>267</v>
      </c>
      <c r="S9" s="60"/>
    </row>
    <row r="10" spans="1:19" ht="12.75" hidden="1" outlineLevel="1">
      <c r="A10" s="199"/>
      <c r="B10" s="141"/>
      <c r="C10" s="141"/>
      <c r="D10" s="147">
        <f>B10*C10</f>
        <v>0</v>
      </c>
      <c r="E10" s="147"/>
      <c r="F10" s="147"/>
      <c r="G10" s="147"/>
      <c r="H10" s="147">
        <f>$D10/3</f>
        <v>0</v>
      </c>
      <c r="I10" s="147">
        <f t="shared" si="2"/>
        <v>0</v>
      </c>
      <c r="J10" s="147">
        <f t="shared" si="2"/>
        <v>0</v>
      </c>
      <c r="K10" s="147"/>
      <c r="L10" s="147"/>
      <c r="M10" s="147"/>
      <c r="N10" s="147"/>
      <c r="O10" s="147"/>
      <c r="P10" s="147"/>
      <c r="Q10" s="148">
        <f>SUM(E10:P10)</f>
        <v>0</v>
      </c>
      <c r="S10" s="60"/>
    </row>
    <row r="11" spans="1:19" ht="12.75" outlineLevel="1">
      <c r="A11" s="199" t="s">
        <v>322</v>
      </c>
      <c r="B11" s="141">
        <v>1</v>
      </c>
      <c r="C11" s="141">
        <v>600</v>
      </c>
      <c r="D11" s="147">
        <f>B11*C11</f>
        <v>600</v>
      </c>
      <c r="E11" s="147"/>
      <c r="F11" s="147"/>
      <c r="G11" s="147"/>
      <c r="H11" s="147">
        <f>$D11/3</f>
        <v>200</v>
      </c>
      <c r="I11" s="147">
        <f t="shared" si="2"/>
        <v>200</v>
      </c>
      <c r="J11" s="147">
        <f t="shared" si="2"/>
        <v>200</v>
      </c>
      <c r="K11" s="147"/>
      <c r="L11" s="147"/>
      <c r="M11" s="147"/>
      <c r="N11" s="147"/>
      <c r="O11" s="147"/>
      <c r="P11" s="147"/>
      <c r="Q11" s="148">
        <f>SUM(E11:P11)</f>
        <v>600</v>
      </c>
      <c r="S11" s="60"/>
    </row>
    <row r="12" spans="1:19" ht="12.75">
      <c r="A12" s="196" t="s">
        <v>260</v>
      </c>
      <c r="B12" s="197"/>
      <c r="C12" s="197"/>
      <c r="D12" s="140">
        <f aca="true" t="shared" si="3" ref="D12:Q12">SUM(D13:D15)</f>
        <v>6916</v>
      </c>
      <c r="E12" s="140">
        <f t="shared" si="3"/>
        <v>0</v>
      </c>
      <c r="F12" s="140">
        <f t="shared" si="3"/>
        <v>0</v>
      </c>
      <c r="G12" s="140">
        <f t="shared" si="3"/>
        <v>0</v>
      </c>
      <c r="H12" s="140">
        <f t="shared" si="3"/>
        <v>0</v>
      </c>
      <c r="I12" s="140">
        <f t="shared" si="3"/>
        <v>0</v>
      </c>
      <c r="J12" s="140">
        <f t="shared" si="3"/>
        <v>6916</v>
      </c>
      <c r="K12" s="140">
        <f t="shared" si="3"/>
        <v>0</v>
      </c>
      <c r="L12" s="140">
        <f t="shared" si="3"/>
        <v>0</v>
      </c>
      <c r="M12" s="140">
        <f t="shared" si="3"/>
        <v>0</v>
      </c>
      <c r="N12" s="140">
        <f t="shared" si="3"/>
        <v>0</v>
      </c>
      <c r="O12" s="140">
        <f t="shared" si="3"/>
        <v>0</v>
      </c>
      <c r="P12" s="140">
        <f t="shared" si="3"/>
        <v>0</v>
      </c>
      <c r="Q12" s="140">
        <f t="shared" si="3"/>
        <v>6916</v>
      </c>
      <c r="S12" s="60"/>
    </row>
    <row r="13" spans="1:19" ht="12.75" outlineLevel="1">
      <c r="A13" s="221" t="s">
        <v>272</v>
      </c>
      <c r="B13" s="142">
        <f>Исх!$C26*1000</f>
        <v>14000</v>
      </c>
      <c r="C13" s="292">
        <f>190/1000</f>
        <v>0.19</v>
      </c>
      <c r="D13" s="147">
        <f>B13*C13</f>
        <v>2660</v>
      </c>
      <c r="E13" s="147"/>
      <c r="F13" s="147"/>
      <c r="G13" s="147"/>
      <c r="H13" s="147"/>
      <c r="I13" s="147"/>
      <c r="J13" s="147">
        <f>D13</f>
        <v>2660</v>
      </c>
      <c r="K13" s="147"/>
      <c r="L13" s="147"/>
      <c r="M13" s="147"/>
      <c r="N13" s="147"/>
      <c r="O13" s="147"/>
      <c r="P13" s="147"/>
      <c r="Q13" s="148">
        <f>SUM(E13:P13)</f>
        <v>2660</v>
      </c>
      <c r="R13" s="217" t="s">
        <v>275</v>
      </c>
      <c r="S13" s="60"/>
    </row>
    <row r="14" spans="1:19" ht="12.75" outlineLevel="1">
      <c r="A14" s="199" t="s">
        <v>273</v>
      </c>
      <c r="B14" s="142">
        <f>Исх!$C27*1000</f>
        <v>9799.999999999998</v>
      </c>
      <c r="C14" s="292">
        <f>220/1000</f>
        <v>0.22</v>
      </c>
      <c r="D14" s="147">
        <f>B14*C14</f>
        <v>2155.9999999999995</v>
      </c>
      <c r="E14" s="147"/>
      <c r="F14" s="147"/>
      <c r="G14" s="147"/>
      <c r="H14" s="147"/>
      <c r="I14" s="147"/>
      <c r="J14" s="147">
        <f>D14</f>
        <v>2155.9999999999995</v>
      </c>
      <c r="K14" s="147"/>
      <c r="L14" s="147"/>
      <c r="M14" s="147"/>
      <c r="N14" s="147"/>
      <c r="O14" s="147"/>
      <c r="P14" s="147"/>
      <c r="Q14" s="148">
        <f>SUM(E14:P14)</f>
        <v>2155.9999999999995</v>
      </c>
      <c r="R14" s="217" t="s">
        <v>276</v>
      </c>
      <c r="S14" s="257"/>
    </row>
    <row r="15" spans="1:19" ht="12.75" outlineLevel="1">
      <c r="A15" s="199" t="s">
        <v>274</v>
      </c>
      <c r="B15" s="142">
        <f>Исх!$C28*1000</f>
        <v>4200.000000000001</v>
      </c>
      <c r="C15" s="292">
        <f>500/1000</f>
        <v>0.5</v>
      </c>
      <c r="D15" s="147">
        <f>B15*C15</f>
        <v>2100.0000000000005</v>
      </c>
      <c r="E15" s="147"/>
      <c r="F15" s="147"/>
      <c r="G15" s="147"/>
      <c r="H15" s="147"/>
      <c r="I15" s="147"/>
      <c r="J15" s="147">
        <f>D15</f>
        <v>2100.0000000000005</v>
      </c>
      <c r="K15" s="147"/>
      <c r="L15" s="147"/>
      <c r="M15" s="147"/>
      <c r="N15" s="147"/>
      <c r="O15" s="147"/>
      <c r="P15" s="147"/>
      <c r="Q15" s="148">
        <f>SUM(E15:P15)</f>
        <v>2100.0000000000005</v>
      </c>
      <c r="R15" s="217" t="s">
        <v>277</v>
      </c>
      <c r="S15" s="257"/>
    </row>
    <row r="16" spans="1:17" ht="12.75">
      <c r="A16" s="137" t="s">
        <v>0</v>
      </c>
      <c r="B16" s="161"/>
      <c r="C16" s="161"/>
      <c r="D16" s="161">
        <f aca="true" t="shared" si="4" ref="D16:Q16">D5+D8+D12</f>
        <v>76092.20862400002</v>
      </c>
      <c r="E16" s="161">
        <f t="shared" si="4"/>
        <v>0</v>
      </c>
      <c r="F16" s="161">
        <f t="shared" si="4"/>
        <v>0</v>
      </c>
      <c r="G16" s="161">
        <f t="shared" si="4"/>
        <v>0</v>
      </c>
      <c r="H16" s="161">
        <f t="shared" si="4"/>
        <v>23058.73620800001</v>
      </c>
      <c r="I16" s="161">
        <f t="shared" si="4"/>
        <v>23058.73620800001</v>
      </c>
      <c r="J16" s="161">
        <f t="shared" si="4"/>
        <v>29974.73620800001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1">
        <f t="shared" si="4"/>
        <v>0</v>
      </c>
      <c r="O16" s="161">
        <f t="shared" si="4"/>
        <v>0</v>
      </c>
      <c r="P16" s="161">
        <f t="shared" si="4"/>
        <v>0</v>
      </c>
      <c r="Q16" s="161">
        <f t="shared" si="4"/>
        <v>76092.20862400002</v>
      </c>
    </row>
    <row r="17" ht="12.75">
      <c r="D17" s="193">
        <f>D16-Q16</f>
        <v>0</v>
      </c>
    </row>
    <row r="18" spans="2:4" ht="12.75">
      <c r="B18" s="143" t="s">
        <v>56</v>
      </c>
      <c r="C18" s="193" t="s">
        <v>40</v>
      </c>
      <c r="D18" s="200" t="s">
        <v>95</v>
      </c>
    </row>
    <row r="19" spans="1:12" ht="12.75">
      <c r="A19" s="70" t="s">
        <v>108</v>
      </c>
      <c r="B19" s="193">
        <f>Q5</f>
        <v>33217.80862400001</v>
      </c>
      <c r="C19" s="193">
        <f>B19/Исх!$C$21</f>
        <v>33217.80862400001</v>
      </c>
      <c r="D19" s="162">
        <f>B19/Исх!$C$5</f>
        <v>219.20158785799137</v>
      </c>
      <c r="L19" s="167"/>
    </row>
    <row r="20" spans="1:12" ht="12.75">
      <c r="A20" s="70" t="s">
        <v>103</v>
      </c>
      <c r="B20" s="193">
        <f>Q8</f>
        <v>35958.40000000001</v>
      </c>
      <c r="C20" s="193">
        <f>B20/Исх!$C$21</f>
        <v>35958.40000000001</v>
      </c>
      <c r="D20" s="162">
        <f>B20/Исх!$C$5</f>
        <v>237.28652500989844</v>
      </c>
      <c r="L20" s="167"/>
    </row>
    <row r="21" spans="1:12" ht="12.75">
      <c r="A21" s="70" t="s">
        <v>190</v>
      </c>
      <c r="B21" s="193">
        <f>Q12</f>
        <v>6916</v>
      </c>
      <c r="C21" s="193">
        <f>B21/Исх!$C$21</f>
        <v>6916</v>
      </c>
      <c r="D21" s="162">
        <f>B21/Исх!$C$5</f>
        <v>45.63811534908275</v>
      </c>
      <c r="L21" s="167"/>
    </row>
    <row r="22" spans="1:4" ht="12.75">
      <c r="A22" s="60" t="s">
        <v>85</v>
      </c>
      <c r="B22" s="201">
        <f>SUM(B19:B21)</f>
        <v>76092.20862400002</v>
      </c>
      <c r="C22" s="201">
        <f>SUM(C19:C21)</f>
        <v>76092.20862400002</v>
      </c>
      <c r="D22" s="268">
        <f>SUM(D19:D21)</f>
        <v>502.12622821697255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R6" r:id="rId1" display="http://www.bvz.nn.ru/Proekty/spyder/ptizeferma1800.html"/>
    <hyperlink ref="R14" r:id="rId2" display="http://www.kz.all.biz/utyata-sutochnye-bgg1083331"/>
    <hyperlink ref="R15" r:id="rId3" display="http://almatycity.olx.kz/iid-504477704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0" customWidth="1"/>
    <col min="2" max="2" width="7.875" style="70" hidden="1" customWidth="1"/>
    <col min="3" max="16384" width="9.125" style="70" customWidth="1"/>
  </cols>
  <sheetData>
    <row r="1" spans="1:6" ht="12.75">
      <c r="A1" s="60" t="s">
        <v>71</v>
      </c>
      <c r="B1" s="60"/>
      <c r="C1" s="60"/>
      <c r="D1" s="60"/>
      <c r="E1" s="60"/>
      <c r="F1" s="60"/>
    </row>
    <row r="2" spans="1:9" ht="12.75">
      <c r="A2" s="202"/>
      <c r="B2" s="202"/>
      <c r="C2" s="202"/>
      <c r="D2" s="202"/>
      <c r="E2" s="202"/>
      <c r="F2" s="202"/>
      <c r="I2" s="143" t="str">
        <f>Исх!$C$10</f>
        <v>тыс.тг.</v>
      </c>
    </row>
    <row r="3" spans="1:9" ht="12.75">
      <c r="A3" s="212" t="s">
        <v>8</v>
      </c>
      <c r="B3" s="219">
        <v>2014</v>
      </c>
      <c r="C3" s="219">
        <f aca="true" t="shared" si="0" ref="C3:I3">B3+1</f>
        <v>2015</v>
      </c>
      <c r="D3" s="219">
        <f t="shared" si="0"/>
        <v>2016</v>
      </c>
      <c r="E3" s="219">
        <f t="shared" si="0"/>
        <v>2017</v>
      </c>
      <c r="F3" s="219">
        <f t="shared" si="0"/>
        <v>2018</v>
      </c>
      <c r="G3" s="219">
        <f t="shared" si="0"/>
        <v>2019</v>
      </c>
      <c r="H3" s="219">
        <f t="shared" si="0"/>
        <v>2020</v>
      </c>
      <c r="I3" s="219">
        <f t="shared" si="0"/>
        <v>2021</v>
      </c>
    </row>
    <row r="4" spans="1:9" ht="12.75">
      <c r="A4" s="203" t="s">
        <v>348</v>
      </c>
      <c r="B4" s="204">
        <f>'2-ф2'!P5</f>
        <v>0</v>
      </c>
      <c r="C4" s="204">
        <f>'2-ф2'!AC5</f>
        <v>114942.8</v>
      </c>
      <c r="D4" s="204">
        <f>'2-ф2'!AD5</f>
        <v>114942.80000000002</v>
      </c>
      <c r="E4" s="204">
        <f>'2-ф2'!AE5</f>
        <v>114942.80000000002</v>
      </c>
      <c r="F4" s="204">
        <f>'2-ф2'!AF5</f>
        <v>114942.80000000002</v>
      </c>
      <c r="G4" s="204">
        <f>'2-ф2'!AG5</f>
        <v>114942.80000000002</v>
      </c>
      <c r="H4" s="204">
        <f>'2-ф2'!AH5</f>
        <v>114942.80000000002</v>
      </c>
      <c r="I4" s="204">
        <f>'2-ф2'!AI5</f>
        <v>114942.80000000002</v>
      </c>
    </row>
    <row r="5" spans="1:9" ht="12.75">
      <c r="A5" s="203" t="s">
        <v>86</v>
      </c>
      <c r="B5" s="205">
        <f aca="true" t="shared" si="1" ref="B5:H5">B4-B6</f>
        <v>-48894.96412441334</v>
      </c>
      <c r="C5" s="205">
        <f t="shared" si="1"/>
        <v>17976.134966580707</v>
      </c>
      <c r="D5" s="205">
        <f t="shared" si="1"/>
        <v>18861.17615917283</v>
      </c>
      <c r="E5" s="205">
        <f t="shared" si="1"/>
        <v>19784.697403616767</v>
      </c>
      <c r="F5" s="205">
        <f t="shared" si="1"/>
        <v>20708.218648060705</v>
      </c>
      <c r="G5" s="205">
        <f t="shared" si="1"/>
        <v>21631.739892504644</v>
      </c>
      <c r="H5" s="205">
        <f t="shared" si="1"/>
        <v>22555.261136948568</v>
      </c>
      <c r="I5" s="205">
        <f>I4-I6</f>
        <v>23247.902070281518</v>
      </c>
    </row>
    <row r="6" spans="1:9" ht="12.75">
      <c r="A6" s="203" t="s">
        <v>349</v>
      </c>
      <c r="B6" s="206">
        <f aca="true" t="shared" si="2" ref="B6:H6">SUM(B7:B8)</f>
        <v>48894.96412441334</v>
      </c>
      <c r="C6" s="206">
        <f t="shared" si="2"/>
        <v>96966.6650334193</v>
      </c>
      <c r="D6" s="206">
        <f t="shared" si="2"/>
        <v>96081.62384082719</v>
      </c>
      <c r="E6" s="206">
        <f t="shared" si="2"/>
        <v>95158.10259638325</v>
      </c>
      <c r="F6" s="206">
        <f t="shared" si="2"/>
        <v>94234.58135193931</v>
      </c>
      <c r="G6" s="206">
        <f t="shared" si="2"/>
        <v>93311.06010749537</v>
      </c>
      <c r="H6" s="206">
        <f t="shared" si="2"/>
        <v>92387.53886305145</v>
      </c>
      <c r="I6" s="206">
        <f>SUM(I7:I8)</f>
        <v>91694.8979297185</v>
      </c>
    </row>
    <row r="7" spans="1:9" ht="12.75">
      <c r="A7" s="203" t="s">
        <v>87</v>
      </c>
      <c r="B7" s="204">
        <f>'2-ф2'!P16+'2-ф2'!P15+'2-ф2'!P14</f>
        <v>8137.744124413335</v>
      </c>
      <c r="C7" s="204">
        <f>'2-ф2'!AC16+'2-ф2'!AC15+'2-ф2'!AC14</f>
        <v>15452.225033419287</v>
      </c>
      <c r="D7" s="204">
        <f>'2-ф2'!AD16+'2-ф2'!AD15+'2-ф2'!AD14</f>
        <v>14567.183840827181</v>
      </c>
      <c r="E7" s="204">
        <f>'2-ф2'!AE16+'2-ф2'!AE15+'2-ф2'!AE14</f>
        <v>13643.662596383245</v>
      </c>
      <c r="F7" s="204">
        <f>'2-ф2'!AF16+'2-ф2'!AF15+'2-ф2'!AF14</f>
        <v>12720.14135193931</v>
      </c>
      <c r="G7" s="204">
        <f>'2-ф2'!AG16+'2-ф2'!AG15+'2-ф2'!AG14</f>
        <v>11796.620107495377</v>
      </c>
      <c r="H7" s="204">
        <f>'2-ф2'!AH16+'2-ф2'!AH15+'2-ф2'!AH14</f>
        <v>10873.098863051444</v>
      </c>
      <c r="I7" s="204">
        <f>'2-ф2'!AI16+'2-ф2'!AI15+'2-ф2'!AI14</f>
        <v>10180.457929718494</v>
      </c>
    </row>
    <row r="8" spans="1:9" ht="12.75">
      <c r="A8" s="203" t="s">
        <v>88</v>
      </c>
      <c r="B8" s="204">
        <f>'2-ф2'!P11</f>
        <v>40757.22</v>
      </c>
      <c r="C8" s="204">
        <f>'2-ф2'!AC11</f>
        <v>81514.44</v>
      </c>
      <c r="D8" s="204">
        <f>'2-ф2'!AD11</f>
        <v>81514.44</v>
      </c>
      <c r="E8" s="204">
        <f>'2-ф2'!AE11</f>
        <v>81514.44</v>
      </c>
      <c r="F8" s="204">
        <f>'2-ф2'!AF11</f>
        <v>81514.44</v>
      </c>
      <c r="G8" s="204">
        <f>'2-ф2'!AG11</f>
        <v>81514.44</v>
      </c>
      <c r="H8" s="204">
        <f>'2-ф2'!AH11</f>
        <v>81514.44</v>
      </c>
      <c r="I8" s="204">
        <f>'2-ф2'!AI11</f>
        <v>81514.44</v>
      </c>
    </row>
    <row r="9" spans="1:9" ht="12.75">
      <c r="A9" s="203" t="s">
        <v>89</v>
      </c>
      <c r="B9" s="206">
        <f aca="true" t="shared" si="3" ref="B9:H9">B4-B8</f>
        <v>-40757.22</v>
      </c>
      <c r="C9" s="206">
        <f t="shared" si="3"/>
        <v>33428.36</v>
      </c>
      <c r="D9" s="206">
        <f t="shared" si="3"/>
        <v>33428.360000000015</v>
      </c>
      <c r="E9" s="206">
        <f t="shared" si="3"/>
        <v>33428.360000000015</v>
      </c>
      <c r="F9" s="206">
        <f t="shared" si="3"/>
        <v>33428.360000000015</v>
      </c>
      <c r="G9" s="206">
        <f t="shared" si="3"/>
        <v>33428.360000000015</v>
      </c>
      <c r="H9" s="206">
        <f t="shared" si="3"/>
        <v>33428.360000000015</v>
      </c>
      <c r="I9" s="206">
        <f>I4-I8</f>
        <v>33428.360000000015</v>
      </c>
    </row>
    <row r="10" spans="1:9" ht="12.75">
      <c r="A10" s="203" t="s">
        <v>72</v>
      </c>
      <c r="B10" s="207" t="e">
        <f aca="true" t="shared" si="4" ref="B10:H10">B9/B4</f>
        <v>#DIV/0!</v>
      </c>
      <c r="C10" s="207">
        <f t="shared" si="4"/>
        <v>0.29082604565053227</v>
      </c>
      <c r="D10" s="207">
        <f t="shared" si="4"/>
        <v>0.2908260456505323</v>
      </c>
      <c r="E10" s="207">
        <f t="shared" si="4"/>
        <v>0.2908260456505323</v>
      </c>
      <c r="F10" s="207">
        <f t="shared" si="4"/>
        <v>0.2908260456505323</v>
      </c>
      <c r="G10" s="207">
        <f t="shared" si="4"/>
        <v>0.2908260456505323</v>
      </c>
      <c r="H10" s="207">
        <f t="shared" si="4"/>
        <v>0.2908260456505323</v>
      </c>
      <c r="I10" s="207">
        <f>I9/I4</f>
        <v>0.2908260456505323</v>
      </c>
    </row>
    <row r="11" spans="1:9" ht="12.75">
      <c r="A11" s="203" t="s">
        <v>90</v>
      </c>
      <c r="B11" s="206" t="e">
        <f aca="true" t="shared" si="5" ref="B11:H11">B7/B10</f>
        <v>#DIV/0!</v>
      </c>
      <c r="C11" s="206">
        <f t="shared" si="5"/>
        <v>53132.19109676054</v>
      </c>
      <c r="D11" s="206">
        <f t="shared" si="5"/>
        <v>50088.99326139333</v>
      </c>
      <c r="E11" s="206">
        <f t="shared" si="5"/>
        <v>46913.48247666232</v>
      </c>
      <c r="F11" s="206">
        <f t="shared" si="5"/>
        <v>43737.97169193132</v>
      </c>
      <c r="G11" s="206">
        <f t="shared" si="5"/>
        <v>40562.46090720033</v>
      </c>
      <c r="H11" s="206">
        <f t="shared" si="5"/>
        <v>37386.950122469345</v>
      </c>
      <c r="I11" s="206">
        <f>I7/I10</f>
        <v>35005.3170339211</v>
      </c>
    </row>
    <row r="12" spans="1:9" ht="25.5">
      <c r="A12" s="208" t="s">
        <v>73</v>
      </c>
      <c r="B12" s="209" t="e">
        <f aca="true" t="shared" si="6" ref="B12:H12">(B4-B11)/B4</f>
        <v>#DIV/0!</v>
      </c>
      <c r="C12" s="209">
        <f t="shared" si="6"/>
        <v>0.5377510283657564</v>
      </c>
      <c r="D12" s="209">
        <f t="shared" si="6"/>
        <v>0.5642267870506606</v>
      </c>
      <c r="E12" s="209">
        <f t="shared" si="6"/>
        <v>0.5918536656783868</v>
      </c>
      <c r="F12" s="209">
        <f t="shared" si="6"/>
        <v>0.619480544306113</v>
      </c>
      <c r="G12" s="209">
        <f t="shared" si="6"/>
        <v>0.6471074229338392</v>
      </c>
      <c r="H12" s="209">
        <f t="shared" si="6"/>
        <v>0.6747343015615651</v>
      </c>
      <c r="I12" s="209">
        <f>(I4-I11)/I4</f>
        <v>0.6954544605323596</v>
      </c>
    </row>
    <row r="13" spans="1:9" ht="12.75">
      <c r="A13" s="203" t="s">
        <v>101</v>
      </c>
      <c r="B13" s="210" t="e">
        <f aca="true" t="shared" si="7" ref="B13:H13">100%-B12</f>
        <v>#DIV/0!</v>
      </c>
      <c r="C13" s="210">
        <f t="shared" si="7"/>
        <v>0.4622489716342436</v>
      </c>
      <c r="D13" s="210">
        <f t="shared" si="7"/>
        <v>0.43577321294933935</v>
      </c>
      <c r="E13" s="210">
        <f t="shared" si="7"/>
        <v>0.4081463343216132</v>
      </c>
      <c r="F13" s="210">
        <f t="shared" si="7"/>
        <v>0.380519455693887</v>
      </c>
      <c r="G13" s="210">
        <f t="shared" si="7"/>
        <v>0.35289257706616084</v>
      </c>
      <c r="H13" s="210">
        <f t="shared" si="7"/>
        <v>0.3252656984384349</v>
      </c>
      <c r="I13" s="210">
        <f>100%-I12</f>
        <v>0.3045455394676404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71"/>
  <sheetViews>
    <sheetView showGridLines="0" tabSelected="1" zoomScalePageLayoutView="0" workbookViewId="0" topLeftCell="A1">
      <pane ySplit="4" topLeftCell="A5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33" customWidth="1"/>
    <col min="2" max="2" width="15.75390625" style="234" bestFit="1" customWidth="1"/>
    <col min="3" max="3" width="13.625" style="235" customWidth="1"/>
    <col min="4" max="4" width="8.25390625" style="235" customWidth="1"/>
    <col min="5" max="9" width="7.375" style="235" customWidth="1"/>
    <col min="10" max="10" width="6.875" style="235" customWidth="1"/>
    <col min="11" max="11" width="5.875" style="235" customWidth="1"/>
    <col min="12" max="16384" width="9.125" style="235" customWidth="1"/>
  </cols>
  <sheetData>
    <row r="1" ht="13.5" customHeight="1">
      <c r="A1" s="250" t="s">
        <v>219</v>
      </c>
    </row>
    <row r="2" ht="13.5" customHeight="1">
      <c r="A2" s="250" t="s">
        <v>259</v>
      </c>
    </row>
    <row r="3" ht="13.5" customHeight="1"/>
    <row r="4" spans="1:3" ht="13.5" customHeight="1">
      <c r="A4" s="236" t="s">
        <v>195</v>
      </c>
      <c r="B4" s="237" t="s">
        <v>208</v>
      </c>
      <c r="C4" s="237" t="s">
        <v>168</v>
      </c>
    </row>
    <row r="5" spans="1:3" ht="13.5" customHeight="1">
      <c r="A5" s="238" t="s">
        <v>167</v>
      </c>
      <c r="B5" s="239">
        <f>'1-Ф3'!B24</f>
        <v>76092.20862400002</v>
      </c>
      <c r="C5" s="245">
        <f>B5/$B$7</f>
        <v>0.6022876269812216</v>
      </c>
    </row>
    <row r="6" spans="1:3" ht="13.5" customHeight="1">
      <c r="A6" s="238" t="s">
        <v>166</v>
      </c>
      <c r="B6" s="239">
        <f>'1-Ф3'!B30-'1-Ф3'!B24</f>
        <v>50246.44622333333</v>
      </c>
      <c r="C6" s="245">
        <f>B6/$B$7</f>
        <v>0.3977123730187784</v>
      </c>
    </row>
    <row r="7" spans="1:3" ht="13.5" customHeight="1">
      <c r="A7" s="240" t="s">
        <v>85</v>
      </c>
      <c r="B7" s="241">
        <f>SUM(B5:B6)</f>
        <v>126338.65484733335</v>
      </c>
      <c r="C7" s="246">
        <f>SUM(C5:C6)</f>
        <v>1</v>
      </c>
    </row>
    <row r="8" spans="1:2" ht="13.5" customHeight="1">
      <c r="A8" s="242"/>
      <c r="B8" s="243"/>
    </row>
    <row r="9" spans="1:4" ht="13.5" customHeight="1">
      <c r="A9" s="236" t="s">
        <v>196</v>
      </c>
      <c r="B9" s="237" t="s">
        <v>154</v>
      </c>
      <c r="C9" s="237" t="s">
        <v>8</v>
      </c>
      <c r="D9" s="237" t="s">
        <v>168</v>
      </c>
    </row>
    <row r="10" spans="1:7" ht="13.5" customHeight="1">
      <c r="A10" s="238" t="s">
        <v>198</v>
      </c>
      <c r="B10" s="239">
        <f>'1-Ф3'!B31</f>
        <v>50246.44622333333</v>
      </c>
      <c r="C10" s="244" t="s">
        <v>331</v>
      </c>
      <c r="D10" s="245">
        <f>B10/$B$12</f>
        <v>0.3977123730187784</v>
      </c>
      <c r="F10" s="256"/>
      <c r="G10" s="256"/>
    </row>
    <row r="11" spans="1:7" ht="12.75">
      <c r="A11" s="238" t="s">
        <v>102</v>
      </c>
      <c r="B11" s="239">
        <f>'1-Ф3'!B32</f>
        <v>76092.20862400002</v>
      </c>
      <c r="C11" s="255" t="s">
        <v>332</v>
      </c>
      <c r="D11" s="245">
        <f>B11/$B$12</f>
        <v>0.6022876269812216</v>
      </c>
      <c r="F11" s="256"/>
      <c r="G11" s="256"/>
    </row>
    <row r="12" spans="1:4" ht="12.75">
      <c r="A12" s="240" t="s">
        <v>85</v>
      </c>
      <c r="B12" s="241">
        <f>SUM(B10:B11)</f>
        <v>126338.65484733335</v>
      </c>
      <c r="C12" s="241"/>
      <c r="D12" s="246">
        <f>SUM(D10:D11)</f>
        <v>1</v>
      </c>
    </row>
    <row r="13" spans="1:2" ht="12.75">
      <c r="A13" s="247"/>
      <c r="B13" s="248"/>
    </row>
    <row r="14" spans="1:2" ht="12.75">
      <c r="A14" s="236" t="s">
        <v>148</v>
      </c>
      <c r="B14" s="237" t="s">
        <v>7</v>
      </c>
    </row>
    <row r="15" spans="1:2" ht="12.75">
      <c r="A15" s="238" t="s">
        <v>169</v>
      </c>
      <c r="B15" s="239" t="s">
        <v>170</v>
      </c>
    </row>
    <row r="16" spans="1:2" ht="12.75">
      <c r="A16" s="238" t="s">
        <v>171</v>
      </c>
      <c r="B16" s="245">
        <f>Исх!C53</f>
        <v>0.07</v>
      </c>
    </row>
    <row r="17" spans="1:2" ht="12.75">
      <c r="A17" s="238" t="s">
        <v>194</v>
      </c>
      <c r="B17" s="249">
        <f>Исх!C54</f>
        <v>7</v>
      </c>
    </row>
    <row r="18" spans="1:2" ht="12.75">
      <c r="A18" s="238" t="s">
        <v>172</v>
      </c>
      <c r="B18" s="239" t="s">
        <v>173</v>
      </c>
    </row>
    <row r="19" spans="1:2" ht="12.75">
      <c r="A19" s="238" t="s">
        <v>175</v>
      </c>
      <c r="B19" s="239">
        <f>Исх!C55</f>
        <v>12</v>
      </c>
    </row>
    <row r="20" spans="1:2" ht="12.75">
      <c r="A20" s="238" t="s">
        <v>176</v>
      </c>
      <c r="B20" s="239">
        <f>Исх!C56</f>
        <v>6</v>
      </c>
    </row>
    <row r="21" spans="1:2" ht="12.75">
      <c r="A21" s="238" t="s">
        <v>350</v>
      </c>
      <c r="B21" s="239" t="s">
        <v>174</v>
      </c>
    </row>
    <row r="23" spans="1:9" ht="12.75">
      <c r="A23" s="253" t="s">
        <v>199</v>
      </c>
      <c r="B23" s="237">
        <v>2014</v>
      </c>
      <c r="C23" s="237">
        <f>B23+1</f>
        <v>2015</v>
      </c>
      <c r="D23" s="282">
        <f aca="true" t="shared" si="0" ref="D23:I23">C23+1</f>
        <v>2016</v>
      </c>
      <c r="E23" s="282">
        <f t="shared" si="0"/>
        <v>2017</v>
      </c>
      <c r="F23" s="282">
        <f t="shared" si="0"/>
        <v>2018</v>
      </c>
      <c r="G23" s="282">
        <f t="shared" si="0"/>
        <v>2019</v>
      </c>
      <c r="H23" s="282">
        <f t="shared" si="0"/>
        <v>2020</v>
      </c>
      <c r="I23" s="282">
        <f t="shared" si="0"/>
        <v>2021</v>
      </c>
    </row>
    <row r="24" spans="1:9" ht="12.75">
      <c r="A24" s="263" t="s">
        <v>220</v>
      </c>
      <c r="B24" s="239">
        <f>'2-ф2'!P5</f>
        <v>0</v>
      </c>
      <c r="C24" s="239">
        <f>'2-ф2'!AC5</f>
        <v>114942.8</v>
      </c>
      <c r="D24" s="239">
        <f>'2-ф2'!AD5</f>
        <v>114942.80000000002</v>
      </c>
      <c r="E24" s="239">
        <f>'2-ф2'!AE5</f>
        <v>114942.80000000002</v>
      </c>
      <c r="F24" s="239">
        <f>'2-ф2'!AF5</f>
        <v>114942.80000000002</v>
      </c>
      <c r="G24" s="239">
        <f>'2-ф2'!AG5</f>
        <v>114942.80000000002</v>
      </c>
      <c r="H24" s="239">
        <f>'2-ф2'!AH5</f>
        <v>114942.80000000002</v>
      </c>
      <c r="I24" s="239">
        <f>'2-ф2'!AI5</f>
        <v>114942.80000000002</v>
      </c>
    </row>
    <row r="25" spans="1:9" ht="12.75">
      <c r="A25" s="263" t="s">
        <v>221</v>
      </c>
      <c r="B25" s="239">
        <f>'2-ф2'!P13</f>
        <v>-40757.22</v>
      </c>
      <c r="C25" s="239">
        <f>'2-ф2'!AC13</f>
        <v>33428.36</v>
      </c>
      <c r="D25" s="239">
        <f>'2-ф2'!AD13</f>
        <v>33428.360000000015</v>
      </c>
      <c r="E25" s="239">
        <f>'2-ф2'!AE13</f>
        <v>33428.360000000015</v>
      </c>
      <c r="F25" s="239">
        <f>'2-ф2'!AF13</f>
        <v>33428.360000000015</v>
      </c>
      <c r="G25" s="239">
        <f>'2-ф2'!AG13</f>
        <v>33428.360000000015</v>
      </c>
      <c r="H25" s="239">
        <f>'2-ф2'!AH13</f>
        <v>33428.360000000015</v>
      </c>
      <c r="I25" s="239">
        <f>'2-ф2'!AI13</f>
        <v>33428.360000000015</v>
      </c>
    </row>
    <row r="26" spans="1:9" ht="12.75">
      <c r="A26" s="263" t="s">
        <v>222</v>
      </c>
      <c r="B26" s="239">
        <f>'2-ф2'!P19</f>
        <v>-48895.18995774667</v>
      </c>
      <c r="C26" s="239">
        <f>'2-ф2'!AC19</f>
        <v>17975.68329991403</v>
      </c>
      <c r="D26" s="239">
        <f>'2-ф2'!AD19</f>
        <v>18860.724492506164</v>
      </c>
      <c r="E26" s="239">
        <f>'2-ф2'!AE19</f>
        <v>19784.2457369501</v>
      </c>
      <c r="F26" s="239">
        <f>'2-ф2'!AF19</f>
        <v>20707.766981394037</v>
      </c>
      <c r="G26" s="239">
        <f>'2-ф2'!AG19</f>
        <v>21631.28822583797</v>
      </c>
      <c r="H26" s="239">
        <f>'2-ф2'!AH19</f>
        <v>22554.809470281903</v>
      </c>
      <c r="I26" s="239">
        <f>'2-ф2'!AI19</f>
        <v>23247.450403614854</v>
      </c>
    </row>
    <row r="27" spans="1:9" ht="12.75">
      <c r="A27" s="263" t="s">
        <v>333</v>
      </c>
      <c r="B27" s="245"/>
      <c r="C27" s="245">
        <f>C25/C24</f>
        <v>0.29082604565053227</v>
      </c>
      <c r="D27" s="245">
        <f aca="true" t="shared" si="1" ref="D27:I27">D25/D24</f>
        <v>0.2908260456505323</v>
      </c>
      <c r="E27" s="245">
        <f t="shared" si="1"/>
        <v>0.2908260456505323</v>
      </c>
      <c r="F27" s="245">
        <f t="shared" si="1"/>
        <v>0.2908260456505323</v>
      </c>
      <c r="G27" s="245">
        <f t="shared" si="1"/>
        <v>0.2908260456505323</v>
      </c>
      <c r="H27" s="245">
        <f t="shared" si="1"/>
        <v>0.2908260456505323</v>
      </c>
      <c r="I27" s="245">
        <f t="shared" si="1"/>
        <v>0.2908260456505323</v>
      </c>
    </row>
    <row r="28" spans="1:9" ht="12.75">
      <c r="A28" s="263" t="s">
        <v>223</v>
      </c>
      <c r="B28" s="245"/>
      <c r="C28" s="245">
        <f aca="true" t="shared" si="2" ref="C28:I28">C26/C24</f>
        <v>0.15638807563339358</v>
      </c>
      <c r="D28" s="245">
        <f t="shared" si="2"/>
        <v>0.16408791583732224</v>
      </c>
      <c r="E28" s="245">
        <f t="shared" si="2"/>
        <v>0.17212253170229103</v>
      </c>
      <c r="F28" s="245">
        <f t="shared" si="2"/>
        <v>0.18015714756725984</v>
      </c>
      <c r="G28" s="245">
        <f t="shared" si="2"/>
        <v>0.1881917634322286</v>
      </c>
      <c r="H28" s="245">
        <f t="shared" si="2"/>
        <v>0.19622637929719738</v>
      </c>
      <c r="I28" s="245">
        <f t="shared" si="2"/>
        <v>0.20225234119592397</v>
      </c>
    </row>
    <row r="29" spans="1:9" ht="12.75">
      <c r="A29" s="264" t="s">
        <v>224</v>
      </c>
      <c r="B29" s="239">
        <f>'1-Ф3'!P37</f>
        <v>0</v>
      </c>
      <c r="C29" s="239">
        <f>'1-Ф3'!AC37</f>
        <v>12830.529921595728</v>
      </c>
      <c r="D29" s="239">
        <f>'1-Ф3'!AD37</f>
        <v>10417.280955459513</v>
      </c>
      <c r="E29" s="239">
        <f>'1-Ф3'!AE37</f>
        <v>11340.802199903437</v>
      </c>
      <c r="F29" s="239">
        <f>'1-Ф3'!AF37</f>
        <v>12264.323444347376</v>
      </c>
      <c r="G29" s="239">
        <f>'1-Ф3'!AG37</f>
        <v>13187.844688791314</v>
      </c>
      <c r="H29" s="239">
        <f>'1-Ф3'!AH37</f>
        <v>14111.365933235238</v>
      </c>
      <c r="I29" s="239">
        <f>'1-Ф3'!AI37</f>
        <v>24698.877342753192</v>
      </c>
    </row>
    <row r="31" spans="1:3" ht="12.75">
      <c r="A31" s="253" t="s">
        <v>237</v>
      </c>
      <c r="B31" s="274" t="s">
        <v>334</v>
      </c>
      <c r="C31" s="269"/>
    </row>
    <row r="32" spans="1:3" ht="12.75">
      <c r="A32" s="238" t="s">
        <v>177</v>
      </c>
      <c r="B32" s="245">
        <f>'1-Ф3'!AQ51</f>
        <v>0.12400644137389527</v>
      </c>
      <c r="C32" s="269"/>
    </row>
    <row r="33" spans="1:3" ht="12.75">
      <c r="A33" s="238" t="s">
        <v>178</v>
      </c>
      <c r="B33" s="239">
        <f>'1-Ф3'!AQ49</f>
        <v>23134.17138336852</v>
      </c>
      <c r="C33" s="269"/>
    </row>
    <row r="34" spans="1:3" ht="12.75">
      <c r="A34" s="238" t="s">
        <v>238</v>
      </c>
      <c r="B34" s="249">
        <f>'1-Ф3'!AQ50</f>
        <v>1.1959302432823615</v>
      </c>
      <c r="C34" s="269"/>
    </row>
    <row r="35" spans="1:3" ht="12.75">
      <c r="A35" s="238" t="s">
        <v>179</v>
      </c>
      <c r="B35" s="249">
        <f>'1-Ф3'!B52</f>
        <v>4.5063576508084635</v>
      </c>
      <c r="C35" s="269"/>
    </row>
    <row r="36" spans="1:3" ht="12.75">
      <c r="A36" s="238" t="s">
        <v>180</v>
      </c>
      <c r="B36" s="249">
        <f>'1-Ф3'!B53</f>
        <v>5.60953696215522</v>
      </c>
      <c r="C36" s="269"/>
    </row>
    <row r="38" ht="12.75">
      <c r="A38" s="250" t="s">
        <v>335</v>
      </c>
    </row>
    <row r="39" spans="1:3" ht="12.75">
      <c r="A39" s="275" t="s">
        <v>26</v>
      </c>
      <c r="B39" s="282" t="s">
        <v>251</v>
      </c>
      <c r="C39" s="237" t="s">
        <v>7</v>
      </c>
    </row>
    <row r="40" spans="1:3" ht="12.75">
      <c r="A40" s="238" t="str">
        <f>Исх!A25</f>
        <v>Размер стада</v>
      </c>
      <c r="B40" s="301" t="s">
        <v>313</v>
      </c>
      <c r="C40" s="239">
        <f>Исх!C25</f>
        <v>28</v>
      </c>
    </row>
    <row r="41" spans="1:3" s="302" customFormat="1" ht="12">
      <c r="A41" s="303" t="str">
        <f>Исх!A26</f>
        <v>куры</v>
      </c>
      <c r="B41" s="304" t="str">
        <f>Исх!B26</f>
        <v>тыс.гол</v>
      </c>
      <c r="C41" s="305">
        <f>Исх!C26</f>
        <v>14</v>
      </c>
    </row>
    <row r="42" spans="1:3" s="302" customFormat="1" ht="12">
      <c r="A42" s="303" t="str">
        <f>Исх!A27</f>
        <v>утки</v>
      </c>
      <c r="B42" s="304" t="str">
        <f>Исх!B27</f>
        <v>тыс.гол</v>
      </c>
      <c r="C42" s="305">
        <f>Исх!C27</f>
        <v>9.799999999999999</v>
      </c>
    </row>
    <row r="43" spans="1:3" s="302" customFormat="1" ht="12">
      <c r="A43" s="303" t="str">
        <f>Исх!A28</f>
        <v>гуси</v>
      </c>
      <c r="B43" s="304" t="str">
        <f>Исх!B28</f>
        <v>тыс.гол</v>
      </c>
      <c r="C43" s="305">
        <f>Исх!C28</f>
        <v>4.200000000000001</v>
      </c>
    </row>
    <row r="44" spans="1:3" ht="12.75">
      <c r="A44" s="265" t="s">
        <v>336</v>
      </c>
      <c r="B44" s="300"/>
      <c r="C44" s="266"/>
    </row>
    <row r="45" spans="1:3" ht="12.75">
      <c r="A45" s="238" t="str">
        <f>Дох!A5</f>
        <v>Яйцо куриное</v>
      </c>
      <c r="B45" s="306" t="str">
        <f>Дох!B5</f>
        <v>тыс.шт</v>
      </c>
      <c r="C45" s="307">
        <f>Дох!C5</f>
        <v>282.23999999999995</v>
      </c>
    </row>
    <row r="46" spans="1:3" ht="12.75">
      <c r="A46" s="238" t="str">
        <f>Дох!A6</f>
        <v>Мясо куриное</v>
      </c>
      <c r="B46" s="306" t="str">
        <f>Дох!B6</f>
        <v>тн</v>
      </c>
      <c r="C46" s="276">
        <f>Дох!C6</f>
        <v>2.2166666666666672</v>
      </c>
    </row>
    <row r="47" spans="1:3" ht="12.75">
      <c r="A47" s="238" t="str">
        <f>Дох!A7</f>
        <v>Мясо утиное</v>
      </c>
      <c r="B47" s="306" t="str">
        <f>Дох!B7</f>
        <v>тн</v>
      </c>
      <c r="C47" s="276">
        <f>Дох!C7</f>
        <v>4.083333333333334</v>
      </c>
    </row>
    <row r="48" spans="1:3" ht="12.75">
      <c r="A48" s="238" t="str">
        <f>Дох!A8</f>
        <v>Мясо гусиное</v>
      </c>
      <c r="B48" s="306" t="str">
        <f>Дох!B8</f>
        <v>тн</v>
      </c>
      <c r="C48" s="276">
        <f>Дох!C8</f>
        <v>1.7500000000000002</v>
      </c>
    </row>
    <row r="49" spans="1:3" ht="12.75">
      <c r="A49" s="238" t="str">
        <f>Дох!A9</f>
        <v>Потроха</v>
      </c>
      <c r="B49" s="306" t="str">
        <f>Дох!B9</f>
        <v>тн</v>
      </c>
      <c r="C49" s="276">
        <f>Дох!C9</f>
        <v>0.4176666666666667</v>
      </c>
    </row>
    <row r="51" ht="12.75">
      <c r="A51" s="250" t="s">
        <v>181</v>
      </c>
    </row>
    <row r="52" spans="1:12" ht="12.75">
      <c r="A52" s="341" t="s">
        <v>227</v>
      </c>
      <c r="B52" s="343" t="s">
        <v>208</v>
      </c>
      <c r="C52" s="344"/>
      <c r="D52" s="344"/>
      <c r="E52" s="344"/>
      <c r="F52" s="344"/>
      <c r="G52" s="344"/>
      <c r="H52" s="344"/>
      <c r="I52" s="344"/>
      <c r="J52" s="344"/>
      <c r="K52" s="345"/>
      <c r="L52" s="308" t="s">
        <v>342</v>
      </c>
    </row>
    <row r="53" spans="1:12" ht="12.75">
      <c r="A53" s="342"/>
      <c r="B53" s="237" t="s">
        <v>246</v>
      </c>
      <c r="C53" s="282" t="s">
        <v>247</v>
      </c>
      <c r="D53" s="282" t="s">
        <v>191</v>
      </c>
      <c r="E53" s="282" t="s">
        <v>339</v>
      </c>
      <c r="F53" s="282" t="s">
        <v>340</v>
      </c>
      <c r="G53" s="282" t="s">
        <v>341</v>
      </c>
      <c r="H53" s="282" t="s">
        <v>241</v>
      </c>
      <c r="I53" s="282" t="s">
        <v>242</v>
      </c>
      <c r="J53" s="282" t="s">
        <v>243</v>
      </c>
      <c r="K53" s="282" t="s">
        <v>244</v>
      </c>
      <c r="L53" s="282" t="s">
        <v>245</v>
      </c>
    </row>
    <row r="54" spans="1:12" ht="12.75">
      <c r="A54" s="251" t="s">
        <v>228</v>
      </c>
      <c r="B54" s="252"/>
      <c r="C54" s="245"/>
      <c r="D54" s="245"/>
      <c r="E54" s="245"/>
      <c r="F54" s="245"/>
      <c r="G54" s="245"/>
      <c r="H54" s="245"/>
      <c r="I54" s="245"/>
      <c r="J54" s="245"/>
      <c r="K54" s="245"/>
      <c r="L54" s="245"/>
    </row>
    <row r="55" spans="1:12" ht="12.75">
      <c r="A55" s="238" t="s">
        <v>182</v>
      </c>
      <c r="B55" s="252"/>
      <c r="C55" s="252"/>
      <c r="D55" s="239"/>
      <c r="E55" s="239"/>
      <c r="F55" s="239"/>
      <c r="G55" s="239"/>
      <c r="H55" s="239"/>
      <c r="I55" s="239"/>
      <c r="J55" s="239"/>
      <c r="K55" s="239"/>
      <c r="L55" s="239"/>
    </row>
    <row r="56" spans="1:12" ht="12.75">
      <c r="A56" s="238" t="s">
        <v>183</v>
      </c>
      <c r="B56" s="239"/>
      <c r="C56" s="252"/>
      <c r="D56" s="239"/>
      <c r="E56" s="239"/>
      <c r="F56" s="239"/>
      <c r="G56" s="239"/>
      <c r="H56" s="239"/>
      <c r="I56" s="239"/>
      <c r="J56" s="239"/>
      <c r="K56" s="239"/>
      <c r="L56" s="239"/>
    </row>
    <row r="57" spans="1:12" ht="12.75">
      <c r="A57" s="238" t="s">
        <v>337</v>
      </c>
      <c r="B57" s="239"/>
      <c r="C57" s="252"/>
      <c r="D57" s="252"/>
      <c r="E57" s="252"/>
      <c r="F57" s="239"/>
      <c r="G57" s="239"/>
      <c r="H57" s="239"/>
      <c r="I57" s="239"/>
      <c r="J57" s="239"/>
      <c r="K57" s="239"/>
      <c r="L57" s="239"/>
    </row>
    <row r="58" spans="1:12" ht="12.75">
      <c r="A58" s="238" t="s">
        <v>343</v>
      </c>
      <c r="B58" s="239"/>
      <c r="C58" s="252"/>
      <c r="D58" s="252"/>
      <c r="E58" s="252"/>
      <c r="F58" s="239"/>
      <c r="G58" s="239"/>
      <c r="H58" s="239"/>
      <c r="I58" s="239"/>
      <c r="J58" s="239"/>
      <c r="K58" s="239"/>
      <c r="L58" s="239"/>
    </row>
    <row r="59" spans="1:12" ht="12.75">
      <c r="A59" s="238" t="s">
        <v>229</v>
      </c>
      <c r="B59" s="239"/>
      <c r="C59" s="239"/>
      <c r="D59" s="239"/>
      <c r="E59" s="252"/>
      <c r="F59" s="239"/>
      <c r="G59" s="239"/>
      <c r="H59" s="239"/>
      <c r="I59" s="239"/>
      <c r="J59" s="239"/>
      <c r="K59" s="239"/>
      <c r="L59" s="239"/>
    </row>
    <row r="60" spans="1:12" ht="12.75">
      <c r="A60" s="238" t="s">
        <v>344</v>
      </c>
      <c r="B60" s="239"/>
      <c r="C60" s="239"/>
      <c r="D60" s="239"/>
      <c r="E60" s="252"/>
      <c r="F60" s="239"/>
      <c r="G60" s="239"/>
      <c r="H60" s="239"/>
      <c r="I60" s="239"/>
      <c r="J60" s="239"/>
      <c r="K60" s="239"/>
      <c r="L60" s="239"/>
    </row>
    <row r="61" spans="1:12" ht="12.75">
      <c r="A61" s="238" t="s">
        <v>338</v>
      </c>
      <c r="B61" s="239"/>
      <c r="C61" s="239"/>
      <c r="D61" s="239"/>
      <c r="E61" s="239"/>
      <c r="F61" s="252"/>
      <c r="G61" s="252"/>
      <c r="H61" s="252"/>
      <c r="I61" s="252"/>
      <c r="J61" s="252"/>
      <c r="K61" s="252"/>
      <c r="L61" s="239"/>
    </row>
    <row r="62" spans="1:12" ht="12.75">
      <c r="A62" s="238" t="s">
        <v>240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52"/>
    </row>
    <row r="64" ht="12.75">
      <c r="A64" s="250" t="s">
        <v>239</v>
      </c>
    </row>
    <row r="66" spans="1:2" ht="12.75">
      <c r="A66" s="253" t="s">
        <v>188</v>
      </c>
      <c r="B66" s="254" t="s">
        <v>189</v>
      </c>
    </row>
    <row r="67" spans="1:2" ht="12.75" hidden="1">
      <c r="A67" s="238" t="s">
        <v>38</v>
      </c>
      <c r="B67" s="239">
        <f>'1-Ф3'!B20</f>
        <v>0</v>
      </c>
    </row>
    <row r="68" spans="1:2" ht="12.75">
      <c r="A68" s="238" t="s">
        <v>203</v>
      </c>
      <c r="B68" s="239">
        <f>'1-Ф3'!B19</f>
        <v>3.3875</v>
      </c>
    </row>
    <row r="69" spans="1:2" ht="12.75">
      <c r="A69" s="238" t="s">
        <v>187</v>
      </c>
      <c r="B69" s="239">
        <f>(ФОТ!F21+ФОТ!G21+ФОТ!H21+ФОТ!I21)*12*7.5</f>
        <v>4899.509999999999</v>
      </c>
    </row>
    <row r="70" spans="1:2" ht="12.75">
      <c r="A70" s="238" t="s">
        <v>210</v>
      </c>
      <c r="B70" s="239">
        <f>SUM(Пост!C19:I19)*12</f>
        <v>42</v>
      </c>
    </row>
    <row r="71" spans="1:2" ht="12.75">
      <c r="A71" s="240" t="s">
        <v>0</v>
      </c>
      <c r="B71" s="241">
        <f>SUM(B67:B70)</f>
        <v>4944.897499999999</v>
      </c>
    </row>
  </sheetData>
  <sheetProtection/>
  <mergeCells count="2">
    <mergeCell ref="A52:A53"/>
    <mergeCell ref="B52:K52"/>
  </mergeCells>
  <printOptions/>
  <pageMargins left="0.2" right="0.2" top="0.51" bottom="1.31" header="0.3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5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12" sqref="A12"/>
    </sheetView>
  </sheetViews>
  <sheetFormatPr defaultColWidth="10.125" defaultRowHeight="12.75" outlineLevelCol="1"/>
  <cols>
    <col min="1" max="1" width="38.125" style="80" customWidth="1"/>
    <col min="2" max="2" width="11.375" style="80" customWidth="1"/>
    <col min="3" max="3" width="3.875" style="80" customWidth="1"/>
    <col min="4" max="4" width="7.125" style="80" hidden="1" customWidth="1" outlineLevel="1"/>
    <col min="5" max="5" width="8.25390625" style="80" hidden="1" customWidth="1" outlineLevel="1"/>
    <col min="6" max="11" width="7.00390625" style="80" hidden="1" customWidth="1" outlineLevel="1"/>
    <col min="12" max="12" width="8.75390625" style="80" hidden="1" customWidth="1" outlineLevel="1"/>
    <col min="13" max="13" width="7.875" style="80" hidden="1" customWidth="1" outlineLevel="1"/>
    <col min="14" max="15" width="8.625" style="80" hidden="1" customWidth="1" outlineLevel="1"/>
    <col min="16" max="16" width="9.125" style="80" customWidth="1" collapsed="1"/>
    <col min="17" max="28" width="8.375" style="80" hidden="1" customWidth="1" outlineLevel="1"/>
    <col min="29" max="29" width="9.125" style="80" customWidth="1" collapsed="1"/>
    <col min="30" max="30" width="9.125" style="80" customWidth="1"/>
    <col min="31" max="35" width="8.875" style="80" customWidth="1"/>
    <col min="36" max="16384" width="10.125" style="80" customWidth="1"/>
  </cols>
  <sheetData>
    <row r="1" spans="1:3" ht="21" customHeight="1">
      <c r="A1" s="60" t="s">
        <v>109</v>
      </c>
      <c r="B1" s="79"/>
      <c r="C1" s="79"/>
    </row>
    <row r="2" spans="1:3" ht="17.25" customHeight="1">
      <c r="A2" s="60"/>
      <c r="B2" s="12" t="str">
        <f>Исх!$C$10</f>
        <v>тыс.тг.</v>
      </c>
      <c r="C2" s="81"/>
    </row>
    <row r="3" spans="1:35" ht="12.75" customHeight="1">
      <c r="A3" s="316" t="s">
        <v>2</v>
      </c>
      <c r="B3" s="320" t="s">
        <v>85</v>
      </c>
      <c r="C3" s="85"/>
      <c r="D3" s="315">
        <v>2014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>
        <v>2015</v>
      </c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86">
        <f>Q3+1</f>
        <v>2016</v>
      </c>
      <c r="AE3" s="86">
        <f>AD3+1</f>
        <v>2017</v>
      </c>
      <c r="AF3" s="86">
        <f>AE3+1</f>
        <v>2018</v>
      </c>
      <c r="AG3" s="86">
        <f>AF3+1</f>
        <v>2019</v>
      </c>
      <c r="AH3" s="86">
        <f>AG3+1</f>
        <v>2020</v>
      </c>
      <c r="AI3" s="86">
        <f>AH3+1</f>
        <v>2021</v>
      </c>
    </row>
    <row r="4" spans="1:35" ht="12.75">
      <c r="A4" s="317"/>
      <c r="B4" s="320"/>
      <c r="C4" s="87"/>
      <c r="D4" s="88">
        <v>1</v>
      </c>
      <c r="E4" s="88">
        <f aca="true" t="shared" si="0" ref="E4:O4">D4+1</f>
        <v>2</v>
      </c>
      <c r="F4" s="88">
        <f t="shared" si="0"/>
        <v>3</v>
      </c>
      <c r="G4" s="88">
        <f t="shared" si="0"/>
        <v>4</v>
      </c>
      <c r="H4" s="88">
        <f t="shared" si="0"/>
        <v>5</v>
      </c>
      <c r="I4" s="88">
        <f t="shared" si="0"/>
        <v>6</v>
      </c>
      <c r="J4" s="88">
        <f t="shared" si="0"/>
        <v>7</v>
      </c>
      <c r="K4" s="88">
        <f t="shared" si="0"/>
        <v>8</v>
      </c>
      <c r="L4" s="88">
        <f t="shared" si="0"/>
        <v>9</v>
      </c>
      <c r="M4" s="88">
        <f t="shared" si="0"/>
        <v>10</v>
      </c>
      <c r="N4" s="88">
        <f t="shared" si="0"/>
        <v>11</v>
      </c>
      <c r="O4" s="88">
        <f t="shared" si="0"/>
        <v>12</v>
      </c>
      <c r="P4" s="84" t="s">
        <v>0</v>
      </c>
      <c r="Q4" s="88">
        <v>1</v>
      </c>
      <c r="R4" s="88">
        <f aca="true" t="shared" si="1" ref="R4:AB4">Q4+1</f>
        <v>2</v>
      </c>
      <c r="S4" s="88">
        <f t="shared" si="1"/>
        <v>3</v>
      </c>
      <c r="T4" s="88">
        <f t="shared" si="1"/>
        <v>4</v>
      </c>
      <c r="U4" s="88">
        <f t="shared" si="1"/>
        <v>5</v>
      </c>
      <c r="V4" s="88">
        <f t="shared" si="1"/>
        <v>6</v>
      </c>
      <c r="W4" s="88">
        <f t="shared" si="1"/>
        <v>7</v>
      </c>
      <c r="X4" s="88">
        <f t="shared" si="1"/>
        <v>8</v>
      </c>
      <c r="Y4" s="88">
        <f t="shared" si="1"/>
        <v>9</v>
      </c>
      <c r="Z4" s="88">
        <f t="shared" si="1"/>
        <v>10</v>
      </c>
      <c r="AA4" s="88">
        <f t="shared" si="1"/>
        <v>11</v>
      </c>
      <c r="AB4" s="88">
        <f t="shared" si="1"/>
        <v>12</v>
      </c>
      <c r="AC4" s="84" t="s">
        <v>0</v>
      </c>
      <c r="AD4" s="84" t="s">
        <v>110</v>
      </c>
      <c r="AE4" s="84" t="s">
        <v>110</v>
      </c>
      <c r="AF4" s="84" t="s">
        <v>110</v>
      </c>
      <c r="AG4" s="84" t="s">
        <v>110</v>
      </c>
      <c r="AH4" s="84" t="s">
        <v>110</v>
      </c>
      <c r="AI4" s="84" t="s">
        <v>110</v>
      </c>
    </row>
    <row r="5" spans="1:36" s="81" customFormat="1" ht="15" customHeight="1">
      <c r="A5" s="89" t="s">
        <v>324</v>
      </c>
      <c r="B5" s="90">
        <f>P5+AC5+AD5+AE5+AF5+AG5+AH5+AI5</f>
        <v>804599.6000000002</v>
      </c>
      <c r="C5" s="91"/>
      <c r="D5" s="91">
        <f aca="true" t="shared" si="2" ref="D5:Q5">SUM(D6:D10)</f>
        <v>0</v>
      </c>
      <c r="E5" s="91">
        <f t="shared" si="2"/>
        <v>0</v>
      </c>
      <c r="F5" s="91">
        <f t="shared" si="2"/>
        <v>0</v>
      </c>
      <c r="G5" s="91">
        <f t="shared" si="2"/>
        <v>0</v>
      </c>
      <c r="H5" s="91">
        <f t="shared" si="2"/>
        <v>0</v>
      </c>
      <c r="I5" s="91">
        <f t="shared" si="2"/>
        <v>0</v>
      </c>
      <c r="J5" s="91">
        <f t="shared" si="2"/>
        <v>0</v>
      </c>
      <c r="K5" s="91">
        <f t="shared" si="2"/>
        <v>0</v>
      </c>
      <c r="L5" s="91">
        <f t="shared" si="2"/>
        <v>0</v>
      </c>
      <c r="M5" s="91">
        <f t="shared" si="2"/>
        <v>0</v>
      </c>
      <c r="N5" s="91">
        <f t="shared" si="2"/>
        <v>0</v>
      </c>
      <c r="O5" s="91">
        <f t="shared" si="2"/>
        <v>0</v>
      </c>
      <c r="P5" s="91">
        <f t="shared" si="2"/>
        <v>0</v>
      </c>
      <c r="Q5" s="91">
        <f t="shared" si="2"/>
        <v>9578.566666666666</v>
      </c>
      <c r="R5" s="91">
        <f aca="true" t="shared" si="3" ref="R5:AB5">SUM(R6:R10)</f>
        <v>9578.566666666666</v>
      </c>
      <c r="S5" s="91">
        <f t="shared" si="3"/>
        <v>9578.566666666666</v>
      </c>
      <c r="T5" s="91">
        <f t="shared" si="3"/>
        <v>9578.566666666666</v>
      </c>
      <c r="U5" s="91">
        <f t="shared" si="3"/>
        <v>9578.566666666666</v>
      </c>
      <c r="V5" s="91">
        <f t="shared" si="3"/>
        <v>9578.566666666666</v>
      </c>
      <c r="W5" s="91">
        <f t="shared" si="3"/>
        <v>9578.566666666666</v>
      </c>
      <c r="X5" s="91">
        <f t="shared" si="3"/>
        <v>9578.566666666666</v>
      </c>
      <c r="Y5" s="91">
        <f t="shared" si="3"/>
        <v>9578.566666666666</v>
      </c>
      <c r="Z5" s="91">
        <f t="shared" si="3"/>
        <v>9578.566666666666</v>
      </c>
      <c r="AA5" s="91">
        <f t="shared" si="3"/>
        <v>9578.566666666666</v>
      </c>
      <c r="AB5" s="91">
        <f t="shared" si="3"/>
        <v>9578.566666666666</v>
      </c>
      <c r="AC5" s="91">
        <f aca="true" t="shared" si="4" ref="AC5:AI5">SUM(AC6:AC10)</f>
        <v>114942.8</v>
      </c>
      <c r="AD5" s="91">
        <f t="shared" si="4"/>
        <v>114942.80000000002</v>
      </c>
      <c r="AE5" s="91">
        <f t="shared" si="4"/>
        <v>114942.80000000002</v>
      </c>
      <c r="AF5" s="91">
        <f t="shared" si="4"/>
        <v>114942.80000000002</v>
      </c>
      <c r="AG5" s="91">
        <f t="shared" si="4"/>
        <v>114942.80000000002</v>
      </c>
      <c r="AH5" s="91">
        <f t="shared" si="4"/>
        <v>114942.80000000002</v>
      </c>
      <c r="AI5" s="91">
        <f t="shared" si="4"/>
        <v>114942.80000000002</v>
      </c>
      <c r="AJ5" s="92"/>
    </row>
    <row r="6" spans="1:36" s="81" customFormat="1" ht="12.75">
      <c r="A6" s="93" t="s">
        <v>326</v>
      </c>
      <c r="B6" s="90">
        <f>P6+AC6+AD6+AE6+AF6+AG6+AH6</f>
        <v>304819.2</v>
      </c>
      <c r="C6" s="9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1">
        <f>SUM(D6:O6)</f>
        <v>0</v>
      </c>
      <c r="Q6" s="94">
        <f>Продукция!Q11*Исх!$C$39</f>
        <v>4233.6</v>
      </c>
      <c r="R6" s="94">
        <f>Продукция!R11*Исх!$C$39</f>
        <v>4233.6</v>
      </c>
      <c r="S6" s="94">
        <f>Продукция!S11*Исх!$C$39</f>
        <v>4233.6</v>
      </c>
      <c r="T6" s="94">
        <f>Продукция!T11*Исх!$C$39</f>
        <v>4233.6</v>
      </c>
      <c r="U6" s="94">
        <f>Продукция!U11*Исх!$C$39</f>
        <v>4233.6</v>
      </c>
      <c r="V6" s="94">
        <f>Продукция!V11*Исх!$C$39</f>
        <v>4233.6</v>
      </c>
      <c r="W6" s="94">
        <f>Продукция!W11*Исх!$C$39</f>
        <v>4233.6</v>
      </c>
      <c r="X6" s="94">
        <f>Продукция!X11*Исх!$C$39</f>
        <v>4233.6</v>
      </c>
      <c r="Y6" s="94">
        <f>Продукция!Y11*Исх!$C$39</f>
        <v>4233.6</v>
      </c>
      <c r="Z6" s="94">
        <f>Продукция!Z11*Исх!$C$39</f>
        <v>4233.6</v>
      </c>
      <c r="AA6" s="94">
        <f>Продукция!AA11*Исх!$C$39</f>
        <v>4233.6</v>
      </c>
      <c r="AB6" s="94">
        <f>Продукция!AB11*Исх!$C$39</f>
        <v>4233.6</v>
      </c>
      <c r="AC6" s="91">
        <f>SUM(Q6:AB6)</f>
        <v>50803.19999999999</v>
      </c>
      <c r="AD6" s="94">
        <f>Продукция!AD11*Исх!$C$39</f>
        <v>50803.200000000004</v>
      </c>
      <c r="AE6" s="94">
        <f>Продукция!AE11*Исх!$C$39</f>
        <v>50803.200000000004</v>
      </c>
      <c r="AF6" s="94">
        <f>Продукция!AF11*Исх!$C$39</f>
        <v>50803.200000000004</v>
      </c>
      <c r="AG6" s="94">
        <f>Продукция!AG11*Исх!$C$39</f>
        <v>50803.200000000004</v>
      </c>
      <c r="AH6" s="94">
        <f>Продукция!AH11*Исх!$C$39</f>
        <v>50803.200000000004</v>
      </c>
      <c r="AI6" s="94">
        <f>Продукция!AI11*Исх!$C$39</f>
        <v>50803.200000000004</v>
      </c>
      <c r="AJ6" s="92"/>
    </row>
    <row r="7" spans="1:36" s="81" customFormat="1" ht="12.75">
      <c r="A7" s="93" t="s">
        <v>325</v>
      </c>
      <c r="B7" s="90">
        <f>P7+AC7+AD7+AE7+AF7+AG7+AH7</f>
        <v>33516</v>
      </c>
      <c r="C7" s="9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1">
        <f>SUM(D7:O7)</f>
        <v>0</v>
      </c>
      <c r="Q7" s="94">
        <f>Продукция!Q14*Исх!$C40</f>
        <v>465.5</v>
      </c>
      <c r="R7" s="94">
        <f>Продукция!R14*Исх!$C40</f>
        <v>465.5</v>
      </c>
      <c r="S7" s="94">
        <f>Продукция!S14*Исх!$C40</f>
        <v>465.5</v>
      </c>
      <c r="T7" s="94">
        <f>Продукция!T14*Исх!$C40</f>
        <v>465.5</v>
      </c>
      <c r="U7" s="94">
        <f>Продукция!U14*Исх!$C40</f>
        <v>465.5</v>
      </c>
      <c r="V7" s="94">
        <f>Продукция!V14*Исх!$C40</f>
        <v>465.5</v>
      </c>
      <c r="W7" s="94">
        <f>Продукция!W14*Исх!$C40</f>
        <v>465.5</v>
      </c>
      <c r="X7" s="94">
        <f>Продукция!X14*Исх!$C40</f>
        <v>465.5</v>
      </c>
      <c r="Y7" s="94">
        <f>Продукция!Y14*Исх!$C40</f>
        <v>465.5</v>
      </c>
      <c r="Z7" s="94">
        <f>Продукция!Z14*Исх!$C40</f>
        <v>465.5</v>
      </c>
      <c r="AA7" s="94">
        <f>Продукция!AA14*Исх!$C40</f>
        <v>465.5</v>
      </c>
      <c r="AB7" s="94">
        <f>Продукция!AB14*Исх!$C40</f>
        <v>465.5</v>
      </c>
      <c r="AC7" s="91">
        <f>SUM(Q7:AB7)</f>
        <v>5586</v>
      </c>
      <c r="AD7" s="94">
        <f>Продукция!AD14*Исх!$C40</f>
        <v>5586</v>
      </c>
      <c r="AE7" s="94">
        <f>Продукция!AE14*Исх!$C40</f>
        <v>5586</v>
      </c>
      <c r="AF7" s="94">
        <f>Продукция!AF14*Исх!$C40</f>
        <v>5586</v>
      </c>
      <c r="AG7" s="94">
        <f>Продукция!AG14*Исх!$C40</f>
        <v>5586</v>
      </c>
      <c r="AH7" s="94">
        <f>Продукция!AH14*Исх!$C40</f>
        <v>5586</v>
      </c>
      <c r="AI7" s="94">
        <f>Продукция!AI14*Исх!$C40</f>
        <v>5586</v>
      </c>
      <c r="AJ7" s="92"/>
    </row>
    <row r="8" spans="1:36" s="81" customFormat="1" ht="12.75">
      <c r="A8" s="93" t="s">
        <v>327</v>
      </c>
      <c r="B8" s="90">
        <f>P8+AC8+AD8+AE8+AF8+AG8+AH8</f>
        <v>191100</v>
      </c>
      <c r="C8" s="91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1">
        <f>SUM(D8:O8)</f>
        <v>0</v>
      </c>
      <c r="Q8" s="94">
        <f>Продукция!Q15*Исх!$C41</f>
        <v>2654.1666666666665</v>
      </c>
      <c r="R8" s="94">
        <f>Продукция!R15*Исх!$C41</f>
        <v>2654.1666666666665</v>
      </c>
      <c r="S8" s="94">
        <f>Продукция!S15*Исх!$C41</f>
        <v>2654.1666666666665</v>
      </c>
      <c r="T8" s="94">
        <f>Продукция!T15*Исх!$C41</f>
        <v>2654.1666666666665</v>
      </c>
      <c r="U8" s="94">
        <f>Продукция!U15*Исх!$C41</f>
        <v>2654.1666666666665</v>
      </c>
      <c r="V8" s="94">
        <f>Продукция!V15*Исх!$C41</f>
        <v>2654.1666666666665</v>
      </c>
      <c r="W8" s="94">
        <f>Продукция!W15*Исх!$C41</f>
        <v>2654.1666666666665</v>
      </c>
      <c r="X8" s="94">
        <f>Продукция!X15*Исх!$C41</f>
        <v>2654.1666666666665</v>
      </c>
      <c r="Y8" s="94">
        <f>Продукция!Y15*Исх!$C41</f>
        <v>2654.1666666666665</v>
      </c>
      <c r="Z8" s="94">
        <f>Продукция!Z15*Исх!$C41</f>
        <v>2654.1666666666665</v>
      </c>
      <c r="AA8" s="94">
        <f>Продукция!AA15*Исх!$C41</f>
        <v>2654.1666666666665</v>
      </c>
      <c r="AB8" s="94">
        <f>Продукция!AB15*Исх!$C41</f>
        <v>2654.1666666666665</v>
      </c>
      <c r="AC8" s="91">
        <f>SUM(Q8:AB8)</f>
        <v>31850.000000000004</v>
      </c>
      <c r="AD8" s="94">
        <f>Продукция!AD15*Исх!$C41</f>
        <v>31849.999999999996</v>
      </c>
      <c r="AE8" s="94">
        <f>Продукция!AE15*Исх!$C41</f>
        <v>31849.999999999996</v>
      </c>
      <c r="AF8" s="94">
        <f>Продукция!AF15*Исх!$C41</f>
        <v>31849.999999999996</v>
      </c>
      <c r="AG8" s="94">
        <f>Продукция!AG15*Исх!$C41</f>
        <v>31849.999999999996</v>
      </c>
      <c r="AH8" s="94">
        <f>Продукция!AH15*Исх!$C41</f>
        <v>31849.999999999996</v>
      </c>
      <c r="AI8" s="94">
        <f>Продукция!AI15*Исх!$C41</f>
        <v>31849.999999999996</v>
      </c>
      <c r="AJ8" s="92"/>
    </row>
    <row r="9" spans="1:36" s="81" customFormat="1" ht="12.75">
      <c r="A9" s="93" t="s">
        <v>328</v>
      </c>
      <c r="B9" s="90">
        <f>P9+AC9+AD9+AE9+AF9+AG9+AH9</f>
        <v>151200.00000000003</v>
      </c>
      <c r="C9" s="91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1">
        <f>SUM(D9:O9)</f>
        <v>0</v>
      </c>
      <c r="Q9" s="94">
        <f>Продукция!Q16*Исх!$C42</f>
        <v>2100.0000000000005</v>
      </c>
      <c r="R9" s="94">
        <f>Продукция!R16*Исх!$C42</f>
        <v>2100.0000000000005</v>
      </c>
      <c r="S9" s="94">
        <f>Продукция!S16*Исх!$C42</f>
        <v>2100.0000000000005</v>
      </c>
      <c r="T9" s="94">
        <f>Продукция!T16*Исх!$C42</f>
        <v>2100.0000000000005</v>
      </c>
      <c r="U9" s="94">
        <f>Продукция!U16*Исх!$C42</f>
        <v>2100.0000000000005</v>
      </c>
      <c r="V9" s="94">
        <f>Продукция!V16*Исх!$C42</f>
        <v>2100.0000000000005</v>
      </c>
      <c r="W9" s="94">
        <f>Продукция!W16*Исх!$C42</f>
        <v>2100.0000000000005</v>
      </c>
      <c r="X9" s="94">
        <f>Продукция!X16*Исх!$C42</f>
        <v>2100.0000000000005</v>
      </c>
      <c r="Y9" s="94">
        <f>Продукция!Y16*Исх!$C42</f>
        <v>2100.0000000000005</v>
      </c>
      <c r="Z9" s="94">
        <f>Продукция!Z16*Исх!$C42</f>
        <v>2100.0000000000005</v>
      </c>
      <c r="AA9" s="94">
        <f>Продукция!AA16*Исх!$C42</f>
        <v>2100.0000000000005</v>
      </c>
      <c r="AB9" s="94">
        <f>Продукция!AB16*Исх!$C42</f>
        <v>2100.0000000000005</v>
      </c>
      <c r="AC9" s="91">
        <f>SUM(Q9:AB9)</f>
        <v>25200.000000000004</v>
      </c>
      <c r="AD9" s="94">
        <f>Продукция!AD16*Исх!$C42</f>
        <v>25200.000000000007</v>
      </c>
      <c r="AE9" s="94">
        <f>Продукция!AE16*Исх!$C42</f>
        <v>25200.000000000007</v>
      </c>
      <c r="AF9" s="94">
        <f>Продукция!AF16*Исх!$C42</f>
        <v>25200.000000000007</v>
      </c>
      <c r="AG9" s="94">
        <f>Продукция!AG16*Исх!$C42</f>
        <v>25200.000000000007</v>
      </c>
      <c r="AH9" s="94">
        <f>Продукция!AH16*Исх!$C42</f>
        <v>25200.000000000007</v>
      </c>
      <c r="AI9" s="94">
        <f>Продукция!AI16*Исх!$C42</f>
        <v>25200.000000000007</v>
      </c>
      <c r="AJ9" s="92"/>
    </row>
    <row r="10" spans="1:36" s="81" customFormat="1" ht="12.75">
      <c r="A10" s="93" t="s">
        <v>312</v>
      </c>
      <c r="B10" s="90">
        <f>P10+AC10+AD10+AE10+AF10+AG10+AH10</f>
        <v>9021.6</v>
      </c>
      <c r="C10" s="9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1">
        <f>SUM(D10:O10)</f>
        <v>0</v>
      </c>
      <c r="Q10" s="94">
        <f>Продукция!Q17*Исх!$C43</f>
        <v>125.30000000000001</v>
      </c>
      <c r="R10" s="94">
        <f>Продукция!R17*Исх!$C43</f>
        <v>125.30000000000001</v>
      </c>
      <c r="S10" s="94">
        <f>Продукция!S17*Исх!$C43</f>
        <v>125.30000000000001</v>
      </c>
      <c r="T10" s="94">
        <f>Продукция!T17*Исх!$C43</f>
        <v>125.30000000000001</v>
      </c>
      <c r="U10" s="94">
        <f>Продукция!U17*Исх!$C43</f>
        <v>125.30000000000001</v>
      </c>
      <c r="V10" s="94">
        <f>Продукция!V17*Исх!$C43</f>
        <v>125.30000000000001</v>
      </c>
      <c r="W10" s="94">
        <f>Продукция!W17*Исх!$C43</f>
        <v>125.30000000000001</v>
      </c>
      <c r="X10" s="94">
        <f>Продукция!X17*Исх!$C43</f>
        <v>125.30000000000001</v>
      </c>
      <c r="Y10" s="94">
        <f>Продукция!Y17*Исх!$C43</f>
        <v>125.30000000000001</v>
      </c>
      <c r="Z10" s="94">
        <f>Продукция!Z17*Исх!$C43</f>
        <v>125.30000000000001</v>
      </c>
      <c r="AA10" s="94">
        <f>Продукция!AA17*Исх!$C43</f>
        <v>125.30000000000001</v>
      </c>
      <c r="AB10" s="94">
        <f>Продукция!AB17*Исх!$C43</f>
        <v>125.30000000000001</v>
      </c>
      <c r="AC10" s="91">
        <f>SUM(Q10:AB10)</f>
        <v>1503.5999999999997</v>
      </c>
      <c r="AD10" s="94">
        <f>Продукция!AD17*Исх!$C43</f>
        <v>1503.6000000000001</v>
      </c>
      <c r="AE10" s="94">
        <f>Продукция!AE17*Исх!$C43</f>
        <v>1503.6000000000001</v>
      </c>
      <c r="AF10" s="94">
        <f>Продукция!AF17*Исх!$C43</f>
        <v>1503.6000000000001</v>
      </c>
      <c r="AG10" s="94">
        <f>Продукция!AG17*Исх!$C43</f>
        <v>1503.6000000000001</v>
      </c>
      <c r="AH10" s="94">
        <f>Продукция!AH17*Исх!$C43</f>
        <v>1503.6000000000001</v>
      </c>
      <c r="AI10" s="94">
        <f>Продукция!AI17*Исх!$C43</f>
        <v>1503.6000000000001</v>
      </c>
      <c r="AJ10" s="92"/>
    </row>
    <row r="11" spans="1:35" ht="15" customHeight="1">
      <c r="A11" s="89" t="s">
        <v>347</v>
      </c>
      <c r="B11" s="90">
        <f aca="true" t="shared" si="5" ref="B11:B19">P11+AC11+AD11+AE11+AF11+AG11+AH11</f>
        <v>529843.8600000001</v>
      </c>
      <c r="C11" s="91"/>
      <c r="D11" s="91"/>
      <c r="E11" s="91"/>
      <c r="F11" s="91"/>
      <c r="G11" s="91"/>
      <c r="H11" s="91"/>
      <c r="I11" s="91"/>
      <c r="J11" s="91">
        <f aca="true" t="shared" si="6" ref="J11:AI11">SUM(J12)</f>
        <v>6792.87</v>
      </c>
      <c r="K11" s="91">
        <f t="shared" si="6"/>
        <v>6792.87</v>
      </c>
      <c r="L11" s="91">
        <f t="shared" si="6"/>
        <v>6792.87</v>
      </c>
      <c r="M11" s="91">
        <f t="shared" si="6"/>
        <v>6792.87</v>
      </c>
      <c r="N11" s="91">
        <f t="shared" si="6"/>
        <v>6792.87</v>
      </c>
      <c r="O11" s="91">
        <f t="shared" si="6"/>
        <v>6792.87</v>
      </c>
      <c r="P11" s="91">
        <f t="shared" si="6"/>
        <v>40757.22</v>
      </c>
      <c r="Q11" s="91">
        <f t="shared" si="6"/>
        <v>6792.87</v>
      </c>
      <c r="R11" s="91">
        <f t="shared" si="6"/>
        <v>6792.87</v>
      </c>
      <c r="S11" s="91">
        <f t="shared" si="6"/>
        <v>6792.87</v>
      </c>
      <c r="T11" s="91">
        <f t="shared" si="6"/>
        <v>6792.87</v>
      </c>
      <c r="U11" s="91">
        <f t="shared" si="6"/>
        <v>6792.87</v>
      </c>
      <c r="V11" s="91">
        <f t="shared" si="6"/>
        <v>6792.87</v>
      </c>
      <c r="W11" s="91">
        <f t="shared" si="6"/>
        <v>6792.87</v>
      </c>
      <c r="X11" s="91">
        <f t="shared" si="6"/>
        <v>6792.87</v>
      </c>
      <c r="Y11" s="91">
        <f t="shared" si="6"/>
        <v>6792.87</v>
      </c>
      <c r="Z11" s="91">
        <f t="shared" si="6"/>
        <v>6792.87</v>
      </c>
      <c r="AA11" s="91">
        <f t="shared" si="6"/>
        <v>6792.87</v>
      </c>
      <c r="AB11" s="91">
        <f t="shared" si="6"/>
        <v>6792.87</v>
      </c>
      <c r="AC11" s="91">
        <f t="shared" si="6"/>
        <v>81514.44</v>
      </c>
      <c r="AD11" s="91">
        <f t="shared" si="6"/>
        <v>81514.44</v>
      </c>
      <c r="AE11" s="91">
        <f t="shared" si="6"/>
        <v>81514.44</v>
      </c>
      <c r="AF11" s="91">
        <f t="shared" si="6"/>
        <v>81514.44</v>
      </c>
      <c r="AG11" s="91">
        <f t="shared" si="6"/>
        <v>81514.44</v>
      </c>
      <c r="AH11" s="91">
        <f t="shared" si="6"/>
        <v>81514.44</v>
      </c>
      <c r="AI11" s="91">
        <f t="shared" si="6"/>
        <v>81514.44</v>
      </c>
    </row>
    <row r="12" spans="1:36" s="81" customFormat="1" ht="12.75">
      <c r="A12" s="93" t="s">
        <v>329</v>
      </c>
      <c r="B12" s="90">
        <f>P12+AC12+AD12+AE12+AF12+AG12+AH12</f>
        <v>529843.8600000001</v>
      </c>
      <c r="C12" s="91"/>
      <c r="D12" s="94"/>
      <c r="E12" s="94"/>
      <c r="F12" s="94"/>
      <c r="G12" s="94"/>
      <c r="H12" s="94"/>
      <c r="I12" s="94"/>
      <c r="J12" s="94">
        <f>'Расх перем'!$E$13</f>
        <v>6792.87</v>
      </c>
      <c r="K12" s="94">
        <f>'Расх перем'!$E$13</f>
        <v>6792.87</v>
      </c>
      <c r="L12" s="94">
        <f>'Расх перем'!$E$13</f>
        <v>6792.87</v>
      </c>
      <c r="M12" s="94">
        <f>'Расх перем'!$E$13</f>
        <v>6792.87</v>
      </c>
      <c r="N12" s="94">
        <f>'Расх перем'!$E$13</f>
        <v>6792.87</v>
      </c>
      <c r="O12" s="94">
        <f>'Расх перем'!$E$13</f>
        <v>6792.87</v>
      </c>
      <c r="P12" s="91">
        <f>SUM(D12:O12)</f>
        <v>40757.22</v>
      </c>
      <c r="Q12" s="94">
        <f>'Расх перем'!$E$13</f>
        <v>6792.87</v>
      </c>
      <c r="R12" s="94">
        <f>'Расх перем'!$E$13</f>
        <v>6792.87</v>
      </c>
      <c r="S12" s="94">
        <f>'Расх перем'!$E$13</f>
        <v>6792.87</v>
      </c>
      <c r="T12" s="94">
        <f>'Расх перем'!$E$13</f>
        <v>6792.87</v>
      </c>
      <c r="U12" s="94">
        <f>'Расх перем'!$E$13</f>
        <v>6792.87</v>
      </c>
      <c r="V12" s="94">
        <f>'Расх перем'!$E$13</f>
        <v>6792.87</v>
      </c>
      <c r="W12" s="94">
        <f>'Расх перем'!$E$13</f>
        <v>6792.87</v>
      </c>
      <c r="X12" s="94">
        <f>'Расх перем'!$E$13</f>
        <v>6792.87</v>
      </c>
      <c r="Y12" s="94">
        <f>'Расх перем'!$E$13</f>
        <v>6792.87</v>
      </c>
      <c r="Z12" s="94">
        <f>'Расх перем'!$E$13</f>
        <v>6792.87</v>
      </c>
      <c r="AA12" s="94">
        <f>'Расх перем'!$E$13</f>
        <v>6792.87</v>
      </c>
      <c r="AB12" s="94">
        <f>'Расх перем'!$E$13</f>
        <v>6792.87</v>
      </c>
      <c r="AC12" s="91">
        <f>SUM(Q12:AB12)</f>
        <v>81514.44</v>
      </c>
      <c r="AD12" s="94">
        <f>'Расх перем'!$E$13*12</f>
        <v>81514.44</v>
      </c>
      <c r="AE12" s="94">
        <f>'Расх перем'!$E$13*12</f>
        <v>81514.44</v>
      </c>
      <c r="AF12" s="94">
        <f>'Расх перем'!$E$13*12</f>
        <v>81514.44</v>
      </c>
      <c r="AG12" s="94">
        <f>'Расх перем'!$E$13*12</f>
        <v>81514.44</v>
      </c>
      <c r="AH12" s="94">
        <f>'Расх перем'!$E$13*12</f>
        <v>81514.44</v>
      </c>
      <c r="AI12" s="94">
        <f>'Расх перем'!$E$13*12</f>
        <v>81514.44</v>
      </c>
      <c r="AJ12" s="92"/>
    </row>
    <row r="13" spans="1:35" s="81" customFormat="1" ht="15" customHeight="1">
      <c r="A13" s="89" t="s">
        <v>15</v>
      </c>
      <c r="B13" s="90">
        <f t="shared" si="5"/>
        <v>159812.94000000006</v>
      </c>
      <c r="C13" s="95"/>
      <c r="D13" s="91">
        <f aca="true" t="shared" si="7" ref="D13:AI13">D5-D11</f>
        <v>0</v>
      </c>
      <c r="E13" s="91">
        <f t="shared" si="7"/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-6792.87</v>
      </c>
      <c r="K13" s="91">
        <f t="shared" si="7"/>
        <v>-6792.87</v>
      </c>
      <c r="L13" s="91">
        <f t="shared" si="7"/>
        <v>-6792.87</v>
      </c>
      <c r="M13" s="91">
        <f t="shared" si="7"/>
        <v>-6792.87</v>
      </c>
      <c r="N13" s="91">
        <f t="shared" si="7"/>
        <v>-6792.87</v>
      </c>
      <c r="O13" s="91">
        <f t="shared" si="7"/>
        <v>-6792.87</v>
      </c>
      <c r="P13" s="91">
        <f t="shared" si="7"/>
        <v>-40757.22</v>
      </c>
      <c r="Q13" s="91">
        <f t="shared" si="7"/>
        <v>2785.696666666666</v>
      </c>
      <c r="R13" s="91">
        <f t="shared" si="7"/>
        <v>2785.696666666666</v>
      </c>
      <c r="S13" s="91">
        <f t="shared" si="7"/>
        <v>2785.696666666666</v>
      </c>
      <c r="T13" s="91">
        <f t="shared" si="7"/>
        <v>2785.696666666666</v>
      </c>
      <c r="U13" s="91">
        <f t="shared" si="7"/>
        <v>2785.696666666666</v>
      </c>
      <c r="V13" s="91">
        <f t="shared" si="7"/>
        <v>2785.696666666666</v>
      </c>
      <c r="W13" s="91">
        <f t="shared" si="7"/>
        <v>2785.696666666666</v>
      </c>
      <c r="X13" s="91">
        <f t="shared" si="7"/>
        <v>2785.696666666666</v>
      </c>
      <c r="Y13" s="91">
        <f t="shared" si="7"/>
        <v>2785.696666666666</v>
      </c>
      <c r="Z13" s="91">
        <f t="shared" si="7"/>
        <v>2785.696666666666</v>
      </c>
      <c r="AA13" s="91">
        <f t="shared" si="7"/>
        <v>2785.696666666666</v>
      </c>
      <c r="AB13" s="91">
        <f t="shared" si="7"/>
        <v>2785.696666666666</v>
      </c>
      <c r="AC13" s="91">
        <f t="shared" si="7"/>
        <v>33428.36</v>
      </c>
      <c r="AD13" s="91">
        <f t="shared" si="7"/>
        <v>33428.360000000015</v>
      </c>
      <c r="AE13" s="91">
        <f t="shared" si="7"/>
        <v>33428.360000000015</v>
      </c>
      <c r="AF13" s="91">
        <f t="shared" si="7"/>
        <v>33428.360000000015</v>
      </c>
      <c r="AG13" s="91">
        <f t="shared" si="7"/>
        <v>33428.360000000015</v>
      </c>
      <c r="AH13" s="91">
        <f t="shared" si="7"/>
        <v>33428.360000000015</v>
      </c>
      <c r="AI13" s="91">
        <f t="shared" si="7"/>
        <v>33428.360000000015</v>
      </c>
    </row>
    <row r="14" spans="1:35" ht="15" customHeight="1">
      <c r="A14" s="96" t="s">
        <v>143</v>
      </c>
      <c r="B14" s="90">
        <f t="shared" si="5"/>
        <v>35049.69507</v>
      </c>
      <c r="C14" s="91"/>
      <c r="D14" s="94"/>
      <c r="E14" s="94"/>
      <c r="F14" s="94"/>
      <c r="G14" s="94"/>
      <c r="H14" s="94"/>
      <c r="I14" s="94"/>
      <c r="J14" s="94">
        <f>Пост!$C$14+Пост!$C$16+Пост!$C$19</f>
        <v>449.355065</v>
      </c>
      <c r="K14" s="94">
        <f>Пост!$C$14+Пост!$C$16+Пост!$C$19</f>
        <v>449.355065</v>
      </c>
      <c r="L14" s="94">
        <f>Пост!$C$14+Пост!$C$16+Пост!$C$19</f>
        <v>449.355065</v>
      </c>
      <c r="M14" s="94">
        <f>Пост!$C$14+Пост!$C$16+Пост!$C$19</f>
        <v>449.355065</v>
      </c>
      <c r="N14" s="94">
        <f>Пост!$C$14+Пост!$C$16+Пост!$C$19</f>
        <v>449.355065</v>
      </c>
      <c r="O14" s="94">
        <f>Пост!$C$14+Пост!$C$16+Пост!$C$19</f>
        <v>449.355065</v>
      </c>
      <c r="P14" s="91">
        <f aca="true" t="shared" si="8" ref="P14:P19">SUM(D14:O14)</f>
        <v>2696.1303900000003</v>
      </c>
      <c r="Q14" s="94">
        <f>Пост!$D$14+Пост!$D$16+Пост!$D$19</f>
        <v>449.355065</v>
      </c>
      <c r="R14" s="94">
        <f>Пост!$D$14+Пост!$D$16+Пост!$D$19</f>
        <v>449.355065</v>
      </c>
      <c r="S14" s="94">
        <f>Пост!$D$14+Пост!$D$16+Пост!$D$19</f>
        <v>449.355065</v>
      </c>
      <c r="T14" s="94">
        <f>Пост!$D$14+Пост!$D$16+Пост!$D$19</f>
        <v>449.355065</v>
      </c>
      <c r="U14" s="94">
        <f>Пост!$D$14+Пост!$D$16+Пост!$D$19</f>
        <v>449.355065</v>
      </c>
      <c r="V14" s="94">
        <f>Пост!$D$14+Пост!$D$16+Пост!$D$19</f>
        <v>449.355065</v>
      </c>
      <c r="W14" s="94">
        <f>Пост!$D$14+Пост!$D$16+Пост!$D$19</f>
        <v>449.355065</v>
      </c>
      <c r="X14" s="94">
        <f>Пост!$D$14+Пост!$D$16+Пост!$D$19</f>
        <v>449.355065</v>
      </c>
      <c r="Y14" s="94">
        <f>Пост!$D$14+Пост!$D$16+Пост!$D$19</f>
        <v>449.355065</v>
      </c>
      <c r="Z14" s="94">
        <f>Пост!$D$14+Пост!$D$16+Пост!$D$19</f>
        <v>449.355065</v>
      </c>
      <c r="AA14" s="94">
        <f>Пост!$D$14+Пост!$D$16+Пост!$D$19</f>
        <v>449.355065</v>
      </c>
      <c r="AB14" s="94">
        <f>Пост!$D$14+Пост!$D$16+Пост!$D$19</f>
        <v>449.355065</v>
      </c>
      <c r="AC14" s="91">
        <f aca="true" t="shared" si="9" ref="AC14:AC19">SUM(Q14:AB14)</f>
        <v>5392.2607800000005</v>
      </c>
      <c r="AD14" s="94">
        <f>(Пост!E14+Пост!E16+Пост!E19)*12</f>
        <v>5392.2607800000005</v>
      </c>
      <c r="AE14" s="94">
        <f>(Пост!F14+Пост!F16+Пост!F19)*12</f>
        <v>5392.2607800000005</v>
      </c>
      <c r="AF14" s="94">
        <f>(Пост!G14+Пост!G16+Пост!G19)*12</f>
        <v>5392.2607800000005</v>
      </c>
      <c r="AG14" s="94">
        <f>(Пост!H14+Пост!H16+Пост!H19)*12</f>
        <v>5392.2607800000005</v>
      </c>
      <c r="AH14" s="94">
        <f>(Пост!I14+Пост!I16+Пост!I19)*12</f>
        <v>5392.2607800000005</v>
      </c>
      <c r="AI14" s="94">
        <f>(Пост!J14+Пост!J16+Пост!J19)*12</f>
        <v>5392.2607800000005</v>
      </c>
    </row>
    <row r="15" spans="1:35" ht="15" customHeight="1">
      <c r="A15" s="96" t="s">
        <v>74</v>
      </c>
      <c r="B15" s="90">
        <f t="shared" si="5"/>
        <v>30873.161136133345</v>
      </c>
      <c r="C15" s="91"/>
      <c r="D15" s="94"/>
      <c r="E15" s="94"/>
      <c r="F15" s="94"/>
      <c r="G15" s="94"/>
      <c r="H15" s="94"/>
      <c r="I15" s="94"/>
      <c r="J15" s="94">
        <f>Пост!$C$29/6</f>
        <v>395.8097581555557</v>
      </c>
      <c r="K15" s="94">
        <f>Пост!$C$29/6</f>
        <v>395.8097581555557</v>
      </c>
      <c r="L15" s="94">
        <f>Пост!$C$29/6</f>
        <v>395.8097581555557</v>
      </c>
      <c r="M15" s="94">
        <f>Пост!$C$29/6</f>
        <v>395.8097581555557</v>
      </c>
      <c r="N15" s="94">
        <f>Пост!$C$29/6</f>
        <v>395.8097581555557</v>
      </c>
      <c r="O15" s="94">
        <f>Пост!$C$29/6</f>
        <v>395.8097581555557</v>
      </c>
      <c r="P15" s="91">
        <f t="shared" si="8"/>
        <v>2374.858548933334</v>
      </c>
      <c r="Q15" s="94">
        <f>Пост!$D$29/12</f>
        <v>395.8097581555557</v>
      </c>
      <c r="R15" s="94">
        <f>Пост!$D$29/12</f>
        <v>395.8097581555557</v>
      </c>
      <c r="S15" s="94">
        <f>Пост!$D$29/12</f>
        <v>395.8097581555557</v>
      </c>
      <c r="T15" s="94">
        <f>Пост!$D$29/12</f>
        <v>395.8097581555557</v>
      </c>
      <c r="U15" s="94">
        <f>Пост!$D$29/12</f>
        <v>395.8097581555557</v>
      </c>
      <c r="V15" s="94">
        <f>Пост!$D$29/12</f>
        <v>395.8097581555557</v>
      </c>
      <c r="W15" s="94">
        <f>Пост!$D$29/12</f>
        <v>395.8097581555557</v>
      </c>
      <c r="X15" s="94">
        <f>Пост!$D$29/12</f>
        <v>395.8097581555557</v>
      </c>
      <c r="Y15" s="94">
        <f>Пост!$D$29/12</f>
        <v>395.8097581555557</v>
      </c>
      <c r="Z15" s="94">
        <f>Пост!$D$29/12</f>
        <v>395.8097581555557</v>
      </c>
      <c r="AA15" s="94">
        <f>Пост!$D$29/12</f>
        <v>395.8097581555557</v>
      </c>
      <c r="AB15" s="94">
        <f>Пост!$D$29/12</f>
        <v>395.8097581555557</v>
      </c>
      <c r="AC15" s="91">
        <f t="shared" si="9"/>
        <v>4749.717097866668</v>
      </c>
      <c r="AD15" s="94">
        <f>Пост!E29</f>
        <v>4749.717097866668</v>
      </c>
      <c r="AE15" s="94">
        <f>Пост!F29</f>
        <v>4749.717097866668</v>
      </c>
      <c r="AF15" s="94">
        <f>Пост!G29</f>
        <v>4749.717097866668</v>
      </c>
      <c r="AG15" s="94">
        <f>Пост!H29</f>
        <v>4749.717097866668</v>
      </c>
      <c r="AH15" s="94">
        <f>Пост!I29</f>
        <v>4749.717097866668</v>
      </c>
      <c r="AI15" s="94">
        <f>Пост!J29</f>
        <v>4749.717097866668</v>
      </c>
    </row>
    <row r="16" spans="1:35" ht="15" customHeight="1">
      <c r="A16" s="96" t="s">
        <v>25</v>
      </c>
      <c r="B16" s="90">
        <f t="shared" si="5"/>
        <v>21267.819711395834</v>
      </c>
      <c r="C16" s="91"/>
      <c r="D16" s="94">
        <f>кр!C9</f>
        <v>0</v>
      </c>
      <c r="E16" s="94">
        <f>кр!D9</f>
        <v>0</v>
      </c>
      <c r="F16" s="94">
        <f>кр!E9</f>
        <v>0</v>
      </c>
      <c r="G16" s="94">
        <f>кр!F9</f>
        <v>0</v>
      </c>
      <c r="H16" s="94">
        <f>кр!G9</f>
        <v>134.50929454666672</v>
      </c>
      <c r="I16" s="94">
        <f>кр!H9</f>
        <v>269.01858909333345</v>
      </c>
      <c r="J16" s="94">
        <f>кр!I9</f>
        <v>443.8712169733335</v>
      </c>
      <c r="K16" s="94">
        <f>кр!J9</f>
        <v>443.8712169733335</v>
      </c>
      <c r="L16" s="94">
        <f>кр!K9</f>
        <v>443.8712169733335</v>
      </c>
      <c r="M16" s="94">
        <f>кр!L9</f>
        <v>443.8712169733335</v>
      </c>
      <c r="N16" s="94">
        <f>кр!M9</f>
        <v>443.8712169733335</v>
      </c>
      <c r="O16" s="94">
        <f>кр!N9</f>
        <v>443.8712169733335</v>
      </c>
      <c r="P16" s="91">
        <f t="shared" si="8"/>
        <v>3066.7551854800013</v>
      </c>
      <c r="Q16" s="94">
        <f>кр!P9</f>
        <v>461.7606222219668</v>
      </c>
      <c r="R16" s="94">
        <f>кр!Q9</f>
        <v>461.7606222219668</v>
      </c>
      <c r="S16" s="94">
        <f>кр!R9</f>
        <v>461.7606222219668</v>
      </c>
      <c r="T16" s="94">
        <f>кр!S9</f>
        <v>461.7606222219668</v>
      </c>
      <c r="U16" s="94">
        <f>кр!T9</f>
        <v>455.34728024666174</v>
      </c>
      <c r="V16" s="94">
        <f>кр!U9</f>
        <v>448.93393827135657</v>
      </c>
      <c r="W16" s="94">
        <f>кр!V9</f>
        <v>442.5205962960515</v>
      </c>
      <c r="X16" s="94">
        <f>кр!W9</f>
        <v>436.10725432074634</v>
      </c>
      <c r="Y16" s="94">
        <f>кр!X9</f>
        <v>429.6939123454413</v>
      </c>
      <c r="Z16" s="94">
        <f>кр!Y9</f>
        <v>423.2805703701361</v>
      </c>
      <c r="AA16" s="94">
        <f>кр!Z9</f>
        <v>416.86722839483105</v>
      </c>
      <c r="AB16" s="94">
        <f>кр!AA9</f>
        <v>410.453886419526</v>
      </c>
      <c r="AC16" s="91">
        <f t="shared" si="9"/>
        <v>5310.247155552617</v>
      </c>
      <c r="AD16" s="94">
        <f>кр!AO9</f>
        <v>4425.205962960513</v>
      </c>
      <c r="AE16" s="94">
        <f>кр!BB9</f>
        <v>3501.684718516577</v>
      </c>
      <c r="AF16" s="94">
        <f>кр!BO9</f>
        <v>2578.1634740726413</v>
      </c>
      <c r="AG16" s="94">
        <f>кр!CB9</f>
        <v>1654.642229628708</v>
      </c>
      <c r="AH16" s="94">
        <f>кр!CO9</f>
        <v>731.1209851847747</v>
      </c>
      <c r="AI16" s="94">
        <f>кр!DB9</f>
        <v>38.48005185182451</v>
      </c>
    </row>
    <row r="17" spans="1:35" ht="15" customHeight="1">
      <c r="A17" s="96" t="s">
        <v>213</v>
      </c>
      <c r="B17" s="90">
        <f t="shared" si="5"/>
        <v>72622.26408247088</v>
      </c>
      <c r="C17" s="95"/>
      <c r="D17" s="94">
        <f>D13-D14-D16-D15</f>
        <v>0</v>
      </c>
      <c r="E17" s="94">
        <f aca="true" t="shared" si="10" ref="E17:O17">E13-E14-E16-E15</f>
        <v>0</v>
      </c>
      <c r="F17" s="94">
        <f t="shared" si="10"/>
        <v>0</v>
      </c>
      <c r="G17" s="94">
        <f t="shared" si="10"/>
        <v>0</v>
      </c>
      <c r="H17" s="94">
        <f t="shared" si="10"/>
        <v>-134.50929454666672</v>
      </c>
      <c r="I17" s="94">
        <f t="shared" si="10"/>
        <v>-269.01858909333345</v>
      </c>
      <c r="J17" s="94">
        <f t="shared" si="10"/>
        <v>-8081.906040128889</v>
      </c>
      <c r="K17" s="94">
        <f t="shared" si="10"/>
        <v>-8081.906040128889</v>
      </c>
      <c r="L17" s="94">
        <f t="shared" si="10"/>
        <v>-8081.906040128889</v>
      </c>
      <c r="M17" s="94">
        <f t="shared" si="10"/>
        <v>-8081.906040128889</v>
      </c>
      <c r="N17" s="94">
        <f t="shared" si="10"/>
        <v>-8081.906040128889</v>
      </c>
      <c r="O17" s="94">
        <f t="shared" si="10"/>
        <v>-8081.906040128889</v>
      </c>
      <c r="P17" s="91">
        <f t="shared" si="8"/>
        <v>-48894.96412441333</v>
      </c>
      <c r="Q17" s="94">
        <f aca="true" t="shared" si="11" ref="Q17:AB17">Q13-Q14-Q16-Q15</f>
        <v>1478.771221289143</v>
      </c>
      <c r="R17" s="94">
        <f t="shared" si="11"/>
        <v>1478.771221289143</v>
      </c>
      <c r="S17" s="94">
        <f t="shared" si="11"/>
        <v>1478.771221289143</v>
      </c>
      <c r="T17" s="94">
        <f t="shared" si="11"/>
        <v>1478.771221289143</v>
      </c>
      <c r="U17" s="94">
        <f t="shared" si="11"/>
        <v>1485.1845632644481</v>
      </c>
      <c r="V17" s="94">
        <f t="shared" si="11"/>
        <v>1491.5979052397533</v>
      </c>
      <c r="W17" s="94">
        <f t="shared" si="11"/>
        <v>1498.0112472150583</v>
      </c>
      <c r="X17" s="94">
        <f t="shared" si="11"/>
        <v>1504.4245891903636</v>
      </c>
      <c r="Y17" s="94">
        <f t="shared" si="11"/>
        <v>1510.8379311656686</v>
      </c>
      <c r="Z17" s="94">
        <f t="shared" si="11"/>
        <v>1517.2512731409738</v>
      </c>
      <c r="AA17" s="94">
        <f t="shared" si="11"/>
        <v>1523.6646151162788</v>
      </c>
      <c r="AB17" s="94">
        <f t="shared" si="11"/>
        <v>1530.0779570915838</v>
      </c>
      <c r="AC17" s="91">
        <f t="shared" si="9"/>
        <v>17976.1349665807</v>
      </c>
      <c r="AD17" s="94">
        <f aca="true" t="shared" si="12" ref="AD17:AI17">AD13-AD14-AD16-AD15</f>
        <v>18861.176159172832</v>
      </c>
      <c r="AE17" s="94">
        <f t="shared" si="12"/>
        <v>19784.697403616767</v>
      </c>
      <c r="AF17" s="94">
        <f t="shared" si="12"/>
        <v>20708.218648060705</v>
      </c>
      <c r="AG17" s="94">
        <f t="shared" si="12"/>
        <v>21631.739892504636</v>
      </c>
      <c r="AH17" s="94">
        <f t="shared" si="12"/>
        <v>22555.26113694857</v>
      </c>
      <c r="AI17" s="94">
        <f t="shared" si="12"/>
        <v>23247.90207028152</v>
      </c>
    </row>
    <row r="18" spans="1:35" ht="15" customHeight="1">
      <c r="A18" s="96" t="s">
        <v>203</v>
      </c>
      <c r="B18" s="90">
        <f t="shared" si="5"/>
        <v>2.9358333333333335</v>
      </c>
      <c r="C18" s="91"/>
      <c r="D18" s="94">
        <f>IF(D17+C20&lt;0,0,IF(C20&lt;0,(C20+D17)*Исх!$C$22,D17*Исх!$C$22))</f>
        <v>0</v>
      </c>
      <c r="E18" s="94">
        <f>IF(E17+D20&lt;0,0,IF(D20&lt;0,(D20+E17)*Исх!$C$22,E17*Исх!$C$22))</f>
        <v>0</v>
      </c>
      <c r="F18" s="94">
        <f>IF(F17+E20&lt;0,0,IF(E20&lt;0,(E20+F17)*Исх!$C$22,F17*Исх!$C$22))</f>
        <v>0</v>
      </c>
      <c r="G18" s="94">
        <f>IF(G17+F20&lt;0,0,IF(F20&lt;0,(F20+G17)*Исх!$C$22,G17*Исх!$C$22))</f>
        <v>0</v>
      </c>
      <c r="H18" s="94">
        <f>IF(H17+G20&lt;0,0,IF(G20&lt;0,(G20+H17)*Исх!$C$22,H17*Исх!$C$22))</f>
        <v>0</v>
      </c>
      <c r="I18" s="94">
        <f>IF(I17+H20&lt;0,0,IF(H20&lt;0,(H20+I17)*Исх!$C$22,I17*Исх!$C$22))</f>
        <v>0</v>
      </c>
      <c r="J18" s="94">
        <f>Исх!$E$60/12</f>
        <v>0.037638888888888895</v>
      </c>
      <c r="K18" s="94">
        <f>Исх!$E$60/12</f>
        <v>0.037638888888888895</v>
      </c>
      <c r="L18" s="94">
        <f>Исх!$E$60/12</f>
        <v>0.037638888888888895</v>
      </c>
      <c r="M18" s="94">
        <f>Исх!$E$60/12</f>
        <v>0.037638888888888895</v>
      </c>
      <c r="N18" s="94">
        <f>Исх!$E$60/12</f>
        <v>0.037638888888888895</v>
      </c>
      <c r="O18" s="94">
        <f>Исх!$E$60/12</f>
        <v>0.037638888888888895</v>
      </c>
      <c r="P18" s="91">
        <f t="shared" si="8"/>
        <v>0.22583333333333336</v>
      </c>
      <c r="Q18" s="94">
        <f>Исх!$E$60/12</f>
        <v>0.037638888888888895</v>
      </c>
      <c r="R18" s="94">
        <f>Исх!$E$60/12</f>
        <v>0.037638888888888895</v>
      </c>
      <c r="S18" s="94">
        <f>Исх!$E$60/12</f>
        <v>0.037638888888888895</v>
      </c>
      <c r="T18" s="94">
        <f>Исх!$E$60/12</f>
        <v>0.037638888888888895</v>
      </c>
      <c r="U18" s="94">
        <f>Исх!$E$60/12</f>
        <v>0.037638888888888895</v>
      </c>
      <c r="V18" s="94">
        <f>Исх!$E$60/12</f>
        <v>0.037638888888888895</v>
      </c>
      <c r="W18" s="94">
        <f>Исх!$E$60/12</f>
        <v>0.037638888888888895</v>
      </c>
      <c r="X18" s="94">
        <f>Исх!$E$60/12</f>
        <v>0.037638888888888895</v>
      </c>
      <c r="Y18" s="94">
        <f>Исх!$E$60/12</f>
        <v>0.037638888888888895</v>
      </c>
      <c r="Z18" s="94">
        <f>Исх!$E$60/12</f>
        <v>0.037638888888888895</v>
      </c>
      <c r="AA18" s="94">
        <f>Исх!$E$60/12</f>
        <v>0.037638888888888895</v>
      </c>
      <c r="AB18" s="94">
        <f>Исх!$E$60/12</f>
        <v>0.037638888888888895</v>
      </c>
      <c r="AC18" s="91">
        <f t="shared" si="9"/>
        <v>0.4516666666666667</v>
      </c>
      <c r="AD18" s="94">
        <f>Исх!$E$60</f>
        <v>0.4516666666666667</v>
      </c>
      <c r="AE18" s="94">
        <f>Исх!$E$60</f>
        <v>0.4516666666666667</v>
      </c>
      <c r="AF18" s="94">
        <f>Исх!$E$60</f>
        <v>0.4516666666666667</v>
      </c>
      <c r="AG18" s="94">
        <f>Исх!$E$60</f>
        <v>0.4516666666666667</v>
      </c>
      <c r="AH18" s="94">
        <f>Исх!$E$60</f>
        <v>0.4516666666666667</v>
      </c>
      <c r="AI18" s="94">
        <f>Исх!$E$60</f>
        <v>0.4516666666666667</v>
      </c>
    </row>
    <row r="19" spans="1:35" s="81" customFormat="1" ht="15" customHeight="1">
      <c r="A19" s="89" t="s">
        <v>225</v>
      </c>
      <c r="B19" s="90">
        <f t="shared" si="5"/>
        <v>72619.32824913754</v>
      </c>
      <c r="C19" s="95"/>
      <c r="D19" s="91">
        <f aca="true" t="shared" si="13" ref="D19:Q19">D17-D18</f>
        <v>0</v>
      </c>
      <c r="E19" s="91">
        <f>E17-E18</f>
        <v>0</v>
      </c>
      <c r="F19" s="91">
        <f t="shared" si="13"/>
        <v>0</v>
      </c>
      <c r="G19" s="91">
        <f t="shared" si="13"/>
        <v>0</v>
      </c>
      <c r="H19" s="91">
        <f t="shared" si="13"/>
        <v>-134.50929454666672</v>
      </c>
      <c r="I19" s="91">
        <f t="shared" si="13"/>
        <v>-269.01858909333345</v>
      </c>
      <c r="J19" s="91">
        <f t="shared" si="13"/>
        <v>-8081.943679017778</v>
      </c>
      <c r="K19" s="91">
        <f t="shared" si="13"/>
        <v>-8081.943679017778</v>
      </c>
      <c r="L19" s="91">
        <f t="shared" si="13"/>
        <v>-8081.943679017778</v>
      </c>
      <c r="M19" s="91">
        <f t="shared" si="13"/>
        <v>-8081.943679017778</v>
      </c>
      <c r="N19" s="91">
        <f t="shared" si="13"/>
        <v>-8081.943679017778</v>
      </c>
      <c r="O19" s="91">
        <f t="shared" si="13"/>
        <v>-8081.943679017778</v>
      </c>
      <c r="P19" s="91">
        <f t="shared" si="8"/>
        <v>-48895.18995774667</v>
      </c>
      <c r="Q19" s="91">
        <f t="shared" si="13"/>
        <v>1478.7335824002541</v>
      </c>
      <c r="R19" s="91">
        <f aca="true" t="shared" si="14" ref="R19:AF19">R17-R18</f>
        <v>1478.7335824002541</v>
      </c>
      <c r="S19" s="91">
        <f t="shared" si="14"/>
        <v>1478.7335824002541</v>
      </c>
      <c r="T19" s="91">
        <f t="shared" si="14"/>
        <v>1478.7335824002541</v>
      </c>
      <c r="U19" s="91">
        <f t="shared" si="14"/>
        <v>1485.1469243755591</v>
      </c>
      <c r="V19" s="91">
        <f t="shared" si="14"/>
        <v>1491.5602663508644</v>
      </c>
      <c r="W19" s="91">
        <f t="shared" si="14"/>
        <v>1497.9736083261694</v>
      </c>
      <c r="X19" s="91">
        <f t="shared" si="14"/>
        <v>1504.3869503014746</v>
      </c>
      <c r="Y19" s="91">
        <f t="shared" si="14"/>
        <v>1510.8002922767796</v>
      </c>
      <c r="Z19" s="91">
        <f t="shared" si="14"/>
        <v>1517.2136342520848</v>
      </c>
      <c r="AA19" s="91">
        <f t="shared" si="14"/>
        <v>1523.6269762273898</v>
      </c>
      <c r="AB19" s="91">
        <f t="shared" si="14"/>
        <v>1530.0403182026948</v>
      </c>
      <c r="AC19" s="91">
        <f t="shared" si="9"/>
        <v>17975.68329991403</v>
      </c>
      <c r="AD19" s="91">
        <f t="shared" si="14"/>
        <v>18860.724492506164</v>
      </c>
      <c r="AE19" s="91">
        <f t="shared" si="14"/>
        <v>19784.2457369501</v>
      </c>
      <c r="AF19" s="91">
        <f t="shared" si="14"/>
        <v>20707.766981394037</v>
      </c>
      <c r="AG19" s="91">
        <f>AG17-AG18</f>
        <v>21631.28822583797</v>
      </c>
      <c r="AH19" s="91">
        <f>AH17-AH18</f>
        <v>22554.809470281903</v>
      </c>
      <c r="AI19" s="91">
        <f>AI17-AI18</f>
        <v>23247.450403614854</v>
      </c>
    </row>
    <row r="20" spans="1:35" ht="15" customHeight="1">
      <c r="A20" s="96" t="s">
        <v>226</v>
      </c>
      <c r="B20" s="97">
        <f>AH20</f>
        <v>72619.32824913751</v>
      </c>
      <c r="C20" s="98"/>
      <c r="D20" s="94">
        <f>C20+D19</f>
        <v>0</v>
      </c>
      <c r="E20" s="94">
        <f>D20+E19</f>
        <v>0</v>
      </c>
      <c r="F20" s="94">
        <f aca="true" t="shared" si="15" ref="F20:O20">E20+F19</f>
        <v>0</v>
      </c>
      <c r="G20" s="94">
        <f t="shared" si="15"/>
        <v>0</v>
      </c>
      <c r="H20" s="94">
        <f t="shared" si="15"/>
        <v>-134.50929454666672</v>
      </c>
      <c r="I20" s="94">
        <f t="shared" si="15"/>
        <v>-403.52788364000014</v>
      </c>
      <c r="J20" s="94">
        <f t="shared" si="15"/>
        <v>-8485.471562657778</v>
      </c>
      <c r="K20" s="94">
        <f t="shared" si="15"/>
        <v>-16567.415241675557</v>
      </c>
      <c r="L20" s="94">
        <f t="shared" si="15"/>
        <v>-24649.358920693336</v>
      </c>
      <c r="M20" s="94">
        <f t="shared" si="15"/>
        <v>-32731.302599711114</v>
      </c>
      <c r="N20" s="94">
        <f t="shared" si="15"/>
        <v>-40813.24627872889</v>
      </c>
      <c r="O20" s="94">
        <f t="shared" si="15"/>
        <v>-48895.18995774667</v>
      </c>
      <c r="P20" s="91">
        <f>O20</f>
        <v>-48895.18995774667</v>
      </c>
      <c r="Q20" s="94">
        <f>P20+Q19</f>
        <v>-47416.45637534642</v>
      </c>
      <c r="R20" s="94">
        <f aca="true" t="shared" si="16" ref="R20:AA20">Q20+R19</f>
        <v>-45937.722792946166</v>
      </c>
      <c r="S20" s="94">
        <f t="shared" si="16"/>
        <v>-44458.989210545915</v>
      </c>
      <c r="T20" s="94">
        <f t="shared" si="16"/>
        <v>-42980.255628145664</v>
      </c>
      <c r="U20" s="94">
        <f t="shared" si="16"/>
        <v>-41495.10870377011</v>
      </c>
      <c r="V20" s="94">
        <f t="shared" si="16"/>
        <v>-40003.548437419246</v>
      </c>
      <c r="W20" s="94">
        <f t="shared" si="16"/>
        <v>-38505.57482909308</v>
      </c>
      <c r="X20" s="94">
        <f t="shared" si="16"/>
        <v>-37001.18787879161</v>
      </c>
      <c r="Y20" s="94">
        <f t="shared" si="16"/>
        <v>-35490.38758651483</v>
      </c>
      <c r="Z20" s="94">
        <f t="shared" si="16"/>
        <v>-33973.17395226275</v>
      </c>
      <c r="AA20" s="94">
        <f t="shared" si="16"/>
        <v>-32449.546976035355</v>
      </c>
      <c r="AB20" s="94">
        <f>AA20+AB19</f>
        <v>-30919.50665783266</v>
      </c>
      <c r="AC20" s="91">
        <f>AB20</f>
        <v>-30919.50665783266</v>
      </c>
      <c r="AD20" s="94">
        <f aca="true" t="shared" si="17" ref="AD20:AI20">AC20+AD19</f>
        <v>-12058.782165326495</v>
      </c>
      <c r="AE20" s="94">
        <f t="shared" si="17"/>
        <v>7725.463571623604</v>
      </c>
      <c r="AF20" s="94">
        <f t="shared" si="17"/>
        <v>28433.23055301764</v>
      </c>
      <c r="AG20" s="94">
        <f t="shared" si="17"/>
        <v>50064.51877885561</v>
      </c>
      <c r="AH20" s="94">
        <f t="shared" si="17"/>
        <v>72619.32824913751</v>
      </c>
      <c r="AI20" s="94">
        <f t="shared" si="17"/>
        <v>95866.77865275237</v>
      </c>
    </row>
    <row r="21" spans="1:178" ht="1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</row>
    <row r="22" spans="1:178" ht="15" customHeight="1">
      <c r="A22" s="82"/>
      <c r="B22" s="100"/>
      <c r="C22" s="100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</row>
    <row r="23" spans="1:178" ht="1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</row>
    <row r="24" spans="1:35" ht="12.75" hidden="1">
      <c r="A24" s="101" t="s">
        <v>50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48" s="105" customFormat="1" ht="12.75" hidden="1">
      <c r="A25" s="318" t="s">
        <v>2</v>
      </c>
      <c r="B25" s="321" t="s">
        <v>0</v>
      </c>
      <c r="C25" s="102"/>
      <c r="D25" s="312">
        <f>D3</f>
        <v>2014</v>
      </c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4"/>
      <c r="Q25" s="312">
        <f>Q3</f>
        <v>2015</v>
      </c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4"/>
      <c r="AD25" s="103">
        <f aca="true" t="shared" si="18" ref="AD25:AI25">AD3</f>
        <v>2016</v>
      </c>
      <c r="AE25" s="103">
        <f t="shared" si="18"/>
        <v>2017</v>
      </c>
      <c r="AF25" s="103">
        <f t="shared" si="18"/>
        <v>2018</v>
      </c>
      <c r="AG25" s="103">
        <f t="shared" si="18"/>
        <v>2019</v>
      </c>
      <c r="AH25" s="103">
        <f t="shared" si="18"/>
        <v>2020</v>
      </c>
      <c r="AI25" s="103">
        <f t="shared" si="18"/>
        <v>2021</v>
      </c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</row>
    <row r="26" spans="1:48" s="105" customFormat="1" ht="19.5" customHeight="1" hidden="1">
      <c r="A26" s="319"/>
      <c r="B26" s="322"/>
      <c r="C26" s="106"/>
      <c r="D26" s="107">
        <f>D4</f>
        <v>1</v>
      </c>
      <c r="E26" s="107">
        <f aca="true" t="shared" si="19" ref="E26:O26">E4</f>
        <v>2</v>
      </c>
      <c r="F26" s="107">
        <f t="shared" si="19"/>
        <v>3</v>
      </c>
      <c r="G26" s="107">
        <f t="shared" si="19"/>
        <v>4</v>
      </c>
      <c r="H26" s="107">
        <f t="shared" si="19"/>
        <v>5</v>
      </c>
      <c r="I26" s="107">
        <f t="shared" si="19"/>
        <v>6</v>
      </c>
      <c r="J26" s="107">
        <f t="shared" si="19"/>
        <v>7</v>
      </c>
      <c r="K26" s="107">
        <f t="shared" si="19"/>
        <v>8</v>
      </c>
      <c r="L26" s="107">
        <f t="shared" si="19"/>
        <v>9</v>
      </c>
      <c r="M26" s="107">
        <f t="shared" si="19"/>
        <v>10</v>
      </c>
      <c r="N26" s="107">
        <f t="shared" si="19"/>
        <v>11</v>
      </c>
      <c r="O26" s="107">
        <f t="shared" si="19"/>
        <v>12</v>
      </c>
      <c r="P26" s="108" t="s">
        <v>0</v>
      </c>
      <c r="Q26" s="107">
        <f>Q4</f>
        <v>1</v>
      </c>
      <c r="R26" s="107">
        <f aca="true" t="shared" si="20" ref="R26:AB26">R4</f>
        <v>2</v>
      </c>
      <c r="S26" s="107">
        <f t="shared" si="20"/>
        <v>3</v>
      </c>
      <c r="T26" s="107">
        <f t="shared" si="20"/>
        <v>4</v>
      </c>
      <c r="U26" s="107">
        <f t="shared" si="20"/>
        <v>5</v>
      </c>
      <c r="V26" s="107">
        <f t="shared" si="20"/>
        <v>6</v>
      </c>
      <c r="W26" s="107">
        <f t="shared" si="20"/>
        <v>7</v>
      </c>
      <c r="X26" s="107">
        <f t="shared" si="20"/>
        <v>8</v>
      </c>
      <c r="Y26" s="107">
        <f t="shared" si="20"/>
        <v>9</v>
      </c>
      <c r="Z26" s="107">
        <f t="shared" si="20"/>
        <v>10</v>
      </c>
      <c r="AA26" s="107">
        <f t="shared" si="20"/>
        <v>11</v>
      </c>
      <c r="AB26" s="107">
        <f t="shared" si="20"/>
        <v>12</v>
      </c>
      <c r="AC26" s="108" t="s">
        <v>0</v>
      </c>
      <c r="AD26" s="108"/>
      <c r="AE26" s="108"/>
      <c r="AF26" s="108"/>
      <c r="AG26" s="108"/>
      <c r="AH26" s="108"/>
      <c r="AI26" s="108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</row>
    <row r="27" spans="1:48" s="105" customFormat="1" ht="12.75" hidden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</row>
    <row r="28" spans="1:48" s="105" customFormat="1" ht="12.75" hidden="1">
      <c r="A28" s="109" t="s">
        <v>161</v>
      </c>
      <c r="B28" s="97">
        <f>P28+AC28+AD28+AE28+AF28+AG28+AH28</f>
        <v>0</v>
      </c>
      <c r="C28" s="111"/>
      <c r="D28" s="111">
        <f aca="true" t="shared" si="21" ref="D28:O28">D5*ндс</f>
        <v>0</v>
      </c>
      <c r="E28" s="111">
        <f t="shared" si="21"/>
        <v>0</v>
      </c>
      <c r="F28" s="111">
        <f t="shared" si="21"/>
        <v>0</v>
      </c>
      <c r="G28" s="111">
        <f t="shared" si="21"/>
        <v>0</v>
      </c>
      <c r="H28" s="111">
        <f t="shared" si="21"/>
        <v>0</v>
      </c>
      <c r="I28" s="111">
        <f t="shared" si="21"/>
        <v>0</v>
      </c>
      <c r="J28" s="111">
        <f t="shared" si="21"/>
        <v>0</v>
      </c>
      <c r="K28" s="111">
        <f t="shared" si="21"/>
        <v>0</v>
      </c>
      <c r="L28" s="111">
        <f t="shared" si="21"/>
        <v>0</v>
      </c>
      <c r="M28" s="111">
        <f t="shared" si="21"/>
        <v>0</v>
      </c>
      <c r="N28" s="111">
        <f t="shared" si="21"/>
        <v>0</v>
      </c>
      <c r="O28" s="111">
        <f t="shared" si="21"/>
        <v>0</v>
      </c>
      <c r="P28" s="112">
        <f>SUM(D28:O28)</f>
        <v>0</v>
      </c>
      <c r="Q28" s="111">
        <f aca="true" t="shared" si="22" ref="Q28:AB28">Q5*ндс</f>
        <v>0</v>
      </c>
      <c r="R28" s="111">
        <f t="shared" si="22"/>
        <v>0</v>
      </c>
      <c r="S28" s="111">
        <f t="shared" si="22"/>
        <v>0</v>
      </c>
      <c r="T28" s="111">
        <f t="shared" si="22"/>
        <v>0</v>
      </c>
      <c r="U28" s="111">
        <f t="shared" si="22"/>
        <v>0</v>
      </c>
      <c r="V28" s="111">
        <f t="shared" si="22"/>
        <v>0</v>
      </c>
      <c r="W28" s="111">
        <f t="shared" si="22"/>
        <v>0</v>
      </c>
      <c r="X28" s="111">
        <f t="shared" si="22"/>
        <v>0</v>
      </c>
      <c r="Y28" s="111">
        <f t="shared" si="22"/>
        <v>0</v>
      </c>
      <c r="Z28" s="111">
        <f t="shared" si="22"/>
        <v>0</v>
      </c>
      <c r="AA28" s="111">
        <f t="shared" si="22"/>
        <v>0</v>
      </c>
      <c r="AB28" s="111">
        <f t="shared" si="22"/>
        <v>0</v>
      </c>
      <c r="AC28" s="112">
        <f>SUM(Q28:AB28)</f>
        <v>0</v>
      </c>
      <c r="AD28" s="111">
        <f aca="true" t="shared" si="23" ref="AD28:AI28">AD5*ндс</f>
        <v>0</v>
      </c>
      <c r="AE28" s="111">
        <f t="shared" si="23"/>
        <v>0</v>
      </c>
      <c r="AF28" s="111">
        <f t="shared" si="23"/>
        <v>0</v>
      </c>
      <c r="AG28" s="111">
        <f t="shared" si="23"/>
        <v>0</v>
      </c>
      <c r="AH28" s="111">
        <f t="shared" si="23"/>
        <v>0</v>
      </c>
      <c r="AI28" s="111">
        <f t="shared" si="23"/>
        <v>0</v>
      </c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</row>
    <row r="29" spans="1:48" s="105" customFormat="1" ht="12.75" hidden="1">
      <c r="A29" s="109" t="s">
        <v>162</v>
      </c>
      <c r="B29" s="97">
        <f>P29+AC29+AD29+AE29+AF29+AG29+AH29</f>
        <v>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>
        <f>(N11+N14-Пост!$C$6-Пост!$C$16-Пост!$C$19)*ндс</f>
        <v>0</v>
      </c>
      <c r="O29" s="111"/>
      <c r="P29" s="112">
        <f>SUM(D29:O29)</f>
        <v>0</v>
      </c>
      <c r="Q29" s="111">
        <f>(Q11+Q14-Пост!$D$6-Пост!$D$16-Пост!$D$19)*ндс</f>
        <v>0</v>
      </c>
      <c r="R29" s="111">
        <f>(R11+R14-Пост!$D$6-Пост!$D$16-Пост!$D$19)*ндс</f>
        <v>0</v>
      </c>
      <c r="S29" s="111">
        <f>(S11+S14-Пост!$D$6-Пост!$D$16-Пост!$D$19)*ндс</f>
        <v>0</v>
      </c>
      <c r="T29" s="111">
        <f>(T11+T14-Пост!$D$6-Пост!$D$16-Пост!$D$19)*ндс</f>
        <v>0</v>
      </c>
      <c r="U29" s="111">
        <f>(U11+U14-Пост!$D$6-Пост!$D$16-Пост!$D$19)*ндс</f>
        <v>0</v>
      </c>
      <c r="V29" s="111">
        <f>(V11+V14-Пост!$D$6-Пост!$D$16-Пост!$D$19)*ндс</f>
        <v>0</v>
      </c>
      <c r="W29" s="111">
        <f>(W11+W14-Пост!$D$6-Пост!$D$16-Пост!$D$19)*ндс</f>
        <v>0</v>
      </c>
      <c r="X29" s="111">
        <f>(X11+X14-Пост!$D$6-Пост!$D$16-Пост!$D$19)*ндс</f>
        <v>0</v>
      </c>
      <c r="Y29" s="111">
        <f>(Y11+Y14-Пост!$D$6-Пост!$D$16-Пост!$D$19)*ндс</f>
        <v>0</v>
      </c>
      <c r="Z29" s="111">
        <f>(Z11+Z14-Пост!$D$6-Пост!$D$16-Пост!$D$19)*ндс</f>
        <v>0</v>
      </c>
      <c r="AA29" s="111">
        <f>(AA11+AA14-Пост!$D$6-Пост!$D$16-Пост!$D$19)*ндс</f>
        <v>0</v>
      </c>
      <c r="AB29" s="111">
        <f>(AB11+AB14-Пост!$D$6-Пост!$D$16-Пост!$D$19)*ндс</f>
        <v>0</v>
      </c>
      <c r="AC29" s="112">
        <f>SUM(Q29:AB29)</f>
        <v>0</v>
      </c>
      <c r="AD29" s="111">
        <f>(AD11+AD14-(Пост!E6+Пост!E16+Пост!E19)*12)*ндс</f>
        <v>0</v>
      </c>
      <c r="AE29" s="111">
        <f>(AE11+AE14-(Пост!F6+Пост!F16+Пост!F19)*12)*ндс</f>
        <v>0</v>
      </c>
      <c r="AF29" s="111">
        <f>(AF11+AF14-(Пост!G6+Пост!G16+Пост!G19)*12)*ндс</f>
        <v>0</v>
      </c>
      <c r="AG29" s="111">
        <f>(AG11+AG14-(Пост!H6+Пост!H16+Пост!H19)*12)*ндс</f>
        <v>0</v>
      </c>
      <c r="AH29" s="111">
        <f>(AH11+AH14-(Пост!I6+Пост!I16+Пост!I19)*12)*ндс</f>
        <v>0</v>
      </c>
      <c r="AI29" s="111">
        <f>(AI11+AI14-(Пост!J6+Пост!J16+Пост!J19)*12)*ндс</f>
        <v>0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</row>
    <row r="30" spans="1:48" s="105" customFormat="1" ht="12.75" hidden="1">
      <c r="A30" s="109" t="s">
        <v>163</v>
      </c>
      <c r="B30" s="97">
        <f>P30+AC30+AD30+AE30+AF30+AG30+AH30</f>
        <v>0</v>
      </c>
      <c r="C30" s="111"/>
      <c r="D30" s="111">
        <f>Инв!E16/Исх!$C$21*ндс</f>
        <v>0</v>
      </c>
      <c r="E30" s="111">
        <f>Инв!F16/Исх!$C$21*ндс</f>
        <v>0</v>
      </c>
      <c r="F30" s="111">
        <f>Инв!G16/Исх!$C$21*ндс</f>
        <v>0</v>
      </c>
      <c r="G30" s="111">
        <f>Инв!H16/Исх!$C$21*ндс</f>
        <v>0</v>
      </c>
      <c r="H30" s="111">
        <f>Инв!I16/Исх!$C$21*ндс</f>
        <v>0</v>
      </c>
      <c r="I30" s="111">
        <f>Инв!J16/Исх!$C$21*ндс</f>
        <v>0</v>
      </c>
      <c r="J30" s="111">
        <f>Инв!K16/Исх!$C$21*ндс</f>
        <v>0</v>
      </c>
      <c r="K30" s="111">
        <f>Инв!L16/Исх!$C$21*ндс</f>
        <v>0</v>
      </c>
      <c r="L30" s="111">
        <f>Инв!M16/Исх!$C$21*ндс</f>
        <v>0</v>
      </c>
      <c r="M30" s="111">
        <f>Инв!N16/Исх!$C$21*ндс</f>
        <v>0</v>
      </c>
      <c r="N30" s="111">
        <f>Инв!O16/Исх!$C$21*ндс</f>
        <v>0</v>
      </c>
      <c r="O30" s="111">
        <f>Инв!P16/Исх!$C$21*ндс</f>
        <v>0</v>
      </c>
      <c r="P30" s="112">
        <f>SUM(D30:O30)</f>
        <v>0</v>
      </c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  <c r="AD30" s="112"/>
      <c r="AE30" s="112"/>
      <c r="AF30" s="112"/>
      <c r="AG30" s="112"/>
      <c r="AH30" s="112"/>
      <c r="AI30" s="112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</row>
    <row r="31" spans="1:48" s="105" customFormat="1" ht="12.75" hidden="1">
      <c r="A31" s="109" t="s">
        <v>28</v>
      </c>
      <c r="B31" s="97">
        <f>P31+AC31+AD31+AE31+AF31+AG31+AH31</f>
        <v>0</v>
      </c>
      <c r="C31" s="111"/>
      <c r="D31" s="111">
        <f>D28-D29-D30</f>
        <v>0</v>
      </c>
      <c r="E31" s="111">
        <f aca="true" t="shared" si="24" ref="E31:O31">E28-E29-E30</f>
        <v>0</v>
      </c>
      <c r="F31" s="111">
        <f t="shared" si="24"/>
        <v>0</v>
      </c>
      <c r="G31" s="111">
        <f t="shared" si="24"/>
        <v>0</v>
      </c>
      <c r="H31" s="111">
        <f t="shared" si="24"/>
        <v>0</v>
      </c>
      <c r="I31" s="111">
        <f t="shared" si="24"/>
        <v>0</v>
      </c>
      <c r="J31" s="111">
        <f t="shared" si="24"/>
        <v>0</v>
      </c>
      <c r="K31" s="111">
        <f t="shared" si="24"/>
        <v>0</v>
      </c>
      <c r="L31" s="111">
        <f t="shared" si="24"/>
        <v>0</v>
      </c>
      <c r="M31" s="111">
        <f t="shared" si="24"/>
        <v>0</v>
      </c>
      <c r="N31" s="111">
        <f t="shared" si="24"/>
        <v>0</v>
      </c>
      <c r="O31" s="111">
        <f t="shared" si="24"/>
        <v>0</v>
      </c>
      <c r="P31" s="112">
        <f>SUM(D31:O31)</f>
        <v>0</v>
      </c>
      <c r="Q31" s="111">
        <f aca="true" t="shared" si="25" ref="Q31:AB31">Q28-Q29-Q30</f>
        <v>0</v>
      </c>
      <c r="R31" s="111">
        <f t="shared" si="25"/>
        <v>0</v>
      </c>
      <c r="S31" s="111">
        <f t="shared" si="25"/>
        <v>0</v>
      </c>
      <c r="T31" s="111">
        <f t="shared" si="25"/>
        <v>0</v>
      </c>
      <c r="U31" s="111">
        <f t="shared" si="25"/>
        <v>0</v>
      </c>
      <c r="V31" s="111">
        <f t="shared" si="25"/>
        <v>0</v>
      </c>
      <c r="W31" s="111">
        <f t="shared" si="25"/>
        <v>0</v>
      </c>
      <c r="X31" s="111">
        <f t="shared" si="25"/>
        <v>0</v>
      </c>
      <c r="Y31" s="111">
        <f t="shared" si="25"/>
        <v>0</v>
      </c>
      <c r="Z31" s="111">
        <f t="shared" si="25"/>
        <v>0</v>
      </c>
      <c r="AA31" s="111">
        <f t="shared" si="25"/>
        <v>0</v>
      </c>
      <c r="AB31" s="111">
        <f t="shared" si="25"/>
        <v>0</v>
      </c>
      <c r="AC31" s="112">
        <f>SUM(Q31:AB31)</f>
        <v>0</v>
      </c>
      <c r="AD31" s="111">
        <f aca="true" t="shared" si="26" ref="AD31:AI31">AD28-AD29-AD30</f>
        <v>0</v>
      </c>
      <c r="AE31" s="111">
        <f t="shared" si="26"/>
        <v>0</v>
      </c>
      <c r="AF31" s="111">
        <f t="shared" si="26"/>
        <v>0</v>
      </c>
      <c r="AG31" s="111">
        <f t="shared" si="26"/>
        <v>0</v>
      </c>
      <c r="AH31" s="111">
        <f t="shared" si="26"/>
        <v>0</v>
      </c>
      <c r="AI31" s="111">
        <f t="shared" si="26"/>
        <v>0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</row>
    <row r="32" spans="1:48" s="105" customFormat="1" ht="12.75" hidden="1">
      <c r="A32" s="109" t="s">
        <v>164</v>
      </c>
      <c r="B32" s="97">
        <f>AH32</f>
        <v>0</v>
      </c>
      <c r="C32" s="111"/>
      <c r="D32" s="111">
        <f>D31</f>
        <v>0</v>
      </c>
      <c r="E32" s="111">
        <f>D32+E31</f>
        <v>0</v>
      </c>
      <c r="F32" s="111">
        <f aca="true" t="shared" si="27" ref="F32:O32">E32+F31</f>
        <v>0</v>
      </c>
      <c r="G32" s="111">
        <f t="shared" si="27"/>
        <v>0</v>
      </c>
      <c r="H32" s="111">
        <f t="shared" si="27"/>
        <v>0</v>
      </c>
      <c r="I32" s="111">
        <f t="shared" si="27"/>
        <v>0</v>
      </c>
      <c r="J32" s="111">
        <f t="shared" si="27"/>
        <v>0</v>
      </c>
      <c r="K32" s="111">
        <f t="shared" si="27"/>
        <v>0</v>
      </c>
      <c r="L32" s="111">
        <f t="shared" si="27"/>
        <v>0</v>
      </c>
      <c r="M32" s="111">
        <f t="shared" si="27"/>
        <v>0</v>
      </c>
      <c r="N32" s="111">
        <f t="shared" si="27"/>
        <v>0</v>
      </c>
      <c r="O32" s="111">
        <f t="shared" si="27"/>
        <v>0</v>
      </c>
      <c r="P32" s="112">
        <f>O32</f>
        <v>0</v>
      </c>
      <c r="Q32" s="111">
        <f aca="true" t="shared" si="28" ref="Q32:AB32">P32+Q31</f>
        <v>0</v>
      </c>
      <c r="R32" s="111">
        <f t="shared" si="28"/>
        <v>0</v>
      </c>
      <c r="S32" s="111">
        <f t="shared" si="28"/>
        <v>0</v>
      </c>
      <c r="T32" s="111">
        <f t="shared" si="28"/>
        <v>0</v>
      </c>
      <c r="U32" s="111">
        <f t="shared" si="28"/>
        <v>0</v>
      </c>
      <c r="V32" s="111">
        <f t="shared" si="28"/>
        <v>0</v>
      </c>
      <c r="W32" s="111">
        <f t="shared" si="28"/>
        <v>0</v>
      </c>
      <c r="X32" s="111">
        <f t="shared" si="28"/>
        <v>0</v>
      </c>
      <c r="Y32" s="111">
        <f t="shared" si="28"/>
        <v>0</v>
      </c>
      <c r="Z32" s="111">
        <f t="shared" si="28"/>
        <v>0</v>
      </c>
      <c r="AA32" s="111">
        <f t="shared" si="28"/>
        <v>0</v>
      </c>
      <c r="AB32" s="111">
        <f t="shared" si="28"/>
        <v>0</v>
      </c>
      <c r="AC32" s="112">
        <f>AB32</f>
        <v>0</v>
      </c>
      <c r="AD32" s="111">
        <f aca="true" t="shared" si="29" ref="AD32:AI32">AC32+AD31</f>
        <v>0</v>
      </c>
      <c r="AE32" s="111">
        <f t="shared" si="29"/>
        <v>0</v>
      </c>
      <c r="AF32" s="111">
        <f t="shared" si="29"/>
        <v>0</v>
      </c>
      <c r="AG32" s="111">
        <f t="shared" si="29"/>
        <v>0</v>
      </c>
      <c r="AH32" s="111">
        <f t="shared" si="29"/>
        <v>0</v>
      </c>
      <c r="AI32" s="111">
        <f t="shared" si="29"/>
        <v>0</v>
      </c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</row>
    <row r="33" spans="1:48" s="105" customFormat="1" ht="12.75" hidden="1">
      <c r="A33" s="109" t="s">
        <v>165</v>
      </c>
      <c r="B33" s="97">
        <f>P33+AC33+AD33+AE33+AF33+AG33+AH33</f>
        <v>0</v>
      </c>
      <c r="C33" s="111"/>
      <c r="D33" s="111">
        <f>IF(C32+D31&gt;=0,IF(C32&lt;0,C32+D31,D31),0)</f>
        <v>0</v>
      </c>
      <c r="E33" s="111">
        <f aca="true" t="shared" si="30" ref="E33:AI33">IF(D32+E31&gt;=0,IF(D32&lt;0,D32+E31,E31),0)</f>
        <v>0</v>
      </c>
      <c r="F33" s="111">
        <f t="shared" si="30"/>
        <v>0</v>
      </c>
      <c r="G33" s="111">
        <f t="shared" si="30"/>
        <v>0</v>
      </c>
      <c r="H33" s="111">
        <f t="shared" si="30"/>
        <v>0</v>
      </c>
      <c r="I33" s="111">
        <f t="shared" si="30"/>
        <v>0</v>
      </c>
      <c r="J33" s="111">
        <f t="shared" si="30"/>
        <v>0</v>
      </c>
      <c r="K33" s="111">
        <f t="shared" si="30"/>
        <v>0</v>
      </c>
      <c r="L33" s="111">
        <f t="shared" si="30"/>
        <v>0</v>
      </c>
      <c r="M33" s="111">
        <f t="shared" si="30"/>
        <v>0</v>
      </c>
      <c r="N33" s="111">
        <f t="shared" si="30"/>
        <v>0</v>
      </c>
      <c r="O33" s="111">
        <f t="shared" si="30"/>
        <v>0</v>
      </c>
      <c r="P33" s="112">
        <f>SUM(D33:O33)</f>
        <v>0</v>
      </c>
      <c r="Q33" s="111">
        <f t="shared" si="30"/>
        <v>0</v>
      </c>
      <c r="R33" s="111">
        <f t="shared" si="30"/>
        <v>0</v>
      </c>
      <c r="S33" s="111">
        <f t="shared" si="30"/>
        <v>0</v>
      </c>
      <c r="T33" s="111">
        <f t="shared" si="30"/>
        <v>0</v>
      </c>
      <c r="U33" s="111">
        <f t="shared" si="30"/>
        <v>0</v>
      </c>
      <c r="V33" s="111">
        <f t="shared" si="30"/>
        <v>0</v>
      </c>
      <c r="W33" s="111">
        <f t="shared" si="30"/>
        <v>0</v>
      </c>
      <c r="X33" s="111">
        <f t="shared" si="30"/>
        <v>0</v>
      </c>
      <c r="Y33" s="111">
        <f t="shared" si="30"/>
        <v>0</v>
      </c>
      <c r="Z33" s="111">
        <f t="shared" si="30"/>
        <v>0</v>
      </c>
      <c r="AA33" s="111">
        <f t="shared" si="30"/>
        <v>0</v>
      </c>
      <c r="AB33" s="111">
        <f t="shared" si="30"/>
        <v>0</v>
      </c>
      <c r="AC33" s="112">
        <f>SUM(Q33:AB33)</f>
        <v>0</v>
      </c>
      <c r="AD33" s="111">
        <f t="shared" si="30"/>
        <v>0</v>
      </c>
      <c r="AE33" s="111">
        <f t="shared" si="30"/>
        <v>0</v>
      </c>
      <c r="AF33" s="111">
        <f t="shared" si="30"/>
        <v>0</v>
      </c>
      <c r="AG33" s="111">
        <f t="shared" si="30"/>
        <v>0</v>
      </c>
      <c r="AH33" s="111">
        <f t="shared" si="30"/>
        <v>0</v>
      </c>
      <c r="AI33" s="111">
        <f t="shared" si="30"/>
        <v>0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</row>
    <row r="35" ht="12.75">
      <c r="B35" s="113"/>
    </row>
  </sheetData>
  <sheetProtection/>
  <mergeCells count="8">
    <mergeCell ref="Q25:AC25"/>
    <mergeCell ref="Q3:AC3"/>
    <mergeCell ref="A3:A4"/>
    <mergeCell ref="A25:A26"/>
    <mergeCell ref="B3:B4"/>
    <mergeCell ref="D25:P25"/>
    <mergeCell ref="B25:B26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J9" sqref="J9"/>
    </sheetView>
  </sheetViews>
  <sheetFormatPr defaultColWidth="10.125" defaultRowHeight="12.75" outlineLevelCol="1"/>
  <cols>
    <col min="1" max="1" width="38.125" style="115" customWidth="1"/>
    <col min="2" max="2" width="2.375" style="115" customWidth="1"/>
    <col min="3" max="3" width="7.125" style="115" customWidth="1"/>
    <col min="4" max="4" width="11.375" style="115" hidden="1" customWidth="1" outlineLevel="1"/>
    <col min="5" max="11" width="7.375" style="115" hidden="1" customWidth="1" outlineLevel="1"/>
    <col min="12" max="12" width="8.00390625" style="115" hidden="1" customWidth="1" outlineLevel="1"/>
    <col min="13" max="13" width="7.875" style="115" hidden="1" customWidth="1" outlineLevel="1"/>
    <col min="14" max="15" width="8.125" style="115" hidden="1" customWidth="1" outlineLevel="1"/>
    <col min="16" max="16" width="9.875" style="115" customWidth="1" collapsed="1"/>
    <col min="17" max="23" width="8.375" style="115" hidden="1" customWidth="1" outlineLevel="1"/>
    <col min="24" max="25" width="8.75390625" style="115" hidden="1" customWidth="1" outlineLevel="1"/>
    <col min="26" max="26" width="8.625" style="115" hidden="1" customWidth="1" outlineLevel="1"/>
    <col min="27" max="27" width="9.00390625" style="115" hidden="1" customWidth="1" outlineLevel="1"/>
    <col min="28" max="28" width="9.125" style="115" hidden="1" customWidth="1" outlineLevel="1"/>
    <col min="29" max="29" width="10.125" style="115" customWidth="1" collapsed="1"/>
    <col min="30" max="30" width="9.875" style="115" customWidth="1"/>
    <col min="31" max="31" width="9.75390625" style="115" customWidth="1"/>
    <col min="32" max="32" width="9.625" style="115" customWidth="1"/>
    <col min="33" max="35" width="9.75390625" style="115" customWidth="1"/>
    <col min="36" max="16384" width="10.125" style="115" customWidth="1"/>
  </cols>
  <sheetData>
    <row r="1" spans="1:3" ht="12.75">
      <c r="A1" s="60" t="s">
        <v>112</v>
      </c>
      <c r="B1" s="114"/>
      <c r="C1" s="114"/>
    </row>
    <row r="2" spans="1:35" ht="17.25" customHeight="1">
      <c r="A2" s="60"/>
      <c r="C2" s="12" t="str">
        <f>Исх!$C$10</f>
        <v>тыс.тг.</v>
      </c>
      <c r="P2" s="116"/>
      <c r="AC2" s="116"/>
      <c r="AD2" s="116"/>
      <c r="AE2" s="116"/>
      <c r="AF2" s="116"/>
      <c r="AG2" s="116"/>
      <c r="AH2" s="116"/>
      <c r="AI2" s="116"/>
    </row>
    <row r="3" spans="1:35" ht="12.75" customHeight="1">
      <c r="A3" s="323" t="s">
        <v>2</v>
      </c>
      <c r="B3" s="325"/>
      <c r="C3" s="118"/>
      <c r="D3" s="326">
        <v>2014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>
        <v>2015</v>
      </c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119">
        <f>Q3+1</f>
        <v>2016</v>
      </c>
      <c r="AE3" s="119">
        <f>AD3+1</f>
        <v>2017</v>
      </c>
      <c r="AF3" s="119">
        <f>AE3+1</f>
        <v>2018</v>
      </c>
      <c r="AG3" s="119">
        <f>AF3+1</f>
        <v>2019</v>
      </c>
      <c r="AH3" s="119">
        <f>AG3+1</f>
        <v>2020</v>
      </c>
      <c r="AI3" s="119">
        <f>AH3+1</f>
        <v>2021</v>
      </c>
    </row>
    <row r="4" spans="1:35" ht="12.75">
      <c r="A4" s="324"/>
      <c r="B4" s="325"/>
      <c r="C4" s="120"/>
      <c r="D4" s="121">
        <v>1</v>
      </c>
      <c r="E4" s="121">
        <f>D4+1</f>
        <v>2</v>
      </c>
      <c r="F4" s="121">
        <f aca="true" t="shared" si="0" ref="F4:O4">E4+1</f>
        <v>3</v>
      </c>
      <c r="G4" s="121">
        <f t="shared" si="0"/>
        <v>4</v>
      </c>
      <c r="H4" s="121">
        <f t="shared" si="0"/>
        <v>5</v>
      </c>
      <c r="I4" s="121">
        <f t="shared" si="0"/>
        <v>6</v>
      </c>
      <c r="J4" s="121">
        <f t="shared" si="0"/>
        <v>7</v>
      </c>
      <c r="K4" s="121">
        <f t="shared" si="0"/>
        <v>8</v>
      </c>
      <c r="L4" s="121">
        <f t="shared" si="0"/>
        <v>9</v>
      </c>
      <c r="M4" s="121">
        <f t="shared" si="0"/>
        <v>10</v>
      </c>
      <c r="N4" s="121">
        <f t="shared" si="0"/>
        <v>11</v>
      </c>
      <c r="O4" s="121">
        <f t="shared" si="0"/>
        <v>12</v>
      </c>
      <c r="P4" s="117" t="s">
        <v>0</v>
      </c>
      <c r="Q4" s="121">
        <v>1</v>
      </c>
      <c r="R4" s="121">
        <f aca="true" t="shared" si="1" ref="R4:AB4">Q4+1</f>
        <v>2</v>
      </c>
      <c r="S4" s="121">
        <f t="shared" si="1"/>
        <v>3</v>
      </c>
      <c r="T4" s="121">
        <f t="shared" si="1"/>
        <v>4</v>
      </c>
      <c r="U4" s="121">
        <f t="shared" si="1"/>
        <v>5</v>
      </c>
      <c r="V4" s="121">
        <f t="shared" si="1"/>
        <v>6</v>
      </c>
      <c r="W4" s="121">
        <f t="shared" si="1"/>
        <v>7</v>
      </c>
      <c r="X4" s="121">
        <f t="shared" si="1"/>
        <v>8</v>
      </c>
      <c r="Y4" s="121">
        <f t="shared" si="1"/>
        <v>9</v>
      </c>
      <c r="Z4" s="121">
        <f t="shared" si="1"/>
        <v>10</v>
      </c>
      <c r="AA4" s="121">
        <f t="shared" si="1"/>
        <v>11</v>
      </c>
      <c r="AB4" s="121">
        <f t="shared" si="1"/>
        <v>12</v>
      </c>
      <c r="AC4" s="117" t="s">
        <v>0</v>
      </c>
      <c r="AD4" s="117" t="s">
        <v>110</v>
      </c>
      <c r="AE4" s="117" t="s">
        <v>110</v>
      </c>
      <c r="AF4" s="117" t="s">
        <v>110</v>
      </c>
      <c r="AG4" s="117" t="s">
        <v>110</v>
      </c>
      <c r="AH4" s="117" t="s">
        <v>110</v>
      </c>
      <c r="AI4" s="117" t="s">
        <v>110</v>
      </c>
    </row>
    <row r="5" spans="1:42" s="126" customFormat="1" ht="15" customHeight="1">
      <c r="A5" s="122" t="s">
        <v>113</v>
      </c>
      <c r="B5" s="123"/>
      <c r="C5" s="124">
        <f>C11+C6</f>
        <v>0</v>
      </c>
      <c r="D5" s="124">
        <f>D11+D6</f>
        <v>0</v>
      </c>
      <c r="E5" s="124">
        <f aca="true" t="shared" si="2" ref="E5:AH5">E11+E6</f>
        <v>0</v>
      </c>
      <c r="F5" s="124">
        <f t="shared" si="2"/>
        <v>0</v>
      </c>
      <c r="G5" s="124">
        <f t="shared" si="2"/>
        <v>23058.73620800001</v>
      </c>
      <c r="H5" s="124">
        <f t="shared" si="2"/>
        <v>46117.47241600002</v>
      </c>
      <c r="I5" s="124">
        <f t="shared" si="2"/>
        <v>82885.07862400002</v>
      </c>
      <c r="J5" s="124">
        <f t="shared" si="2"/>
        <v>82489.26886584447</v>
      </c>
      <c r="K5" s="124">
        <f t="shared" si="2"/>
        <v>82093.45910768892</v>
      </c>
      <c r="L5" s="124">
        <f t="shared" si="2"/>
        <v>81697.64934953337</v>
      </c>
      <c r="M5" s="124">
        <f t="shared" si="2"/>
        <v>81301.83959137782</v>
      </c>
      <c r="N5" s="124">
        <f t="shared" si="2"/>
        <v>80906.02983322227</v>
      </c>
      <c r="O5" s="124">
        <f t="shared" si="2"/>
        <v>80510.22007506673</v>
      </c>
      <c r="P5" s="124">
        <f t="shared" si="2"/>
        <v>80510.22007506673</v>
      </c>
      <c r="Q5" s="124">
        <f t="shared" si="2"/>
        <v>81988.95365746699</v>
      </c>
      <c r="R5" s="124">
        <f t="shared" si="2"/>
        <v>83467.68723986726</v>
      </c>
      <c r="S5" s="124">
        <f t="shared" si="2"/>
        <v>84946.42082226751</v>
      </c>
      <c r="T5" s="124">
        <f t="shared" si="2"/>
        <v>85325.72435175834</v>
      </c>
      <c r="U5" s="124">
        <f t="shared" si="2"/>
        <v>85711.44122322445</v>
      </c>
      <c r="V5" s="124">
        <f t="shared" si="2"/>
        <v>86103.57143666588</v>
      </c>
      <c r="W5" s="124">
        <f t="shared" si="2"/>
        <v>86502.11499208261</v>
      </c>
      <c r="X5" s="124">
        <f t="shared" si="2"/>
        <v>86907.07188947465</v>
      </c>
      <c r="Y5" s="124">
        <f t="shared" si="2"/>
        <v>87318.442128842</v>
      </c>
      <c r="Z5" s="124">
        <f t="shared" si="2"/>
        <v>87736.22571018463</v>
      </c>
      <c r="AA5" s="124">
        <f t="shared" si="2"/>
        <v>88160.42263350259</v>
      </c>
      <c r="AB5" s="124">
        <f t="shared" si="2"/>
        <v>88591.03289879585</v>
      </c>
      <c r="AC5" s="124">
        <f t="shared" si="2"/>
        <v>88591.03289879585</v>
      </c>
      <c r="AD5" s="124">
        <f t="shared" si="2"/>
        <v>94258.5967563887</v>
      </c>
      <c r="AE5" s="124">
        <f t="shared" si="2"/>
        <v>100849.68185842547</v>
      </c>
      <c r="AF5" s="124">
        <f t="shared" si="2"/>
        <v>108364.28820490617</v>
      </c>
      <c r="AG5" s="124">
        <f t="shared" si="2"/>
        <v>116802.4157958308</v>
      </c>
      <c r="AH5" s="124">
        <f t="shared" si="2"/>
        <v>126164.06463119938</v>
      </c>
      <c r="AI5" s="124">
        <f>AI11+AI6</f>
        <v>146113.2248760859</v>
      </c>
      <c r="AJ5" s="125"/>
      <c r="AK5" s="125"/>
      <c r="AL5" s="125"/>
      <c r="AM5" s="125"/>
      <c r="AN5" s="125"/>
      <c r="AO5" s="125"/>
      <c r="AP5" s="125"/>
    </row>
    <row r="6" spans="1:35" s="126" customFormat="1" ht="15" customHeight="1">
      <c r="A6" s="122" t="s">
        <v>114</v>
      </c>
      <c r="B6" s="123"/>
      <c r="C6" s="124">
        <f>SUM(C7:C10)</f>
        <v>0</v>
      </c>
      <c r="D6" s="124">
        <f>SUM(D7:D10)</f>
        <v>0</v>
      </c>
      <c r="E6" s="124">
        <f aca="true" t="shared" si="3" ref="E6:AH6">SUM(E7:E10)</f>
        <v>0</v>
      </c>
      <c r="F6" s="124">
        <f t="shared" si="3"/>
        <v>0</v>
      </c>
      <c r="G6" s="124">
        <f t="shared" si="3"/>
        <v>0</v>
      </c>
      <c r="H6" s="124">
        <f t="shared" si="3"/>
        <v>0</v>
      </c>
      <c r="I6" s="124">
        <f t="shared" si="3"/>
        <v>6792.87</v>
      </c>
      <c r="J6" s="124">
        <f t="shared" si="3"/>
        <v>6792.87</v>
      </c>
      <c r="K6" s="124">
        <f t="shared" si="3"/>
        <v>6792.87</v>
      </c>
      <c r="L6" s="124">
        <f t="shared" si="3"/>
        <v>6792.87</v>
      </c>
      <c r="M6" s="124">
        <f t="shared" si="3"/>
        <v>6792.87</v>
      </c>
      <c r="N6" s="124">
        <f t="shared" si="3"/>
        <v>6792.87</v>
      </c>
      <c r="O6" s="124">
        <f t="shared" si="3"/>
        <v>6792.87</v>
      </c>
      <c r="P6" s="124">
        <f t="shared" si="3"/>
        <v>6792.87</v>
      </c>
      <c r="Q6" s="124">
        <f t="shared" si="3"/>
        <v>8667.41334055581</v>
      </c>
      <c r="R6" s="124">
        <f t="shared" si="3"/>
        <v>10541.95668111162</v>
      </c>
      <c r="S6" s="124">
        <f t="shared" si="3"/>
        <v>12416.50002166743</v>
      </c>
      <c r="T6" s="124">
        <f t="shared" si="3"/>
        <v>13191.613309313798</v>
      </c>
      <c r="U6" s="124">
        <f t="shared" si="3"/>
        <v>13973.13993893547</v>
      </c>
      <c r="V6" s="124">
        <f t="shared" si="3"/>
        <v>14761.079910532446</v>
      </c>
      <c r="W6" s="124">
        <f t="shared" si="3"/>
        <v>15555.433224104727</v>
      </c>
      <c r="X6" s="124">
        <f t="shared" si="3"/>
        <v>16356.199879652311</v>
      </c>
      <c r="Y6" s="124">
        <f t="shared" si="3"/>
        <v>17163.3798771752</v>
      </c>
      <c r="Z6" s="124">
        <f t="shared" si="3"/>
        <v>17976.973216673396</v>
      </c>
      <c r="AA6" s="124">
        <f t="shared" si="3"/>
        <v>18796.979898146896</v>
      </c>
      <c r="AB6" s="124">
        <f t="shared" si="3"/>
        <v>19623.3999215957</v>
      </c>
      <c r="AC6" s="124">
        <f t="shared" si="3"/>
        <v>19623.3999215957</v>
      </c>
      <c r="AD6" s="124">
        <f t="shared" si="3"/>
        <v>30040.680877055212</v>
      </c>
      <c r="AE6" s="124">
        <f t="shared" si="3"/>
        <v>41381.483076958655</v>
      </c>
      <c r="AF6" s="124">
        <f t="shared" si="3"/>
        <v>53645.80652130603</v>
      </c>
      <c r="AG6" s="124">
        <f t="shared" si="3"/>
        <v>66833.65121009733</v>
      </c>
      <c r="AH6" s="124">
        <f t="shared" si="3"/>
        <v>80945.01714333257</v>
      </c>
      <c r="AI6" s="124">
        <f>SUM(AI7:AI10)</f>
        <v>105643.89448608577</v>
      </c>
    </row>
    <row r="7" spans="1:35" ht="15" customHeight="1">
      <c r="A7" s="127" t="s">
        <v>115</v>
      </c>
      <c r="B7" s="123"/>
      <c r="C7" s="128"/>
      <c r="D7" s="128">
        <f>'1-Ф3'!D38</f>
        <v>0</v>
      </c>
      <c r="E7" s="128">
        <f>'1-Ф3'!E38</f>
        <v>0</v>
      </c>
      <c r="F7" s="128">
        <f>'1-Ф3'!F38</f>
        <v>0</v>
      </c>
      <c r="G7" s="128">
        <f>'1-Ф3'!G38</f>
        <v>0</v>
      </c>
      <c r="H7" s="128">
        <f>'1-Ф3'!H38</f>
        <v>0</v>
      </c>
      <c r="I7" s="128">
        <f>'1-Ф3'!I38</f>
        <v>0</v>
      </c>
      <c r="J7" s="128">
        <f>'1-Ф3'!J38</f>
        <v>0</v>
      </c>
      <c r="K7" s="128">
        <f>'1-Ф3'!K38</f>
        <v>0</v>
      </c>
      <c r="L7" s="128">
        <f>'1-Ф3'!L38</f>
        <v>0</v>
      </c>
      <c r="M7" s="128">
        <f>'1-Ф3'!M38</f>
        <v>0</v>
      </c>
      <c r="N7" s="128">
        <f>'1-Ф3'!N38</f>
        <v>0</v>
      </c>
      <c r="O7" s="128">
        <f>'1-Ф3'!O38</f>
        <v>0</v>
      </c>
      <c r="P7" s="128">
        <f>'1-Ф3'!P38</f>
        <v>0</v>
      </c>
      <c r="Q7" s="128">
        <f>'1-Ф3'!Q38</f>
        <v>1874.5433405558106</v>
      </c>
      <c r="R7" s="128">
        <f>'1-Ф3'!R38</f>
        <v>3749.086681111621</v>
      </c>
      <c r="S7" s="128">
        <f>'1-Ф3'!S38</f>
        <v>5623.630021667432</v>
      </c>
      <c r="T7" s="128">
        <f>'1-Ф3'!T38</f>
        <v>6398.743309313798</v>
      </c>
      <c r="U7" s="128">
        <f>'1-Ф3'!U38</f>
        <v>7180.26993893547</v>
      </c>
      <c r="V7" s="128">
        <f>'1-Ф3'!V38</f>
        <v>7968.209910532446</v>
      </c>
      <c r="W7" s="128">
        <f>'1-Ф3'!W38</f>
        <v>8762.563224104726</v>
      </c>
      <c r="X7" s="128">
        <f>'1-Ф3'!X38</f>
        <v>9563.32987965231</v>
      </c>
      <c r="Y7" s="128">
        <f>'1-Ф3'!Y38</f>
        <v>10370.5098771752</v>
      </c>
      <c r="Z7" s="128">
        <f>'1-Ф3'!Z38</f>
        <v>11184.103216673395</v>
      </c>
      <c r="AA7" s="128">
        <f>'1-Ф3'!AA38</f>
        <v>12004.109898146895</v>
      </c>
      <c r="AB7" s="128">
        <f>'1-Ф3'!AB38</f>
        <v>12830.5299215957</v>
      </c>
      <c r="AC7" s="128">
        <f>'1-Ф3'!AC38</f>
        <v>12830.5299215957</v>
      </c>
      <c r="AD7" s="128">
        <f>'1-Ф3'!AD38</f>
        <v>23247.810877055213</v>
      </c>
      <c r="AE7" s="128">
        <f>'1-Ф3'!AE38</f>
        <v>34588.61307695865</v>
      </c>
      <c r="AF7" s="128">
        <f>'1-Ф3'!AF38</f>
        <v>46852.93652130603</v>
      </c>
      <c r="AG7" s="128">
        <f>'1-Ф3'!AG38</f>
        <v>60040.78121009734</v>
      </c>
      <c r="AH7" s="128">
        <f>'1-Ф3'!AH38</f>
        <v>74152.14714333258</v>
      </c>
      <c r="AI7" s="128">
        <f>'1-Ф3'!AI38</f>
        <v>98851.02448608578</v>
      </c>
    </row>
    <row r="8" spans="1:35" ht="15" customHeight="1">
      <c r="A8" s="127" t="s">
        <v>116</v>
      </c>
      <c r="B8" s="123"/>
      <c r="C8" s="128"/>
      <c r="D8" s="128">
        <f>C8+'2-ф2'!D5-'1-Ф3'!D9/Исх!$C$21</f>
        <v>0</v>
      </c>
      <c r="E8" s="128">
        <f>D8+'2-ф2'!E5-'1-Ф3'!E9/Исх!$C$21</f>
        <v>0</v>
      </c>
      <c r="F8" s="128">
        <f>E8+'2-ф2'!F5-'1-Ф3'!F9/Исх!$C$21</f>
        <v>0</v>
      </c>
      <c r="G8" s="128">
        <f>F8+'2-ф2'!G5-'1-Ф3'!G9/Исх!$C$21</f>
        <v>0</v>
      </c>
      <c r="H8" s="128">
        <f>G8+'2-ф2'!H5-'1-Ф3'!H9/Исх!$C$21</f>
        <v>0</v>
      </c>
      <c r="I8" s="128">
        <f>H8+'2-ф2'!I5-'1-Ф3'!I9/Исх!$C$21</f>
        <v>0</v>
      </c>
      <c r="J8" s="128">
        <f>I8+'2-ф2'!J5-'1-Ф3'!J9/Исх!$C$21</f>
        <v>0</v>
      </c>
      <c r="K8" s="128">
        <f>J8+'2-ф2'!K5-'1-Ф3'!K9/Исх!$C$21</f>
        <v>0</v>
      </c>
      <c r="L8" s="128">
        <f>K8+'2-ф2'!L5-'1-Ф3'!L9/Исх!$C$21</f>
        <v>0</v>
      </c>
      <c r="M8" s="128">
        <f>L8+'2-ф2'!M5-'1-Ф3'!M9/Исх!$C$21</f>
        <v>0</v>
      </c>
      <c r="N8" s="128">
        <f>M8+'2-ф2'!N5-'1-Ф3'!N9/Исх!$C$21</f>
        <v>0</v>
      </c>
      <c r="O8" s="128">
        <f>N8+'2-ф2'!O5-'1-Ф3'!O9/Исх!$C$21</f>
        <v>0</v>
      </c>
      <c r="P8" s="128">
        <f>O8</f>
        <v>0</v>
      </c>
      <c r="Q8" s="128">
        <f>P8+'2-ф2'!Q5-'1-Ф3'!Q9/Исх!$C$21</f>
        <v>0</v>
      </c>
      <c r="R8" s="128">
        <f>Q8+'2-ф2'!R5-'1-Ф3'!R9/Исх!$C$21</f>
        <v>0</v>
      </c>
      <c r="S8" s="128">
        <f>R8+'2-ф2'!S5-'1-Ф3'!S9/Исх!$C$21</f>
        <v>0</v>
      </c>
      <c r="T8" s="128">
        <f>S8+'2-ф2'!T5-'1-Ф3'!T9/Исх!$C$21</f>
        <v>0</v>
      </c>
      <c r="U8" s="128">
        <f>T8+'2-ф2'!U5-'1-Ф3'!U9/Исх!$C$21</f>
        <v>0</v>
      </c>
      <c r="V8" s="128">
        <f>U8+'2-ф2'!V5-'1-Ф3'!V9/Исх!$C$21</f>
        <v>0</v>
      </c>
      <c r="W8" s="128">
        <f>V8+'2-ф2'!W5-'1-Ф3'!W9/Исх!$C$21</f>
        <v>0</v>
      </c>
      <c r="X8" s="128">
        <f>W8+'2-ф2'!X5-'1-Ф3'!X9/Исх!$C$21</f>
        <v>0</v>
      </c>
      <c r="Y8" s="128">
        <f>X8+'2-ф2'!Y5-'1-Ф3'!Y9/Исх!$C$21</f>
        <v>0</v>
      </c>
      <c r="Z8" s="128">
        <f>Y8+'2-ф2'!Z5-'1-Ф3'!Z9/Исх!$C$21</f>
        <v>0</v>
      </c>
      <c r="AA8" s="128">
        <f>Z8+'2-ф2'!AA5-'1-Ф3'!AA9/Исх!$C$21</f>
        <v>0</v>
      </c>
      <c r="AB8" s="128">
        <f>AA8+'2-ф2'!AB5-'1-Ф3'!AB9/Исх!$C$21</f>
        <v>0</v>
      </c>
      <c r="AC8" s="128">
        <f>AB8</f>
        <v>0</v>
      </c>
      <c r="AD8" s="128">
        <f>AC8+'2-ф2'!AD5-'1-Ф3'!AD9/Исх!$C$21</f>
        <v>0</v>
      </c>
      <c r="AE8" s="128">
        <f>AD8+'2-ф2'!AE5-'1-Ф3'!AE9/Исх!$C$21</f>
        <v>0</v>
      </c>
      <c r="AF8" s="128">
        <f>AE8+'2-ф2'!AF5-'1-Ф3'!AF9/Исх!$C$21</f>
        <v>0</v>
      </c>
      <c r="AG8" s="128">
        <f>AF8+'2-ф2'!AG5-'1-Ф3'!AG9/Исх!$C$21</f>
        <v>0</v>
      </c>
      <c r="AH8" s="128">
        <f>AG8+'2-ф2'!AH5-'1-Ф3'!AH9/Исх!$C$21</f>
        <v>0</v>
      </c>
      <c r="AI8" s="128">
        <f>AH8+'2-ф2'!AI5-'1-Ф3'!AI9/Исх!$C$21</f>
        <v>0</v>
      </c>
    </row>
    <row r="9" spans="1:35" ht="15" customHeight="1">
      <c r="A9" s="127" t="s">
        <v>117</v>
      </c>
      <c r="B9" s="123"/>
      <c r="C9" s="128"/>
      <c r="D9" s="128"/>
      <c r="E9" s="128"/>
      <c r="F9" s="128"/>
      <c r="G9" s="128"/>
      <c r="H9" s="128"/>
      <c r="I9" s="128">
        <f>'1-Ф3'!I16</f>
        <v>6792.87</v>
      </c>
      <c r="J9" s="128">
        <f aca="true" t="shared" si="4" ref="J9:O9">I9</f>
        <v>6792.87</v>
      </c>
      <c r="K9" s="128">
        <f t="shared" si="4"/>
        <v>6792.87</v>
      </c>
      <c r="L9" s="128">
        <f t="shared" si="4"/>
        <v>6792.87</v>
      </c>
      <c r="M9" s="128">
        <f t="shared" si="4"/>
        <v>6792.87</v>
      </c>
      <c r="N9" s="128">
        <f t="shared" si="4"/>
        <v>6792.87</v>
      </c>
      <c r="O9" s="128">
        <f t="shared" si="4"/>
        <v>6792.87</v>
      </c>
      <c r="P9" s="128">
        <f>O9</f>
        <v>6792.87</v>
      </c>
      <c r="Q9" s="128">
        <f>O9</f>
        <v>6792.87</v>
      </c>
      <c r="R9" s="128">
        <f aca="true" t="shared" si="5" ref="R9:AB9">P9</f>
        <v>6792.87</v>
      </c>
      <c r="S9" s="128">
        <f t="shared" si="5"/>
        <v>6792.87</v>
      </c>
      <c r="T9" s="128">
        <f t="shared" si="5"/>
        <v>6792.87</v>
      </c>
      <c r="U9" s="128">
        <f t="shared" si="5"/>
        <v>6792.87</v>
      </c>
      <c r="V9" s="128">
        <f t="shared" si="5"/>
        <v>6792.87</v>
      </c>
      <c r="W9" s="128">
        <f t="shared" si="5"/>
        <v>6792.87</v>
      </c>
      <c r="X9" s="128">
        <f t="shared" si="5"/>
        <v>6792.87</v>
      </c>
      <c r="Y9" s="128">
        <f t="shared" si="5"/>
        <v>6792.87</v>
      </c>
      <c r="Z9" s="128">
        <f t="shared" si="5"/>
        <v>6792.87</v>
      </c>
      <c r="AA9" s="128">
        <f t="shared" si="5"/>
        <v>6792.87</v>
      </c>
      <c r="AB9" s="128">
        <f t="shared" si="5"/>
        <v>6792.87</v>
      </c>
      <c r="AC9" s="128">
        <f>AB9</f>
        <v>6792.87</v>
      </c>
      <c r="AD9" s="128">
        <f aca="true" t="shared" si="6" ref="AD9:AI9">AB9</f>
        <v>6792.87</v>
      </c>
      <c r="AE9" s="128">
        <f t="shared" si="6"/>
        <v>6792.87</v>
      </c>
      <c r="AF9" s="128">
        <f t="shared" si="6"/>
        <v>6792.87</v>
      </c>
      <c r="AG9" s="128">
        <f t="shared" si="6"/>
        <v>6792.87</v>
      </c>
      <c r="AH9" s="128">
        <f t="shared" si="6"/>
        <v>6792.87</v>
      </c>
      <c r="AI9" s="128">
        <f t="shared" si="6"/>
        <v>6792.87</v>
      </c>
    </row>
    <row r="10" spans="1:35" ht="25.5">
      <c r="A10" s="127" t="s">
        <v>236</v>
      </c>
      <c r="B10" s="12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>
        <f>O10</f>
        <v>0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>
        <f>AB10</f>
        <v>0</v>
      </c>
      <c r="AD10" s="128"/>
      <c r="AE10" s="128"/>
      <c r="AF10" s="128"/>
      <c r="AG10" s="128"/>
      <c r="AH10" s="128"/>
      <c r="AI10" s="128"/>
    </row>
    <row r="11" spans="1:35" ht="15" customHeight="1">
      <c r="A11" s="122" t="s">
        <v>118</v>
      </c>
      <c r="B11" s="123"/>
      <c r="C11" s="124">
        <f aca="true" t="shared" si="7" ref="C11:AH11">SUM(C12:C14)</f>
        <v>0</v>
      </c>
      <c r="D11" s="124">
        <f t="shared" si="7"/>
        <v>0</v>
      </c>
      <c r="E11" s="124">
        <f t="shared" si="7"/>
        <v>0</v>
      </c>
      <c r="F11" s="124">
        <f t="shared" si="7"/>
        <v>0</v>
      </c>
      <c r="G11" s="124">
        <f t="shared" si="7"/>
        <v>23058.73620800001</v>
      </c>
      <c r="H11" s="124">
        <f t="shared" si="7"/>
        <v>46117.47241600002</v>
      </c>
      <c r="I11" s="124">
        <f t="shared" si="7"/>
        <v>76092.20862400002</v>
      </c>
      <c r="J11" s="124">
        <f t="shared" si="7"/>
        <v>75696.39886584447</v>
      </c>
      <c r="K11" s="124">
        <f t="shared" si="7"/>
        <v>75300.58910768892</v>
      </c>
      <c r="L11" s="124">
        <f t="shared" si="7"/>
        <v>74904.77934953338</v>
      </c>
      <c r="M11" s="124">
        <f t="shared" si="7"/>
        <v>74508.96959137783</v>
      </c>
      <c r="N11" s="124">
        <f t="shared" si="7"/>
        <v>74113.15983322228</v>
      </c>
      <c r="O11" s="124">
        <f t="shared" si="7"/>
        <v>73717.35007506673</v>
      </c>
      <c r="P11" s="124">
        <f t="shared" si="7"/>
        <v>73717.35007506673</v>
      </c>
      <c r="Q11" s="124">
        <f t="shared" si="7"/>
        <v>73321.54031691118</v>
      </c>
      <c r="R11" s="124">
        <f t="shared" si="7"/>
        <v>72925.73055875563</v>
      </c>
      <c r="S11" s="124">
        <f t="shared" si="7"/>
        <v>72529.92080060008</v>
      </c>
      <c r="T11" s="124">
        <f t="shared" si="7"/>
        <v>72134.11104244454</v>
      </c>
      <c r="U11" s="124">
        <f t="shared" si="7"/>
        <v>71738.30128428899</v>
      </c>
      <c r="V11" s="124">
        <f t="shared" si="7"/>
        <v>71342.49152613344</v>
      </c>
      <c r="W11" s="124">
        <f t="shared" si="7"/>
        <v>70946.68176797789</v>
      </c>
      <c r="X11" s="124">
        <f t="shared" si="7"/>
        <v>70550.87200982234</v>
      </c>
      <c r="Y11" s="124">
        <f t="shared" si="7"/>
        <v>70155.0622516668</v>
      </c>
      <c r="Z11" s="124">
        <f t="shared" si="7"/>
        <v>69759.25249351125</v>
      </c>
      <c r="AA11" s="124">
        <f t="shared" si="7"/>
        <v>69363.4427353557</v>
      </c>
      <c r="AB11" s="124">
        <f t="shared" si="7"/>
        <v>68967.63297720015</v>
      </c>
      <c r="AC11" s="124">
        <f t="shared" si="7"/>
        <v>68967.63297720015</v>
      </c>
      <c r="AD11" s="124">
        <f t="shared" si="7"/>
        <v>64217.91587933348</v>
      </c>
      <c r="AE11" s="124">
        <f t="shared" si="7"/>
        <v>59468.19878146681</v>
      </c>
      <c r="AF11" s="124">
        <f t="shared" si="7"/>
        <v>54718.48168360014</v>
      </c>
      <c r="AG11" s="124">
        <f t="shared" si="7"/>
        <v>49968.76458573347</v>
      </c>
      <c r="AH11" s="124">
        <f t="shared" si="7"/>
        <v>45219.0474878668</v>
      </c>
      <c r="AI11" s="124">
        <f>SUM(AI12:AI14)</f>
        <v>40469.330390000134</v>
      </c>
    </row>
    <row r="12" spans="1:35" ht="12.75">
      <c r="A12" s="127" t="s">
        <v>119</v>
      </c>
      <c r="B12" s="129"/>
      <c r="C12" s="128"/>
      <c r="D12" s="128">
        <f>C12+'1-Ф3'!D24/Исх!$C$21-'2-ф2'!D15</f>
        <v>0</v>
      </c>
      <c r="E12" s="128">
        <f>D12+'1-Ф3'!E24/Исх!$C$21-'2-ф2'!E15</f>
        <v>0</v>
      </c>
      <c r="F12" s="128">
        <f>E12+'1-Ф3'!F24/Исх!$C$21-'2-ф2'!F15</f>
        <v>0</v>
      </c>
      <c r="G12" s="128">
        <f>F12+'1-Ф3'!G24/Исх!$C$21-'2-ф2'!G15</f>
        <v>23058.73620800001</v>
      </c>
      <c r="H12" s="128">
        <f>G12+'1-Ф3'!H24/Исх!$C$21-'2-ф2'!H15</f>
        <v>46117.47241600002</v>
      </c>
      <c r="I12" s="128">
        <f>H12+'1-Ф3'!I24/Исх!$C$21-'2-ф2'!I15</f>
        <v>76092.20862400002</v>
      </c>
      <c r="J12" s="128">
        <f>I12+'1-Ф3'!J24/Исх!$C$21-'2-ф2'!J15</f>
        <v>75696.39886584447</v>
      </c>
      <c r="K12" s="128">
        <f>J12+'1-Ф3'!K24/Исх!$C$21-'2-ф2'!K15</f>
        <v>75300.58910768892</v>
      </c>
      <c r="L12" s="128">
        <f>K12+'1-Ф3'!L24/Исх!$C$21-'2-ф2'!L15</f>
        <v>74904.77934953338</v>
      </c>
      <c r="M12" s="128">
        <f>L12+'1-Ф3'!M24/Исх!$C$21-'2-ф2'!M15</f>
        <v>74508.96959137783</v>
      </c>
      <c r="N12" s="128">
        <f>M12+'1-Ф3'!N24/Исх!$C$21-'2-ф2'!N15</f>
        <v>74113.15983322228</v>
      </c>
      <c r="O12" s="128">
        <f>N12+'1-Ф3'!O24/Исх!$C$21-'2-ф2'!O15</f>
        <v>73717.35007506673</v>
      </c>
      <c r="P12" s="128">
        <f>O12</f>
        <v>73717.35007506673</v>
      </c>
      <c r="Q12" s="128">
        <f>P12+'1-Ф3'!Q24/Исх!$C$21-'2-ф2'!Q15</f>
        <v>73321.54031691118</v>
      </c>
      <c r="R12" s="128">
        <f>Q12+'1-Ф3'!R24/Исх!$C$21-'2-ф2'!R15</f>
        <v>72925.73055875563</v>
      </c>
      <c r="S12" s="128">
        <f>R12+'1-Ф3'!S24/Исх!$C$21-'2-ф2'!S15</f>
        <v>72529.92080060008</v>
      </c>
      <c r="T12" s="128">
        <f>S12+'1-Ф3'!T24/Исх!$C$21-'2-ф2'!T15</f>
        <v>72134.11104244454</v>
      </c>
      <c r="U12" s="128">
        <f>T12+'1-Ф3'!U24/Исх!$C$21-'2-ф2'!U15</f>
        <v>71738.30128428899</v>
      </c>
      <c r="V12" s="128">
        <f>U12+'1-Ф3'!V24/Исх!$C$21-'2-ф2'!V15</f>
        <v>71342.49152613344</v>
      </c>
      <c r="W12" s="128">
        <f>V12+'1-Ф3'!W24/Исх!$C$21-'2-ф2'!W15</f>
        <v>70946.68176797789</v>
      </c>
      <c r="X12" s="128">
        <f>W12+'1-Ф3'!X24/Исх!$C$21-'2-ф2'!X15</f>
        <v>70550.87200982234</v>
      </c>
      <c r="Y12" s="128">
        <f>X12+'1-Ф3'!Y24/Исх!$C$21-'2-ф2'!Y15</f>
        <v>70155.0622516668</v>
      </c>
      <c r="Z12" s="128">
        <f>Y12+'1-Ф3'!Z24/Исх!$C$21-'2-ф2'!Z15</f>
        <v>69759.25249351125</v>
      </c>
      <c r="AA12" s="128">
        <f>Z12+'1-Ф3'!AA24/Исх!$C$21-'2-ф2'!AA15</f>
        <v>69363.4427353557</v>
      </c>
      <c r="AB12" s="128">
        <f>AA12+'1-Ф3'!AB24/Исх!$C$21-'2-ф2'!AB15</f>
        <v>68967.63297720015</v>
      </c>
      <c r="AC12" s="128">
        <f>AB12</f>
        <v>68967.63297720015</v>
      </c>
      <c r="AD12" s="128">
        <f>AC12+'1-Ф3'!AD24/Исх!$C$21-'2-ф2'!AD15</f>
        <v>64217.91587933348</v>
      </c>
      <c r="AE12" s="128">
        <f>AD12+'1-Ф3'!AE24/Исх!$C$21-'2-ф2'!AE15</f>
        <v>59468.19878146681</v>
      </c>
      <c r="AF12" s="128">
        <f>AE12+'1-Ф3'!AF24/Исх!$C$21-'2-ф2'!AF15</f>
        <v>54718.48168360014</v>
      </c>
      <c r="AG12" s="128">
        <f>AF12+'1-Ф3'!AG24/Исх!$C$21-'2-ф2'!AG15</f>
        <v>49968.76458573347</v>
      </c>
      <c r="AH12" s="128">
        <f>AG12+'1-Ф3'!AH24/Исх!$C$21-'2-ф2'!AH15</f>
        <v>45219.0474878668</v>
      </c>
      <c r="AI12" s="128">
        <f>AH12+'1-Ф3'!AI24/Исх!$C$21-'2-ф2'!AI15</f>
        <v>40469.330390000134</v>
      </c>
    </row>
    <row r="13" spans="1:35" ht="15" customHeight="1" hidden="1">
      <c r="A13" s="127" t="s">
        <v>120</v>
      </c>
      <c r="B13" s="129"/>
      <c r="C13" s="128"/>
      <c r="D13" s="128">
        <f>C13</f>
        <v>0</v>
      </c>
      <c r="E13" s="128">
        <f>D13</f>
        <v>0</v>
      </c>
      <c r="F13" s="128">
        <f aca="true" t="shared" si="8" ref="F13:AI14">E13</f>
        <v>0</v>
      </c>
      <c r="G13" s="128">
        <f t="shared" si="8"/>
        <v>0</v>
      </c>
      <c r="H13" s="128">
        <f t="shared" si="8"/>
        <v>0</v>
      </c>
      <c r="I13" s="128">
        <f t="shared" si="8"/>
        <v>0</v>
      </c>
      <c r="J13" s="128">
        <f t="shared" si="8"/>
        <v>0</v>
      </c>
      <c r="K13" s="128">
        <f t="shared" si="8"/>
        <v>0</v>
      </c>
      <c r="L13" s="128">
        <f t="shared" si="8"/>
        <v>0</v>
      </c>
      <c r="M13" s="128">
        <f t="shared" si="8"/>
        <v>0</v>
      </c>
      <c r="N13" s="128">
        <f t="shared" si="8"/>
        <v>0</v>
      </c>
      <c r="O13" s="128">
        <f t="shared" si="8"/>
        <v>0</v>
      </c>
      <c r="P13" s="128">
        <f t="shared" si="8"/>
        <v>0</v>
      </c>
      <c r="Q13" s="128">
        <f t="shared" si="8"/>
        <v>0</v>
      </c>
      <c r="R13" s="128">
        <f t="shared" si="8"/>
        <v>0</v>
      </c>
      <c r="S13" s="128">
        <f t="shared" si="8"/>
        <v>0</v>
      </c>
      <c r="T13" s="128">
        <f t="shared" si="8"/>
        <v>0</v>
      </c>
      <c r="U13" s="128">
        <f t="shared" si="8"/>
        <v>0</v>
      </c>
      <c r="V13" s="128">
        <f t="shared" si="8"/>
        <v>0</v>
      </c>
      <c r="W13" s="128">
        <f t="shared" si="8"/>
        <v>0</v>
      </c>
      <c r="X13" s="128">
        <f t="shared" si="8"/>
        <v>0</v>
      </c>
      <c r="Y13" s="128">
        <f t="shared" si="8"/>
        <v>0</v>
      </c>
      <c r="Z13" s="128">
        <f t="shared" si="8"/>
        <v>0</v>
      </c>
      <c r="AA13" s="128">
        <f t="shared" si="8"/>
        <v>0</v>
      </c>
      <c r="AB13" s="128">
        <f t="shared" si="8"/>
        <v>0</v>
      </c>
      <c r="AC13" s="128">
        <f t="shared" si="8"/>
        <v>0</v>
      </c>
      <c r="AD13" s="128">
        <f t="shared" si="8"/>
        <v>0</v>
      </c>
      <c r="AE13" s="128">
        <f t="shared" si="8"/>
        <v>0</v>
      </c>
      <c r="AF13" s="128">
        <f t="shared" si="8"/>
        <v>0</v>
      </c>
      <c r="AG13" s="128">
        <f t="shared" si="8"/>
        <v>0</v>
      </c>
      <c r="AH13" s="128">
        <f t="shared" si="8"/>
        <v>0</v>
      </c>
      <c r="AI13" s="128">
        <f t="shared" si="8"/>
        <v>0</v>
      </c>
    </row>
    <row r="14" spans="1:35" ht="12.75">
      <c r="A14" s="127" t="s">
        <v>121</v>
      </c>
      <c r="B14" s="129"/>
      <c r="C14" s="128"/>
      <c r="D14" s="128">
        <f>IF('2-ф2'!D32&lt;0,-'2-ф2'!D32,0)</f>
        <v>0</v>
      </c>
      <c r="E14" s="128">
        <f>IF('2-ф2'!E32&lt;0,-'2-ф2'!E32,0)</f>
        <v>0</v>
      </c>
      <c r="F14" s="128">
        <f>IF('2-ф2'!F32&lt;0,-'2-ф2'!F32,0)</f>
        <v>0</v>
      </c>
      <c r="G14" s="128">
        <f>IF('2-ф2'!G32&lt;0,-'2-ф2'!G32,0)</f>
        <v>0</v>
      </c>
      <c r="H14" s="128">
        <f>IF('2-ф2'!H32&lt;0,-'2-ф2'!H32,0)</f>
        <v>0</v>
      </c>
      <c r="I14" s="128">
        <f>IF('2-ф2'!I32&lt;0,-'2-ф2'!I32,0)</f>
        <v>0</v>
      </c>
      <c r="J14" s="128">
        <f>IF('2-ф2'!J32&lt;0,-'2-ф2'!J32,0)</f>
        <v>0</v>
      </c>
      <c r="K14" s="128">
        <f>IF('2-ф2'!K32&lt;0,-'2-ф2'!K32,0)</f>
        <v>0</v>
      </c>
      <c r="L14" s="128">
        <f>IF('2-ф2'!L32&lt;0,-'2-ф2'!L32,0)</f>
        <v>0</v>
      </c>
      <c r="M14" s="128">
        <f>IF('2-ф2'!M32&lt;0,-'2-ф2'!M32,0)</f>
        <v>0</v>
      </c>
      <c r="N14" s="128">
        <f>IF('2-ф2'!N32&lt;0,-'2-ф2'!N32,0)</f>
        <v>0</v>
      </c>
      <c r="O14" s="128">
        <f>IF('2-ф2'!O32&lt;0,-'2-ф2'!O32,0)</f>
        <v>0</v>
      </c>
      <c r="P14" s="128">
        <f t="shared" si="8"/>
        <v>0</v>
      </c>
      <c r="Q14" s="128">
        <f>IF('2-ф2'!Q32&lt;0,-'2-ф2'!Q32,0)</f>
        <v>0</v>
      </c>
      <c r="R14" s="128">
        <f>IF('2-ф2'!R32&lt;0,-'2-ф2'!R32,0)</f>
        <v>0</v>
      </c>
      <c r="S14" s="128">
        <f>IF('2-ф2'!S32&lt;0,-'2-ф2'!S32,0)</f>
        <v>0</v>
      </c>
      <c r="T14" s="128">
        <f>IF('2-ф2'!T32&lt;0,-'2-ф2'!T32,0)</f>
        <v>0</v>
      </c>
      <c r="U14" s="128">
        <f>IF('2-ф2'!U32&lt;0,-'2-ф2'!U32,0)</f>
        <v>0</v>
      </c>
      <c r="V14" s="128">
        <f>IF('2-ф2'!V32&lt;0,-'2-ф2'!V32,0)</f>
        <v>0</v>
      </c>
      <c r="W14" s="128">
        <f>IF('2-ф2'!W32&lt;0,-'2-ф2'!W32,0)</f>
        <v>0</v>
      </c>
      <c r="X14" s="128">
        <f>IF('2-ф2'!X32&lt;0,-'2-ф2'!X32,0)</f>
        <v>0</v>
      </c>
      <c r="Y14" s="128">
        <f>IF('2-ф2'!Y32&lt;0,-'2-ф2'!Y32,0)</f>
        <v>0</v>
      </c>
      <c r="Z14" s="128">
        <f>IF('2-ф2'!Z32&lt;0,-'2-ф2'!Z32,0)</f>
        <v>0</v>
      </c>
      <c r="AA14" s="128">
        <f>IF('2-ф2'!AA32&lt;0,-'2-ф2'!AA32,0)</f>
        <v>0</v>
      </c>
      <c r="AB14" s="128">
        <f>IF('2-ф2'!AB32&lt;0,-'2-ф2'!AB32,0)</f>
        <v>0</v>
      </c>
      <c r="AC14" s="128">
        <f t="shared" si="8"/>
        <v>0</v>
      </c>
      <c r="AD14" s="128">
        <f>IF('2-ф2'!AD32&lt;0,-'2-ф2'!AD32,0)</f>
        <v>0</v>
      </c>
      <c r="AE14" s="128">
        <f>IF('2-ф2'!AE32&lt;0,-'2-ф2'!AE32,0)</f>
        <v>0</v>
      </c>
      <c r="AF14" s="128">
        <f>IF('2-ф2'!AF32&lt;0,-'2-ф2'!AF32,0)</f>
        <v>0</v>
      </c>
      <c r="AG14" s="128">
        <f>IF('2-ф2'!AG32&lt;0,-'2-ф2'!AG32,0)</f>
        <v>0</v>
      </c>
      <c r="AH14" s="128">
        <f>IF('2-ф2'!AH32&lt;0,-'2-ф2'!AH32,0)</f>
        <v>0</v>
      </c>
      <c r="AI14" s="128">
        <f>IF('2-ф2'!AI32&lt;0,-'2-ф2'!AI32,0)</f>
        <v>0</v>
      </c>
    </row>
    <row r="15" spans="1:184" ht="12.7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</row>
    <row r="16" spans="1:42" s="126" customFormat="1" ht="15" customHeight="1">
      <c r="A16" s="122" t="s">
        <v>122</v>
      </c>
      <c r="B16" s="123"/>
      <c r="C16" s="123">
        <f aca="true" t="shared" si="9" ref="C16:AH16">C21+C24+C17</f>
        <v>0</v>
      </c>
      <c r="D16" s="123">
        <f t="shared" si="9"/>
        <v>0</v>
      </c>
      <c r="E16" s="123">
        <f t="shared" si="9"/>
        <v>0</v>
      </c>
      <c r="F16" s="123">
        <f t="shared" si="9"/>
        <v>0</v>
      </c>
      <c r="G16" s="123">
        <f t="shared" si="9"/>
        <v>23058.73620800001</v>
      </c>
      <c r="H16" s="123">
        <f t="shared" si="9"/>
        <v>46117.47241600002</v>
      </c>
      <c r="I16" s="123">
        <f t="shared" si="9"/>
        <v>82885.07862400002</v>
      </c>
      <c r="J16" s="123">
        <f t="shared" si="9"/>
        <v>82489.26886584445</v>
      </c>
      <c r="K16" s="123">
        <f t="shared" si="9"/>
        <v>82093.4591076889</v>
      </c>
      <c r="L16" s="123">
        <f t="shared" si="9"/>
        <v>81697.64934953336</v>
      </c>
      <c r="M16" s="123">
        <f t="shared" si="9"/>
        <v>81301.8395913778</v>
      </c>
      <c r="N16" s="123">
        <f t="shared" si="9"/>
        <v>80906.02983322223</v>
      </c>
      <c r="O16" s="123">
        <f t="shared" si="9"/>
        <v>80510.22007506668</v>
      </c>
      <c r="P16" s="123">
        <f t="shared" si="9"/>
        <v>80510.22007506668</v>
      </c>
      <c r="Q16" s="123">
        <f t="shared" si="9"/>
        <v>81988.95365746693</v>
      </c>
      <c r="R16" s="123">
        <f t="shared" si="9"/>
        <v>83467.68723986718</v>
      </c>
      <c r="S16" s="123">
        <f t="shared" si="9"/>
        <v>84946.42082226744</v>
      </c>
      <c r="T16" s="123">
        <f t="shared" si="9"/>
        <v>85325.72435175824</v>
      </c>
      <c r="U16" s="123">
        <f t="shared" si="9"/>
        <v>85711.44122322435</v>
      </c>
      <c r="V16" s="123">
        <f t="shared" si="9"/>
        <v>86103.57143666576</v>
      </c>
      <c r="W16" s="123">
        <f t="shared" si="9"/>
        <v>86502.11499208248</v>
      </c>
      <c r="X16" s="123">
        <f t="shared" si="9"/>
        <v>86907.07188947451</v>
      </c>
      <c r="Y16" s="123">
        <f t="shared" si="9"/>
        <v>87318.44212884184</v>
      </c>
      <c r="Z16" s="123">
        <f t="shared" si="9"/>
        <v>87736.22571018447</v>
      </c>
      <c r="AA16" s="123">
        <f t="shared" si="9"/>
        <v>88160.42263350241</v>
      </c>
      <c r="AB16" s="123">
        <f t="shared" si="9"/>
        <v>88591.03289879567</v>
      </c>
      <c r="AC16" s="123">
        <f t="shared" si="9"/>
        <v>88591.03289879567</v>
      </c>
      <c r="AD16" s="123">
        <f t="shared" si="9"/>
        <v>94258.59675638846</v>
      </c>
      <c r="AE16" s="123">
        <f t="shared" si="9"/>
        <v>100849.6818584252</v>
      </c>
      <c r="AF16" s="123">
        <f t="shared" si="9"/>
        <v>108364.28820490588</v>
      </c>
      <c r="AG16" s="123">
        <f t="shared" si="9"/>
        <v>116802.41579583053</v>
      </c>
      <c r="AH16" s="123">
        <f t="shared" si="9"/>
        <v>126164.0646311991</v>
      </c>
      <c r="AI16" s="123">
        <f>AI21+AI24+AI17</f>
        <v>146113.22487608562</v>
      </c>
      <c r="AJ16" s="125"/>
      <c r="AK16" s="125"/>
      <c r="AL16" s="125"/>
      <c r="AM16" s="125"/>
      <c r="AN16" s="125"/>
      <c r="AO16" s="125"/>
      <c r="AP16" s="125"/>
    </row>
    <row r="17" spans="1:35" ht="15" customHeight="1">
      <c r="A17" s="122" t="s">
        <v>123</v>
      </c>
      <c r="B17" s="123"/>
      <c r="C17" s="123">
        <f aca="true" t="shared" si="10" ref="C17:AH17">SUM(C18:C20)</f>
        <v>0</v>
      </c>
      <c r="D17" s="123">
        <f t="shared" si="10"/>
        <v>0</v>
      </c>
      <c r="E17" s="123">
        <f t="shared" si="10"/>
        <v>0</v>
      </c>
      <c r="F17" s="123">
        <f t="shared" si="10"/>
        <v>0</v>
      </c>
      <c r="G17" s="123">
        <f t="shared" si="10"/>
        <v>0</v>
      </c>
      <c r="H17" s="123">
        <f t="shared" si="10"/>
        <v>134.50929454666672</v>
      </c>
      <c r="I17" s="123">
        <f t="shared" si="10"/>
        <v>403.52788364000014</v>
      </c>
      <c r="J17" s="123">
        <f t="shared" si="10"/>
        <v>847.3991006133336</v>
      </c>
      <c r="K17" s="123">
        <f t="shared" si="10"/>
        <v>1291.2703175866673</v>
      </c>
      <c r="L17" s="123">
        <f t="shared" si="10"/>
        <v>1735.1415345600008</v>
      </c>
      <c r="M17" s="123">
        <f t="shared" si="10"/>
        <v>2179.0127515333343</v>
      </c>
      <c r="N17" s="123">
        <f t="shared" si="10"/>
        <v>2622.8839685066678</v>
      </c>
      <c r="O17" s="123">
        <f t="shared" si="10"/>
        <v>0</v>
      </c>
      <c r="P17" s="123">
        <f t="shared" si="10"/>
        <v>0</v>
      </c>
      <c r="Q17" s="123">
        <f t="shared" si="10"/>
        <v>0</v>
      </c>
      <c r="R17" s="123">
        <f t="shared" si="10"/>
        <v>0</v>
      </c>
      <c r="S17" s="123">
        <f t="shared" si="10"/>
        <v>0</v>
      </c>
      <c r="T17" s="123">
        <f t="shared" si="10"/>
        <v>0</v>
      </c>
      <c r="U17" s="123">
        <f t="shared" si="10"/>
        <v>0</v>
      </c>
      <c r="V17" s="123">
        <f t="shared" si="10"/>
        <v>0</v>
      </c>
      <c r="W17" s="123">
        <f t="shared" si="10"/>
        <v>0</v>
      </c>
      <c r="X17" s="123">
        <f t="shared" si="10"/>
        <v>0</v>
      </c>
      <c r="Y17" s="123">
        <f t="shared" si="10"/>
        <v>0</v>
      </c>
      <c r="Z17" s="123">
        <f t="shared" si="10"/>
        <v>0</v>
      </c>
      <c r="AA17" s="123">
        <f t="shared" si="10"/>
        <v>0</v>
      </c>
      <c r="AB17" s="123">
        <f t="shared" si="10"/>
        <v>0</v>
      </c>
      <c r="AC17" s="123">
        <f t="shared" si="10"/>
        <v>0</v>
      </c>
      <c r="AD17" s="123">
        <f t="shared" si="10"/>
        <v>0</v>
      </c>
      <c r="AE17" s="123">
        <f t="shared" si="10"/>
        <v>0</v>
      </c>
      <c r="AF17" s="123">
        <f t="shared" si="10"/>
        <v>0</v>
      </c>
      <c r="AG17" s="123">
        <f t="shared" si="10"/>
        <v>0</v>
      </c>
      <c r="AH17" s="123">
        <f t="shared" si="10"/>
        <v>0</v>
      </c>
      <c r="AI17" s="123">
        <f>SUM(AI18:AI20)</f>
        <v>0</v>
      </c>
    </row>
    <row r="18" spans="1:35" ht="12.75" hidden="1">
      <c r="A18" s="127" t="s">
        <v>124</v>
      </c>
      <c r="B18" s="129"/>
      <c r="C18" s="129"/>
      <c r="D18" s="129">
        <f>C18</f>
        <v>0</v>
      </c>
      <c r="E18" s="129">
        <f>D18</f>
        <v>0</v>
      </c>
      <c r="F18" s="129">
        <f aca="true" t="shared" si="11" ref="F18:O18">E18</f>
        <v>0</v>
      </c>
      <c r="G18" s="129">
        <f t="shared" si="11"/>
        <v>0</v>
      </c>
      <c r="H18" s="129">
        <f t="shared" si="11"/>
        <v>0</v>
      </c>
      <c r="I18" s="129">
        <f t="shared" si="11"/>
        <v>0</v>
      </c>
      <c r="J18" s="129">
        <f t="shared" si="11"/>
        <v>0</v>
      </c>
      <c r="K18" s="129">
        <f t="shared" si="11"/>
        <v>0</v>
      </c>
      <c r="L18" s="129">
        <f t="shared" si="11"/>
        <v>0</v>
      </c>
      <c r="M18" s="129">
        <f t="shared" si="11"/>
        <v>0</v>
      </c>
      <c r="N18" s="129">
        <f t="shared" si="11"/>
        <v>0</v>
      </c>
      <c r="O18" s="129">
        <f t="shared" si="11"/>
        <v>0</v>
      </c>
      <c r="P18" s="129">
        <f>O18</f>
        <v>0</v>
      </c>
      <c r="Q18" s="129">
        <f>P18</f>
        <v>0</v>
      </c>
      <c r="R18" s="129">
        <f>Q18</f>
        <v>0</v>
      </c>
      <c r="S18" s="129">
        <f>R18</f>
        <v>0</v>
      </c>
      <c r="T18" s="129">
        <f>S18</f>
        <v>0</v>
      </c>
      <c r="U18" s="129">
        <f aca="true" t="shared" si="12" ref="U18:AF18">T18</f>
        <v>0</v>
      </c>
      <c r="V18" s="129">
        <f t="shared" si="12"/>
        <v>0</v>
      </c>
      <c r="W18" s="129">
        <f t="shared" si="12"/>
        <v>0</v>
      </c>
      <c r="X18" s="129">
        <f t="shared" si="12"/>
        <v>0</v>
      </c>
      <c r="Y18" s="129">
        <f t="shared" si="12"/>
        <v>0</v>
      </c>
      <c r="Z18" s="129">
        <f t="shared" si="12"/>
        <v>0</v>
      </c>
      <c r="AA18" s="129">
        <f t="shared" si="12"/>
        <v>0</v>
      </c>
      <c r="AB18" s="129">
        <f t="shared" si="12"/>
        <v>0</v>
      </c>
      <c r="AC18" s="129">
        <f t="shared" si="12"/>
        <v>0</v>
      </c>
      <c r="AD18" s="129">
        <f t="shared" si="12"/>
        <v>0</v>
      </c>
      <c r="AE18" s="129">
        <f t="shared" si="12"/>
        <v>0</v>
      </c>
      <c r="AF18" s="129">
        <f t="shared" si="12"/>
        <v>0</v>
      </c>
      <c r="AG18" s="129">
        <f>AF18</f>
        <v>0</v>
      </c>
      <c r="AH18" s="129">
        <f>AG18</f>
        <v>0</v>
      </c>
      <c r="AI18" s="129">
        <f>AH18</f>
        <v>0</v>
      </c>
    </row>
    <row r="19" spans="1:36" ht="25.5">
      <c r="A19" s="127" t="s">
        <v>125</v>
      </c>
      <c r="B19" s="129"/>
      <c r="C19" s="129"/>
      <c r="D19" s="129">
        <f>C19+'2-ф2'!D16-'1-Ф3'!D18-кр!C8</f>
        <v>0</v>
      </c>
      <c r="E19" s="129">
        <f>D19+'2-ф2'!E16-'1-Ф3'!E18-кр!D8</f>
        <v>0</v>
      </c>
      <c r="F19" s="129">
        <f>E19+'2-ф2'!F16-'1-Ф3'!F18-кр!E8</f>
        <v>0</v>
      </c>
      <c r="G19" s="129">
        <f>F19+'2-ф2'!G16-'1-Ф3'!G18-кр!F8</f>
        <v>0</v>
      </c>
      <c r="H19" s="129">
        <f>G19+'2-ф2'!H16-'1-Ф3'!H18-кр!G8</f>
        <v>134.50929454666672</v>
      </c>
      <c r="I19" s="129">
        <f>H19+'2-ф2'!I16-'1-Ф3'!I18-кр!H8</f>
        <v>403.52788364000014</v>
      </c>
      <c r="J19" s="129">
        <f>I19+'2-ф2'!J16-'1-Ф3'!J18-кр!I8</f>
        <v>847.3991006133336</v>
      </c>
      <c r="K19" s="129">
        <f>J19+'2-ф2'!K16-'1-Ф3'!K18-кр!J8</f>
        <v>1291.2703175866673</v>
      </c>
      <c r="L19" s="129">
        <f>K19+'2-ф2'!L16-'1-Ф3'!L18-кр!K8</f>
        <v>1735.1415345600008</v>
      </c>
      <c r="M19" s="129">
        <f>L19+'2-ф2'!M16-'1-Ф3'!M18-кр!L8</f>
        <v>2179.0127515333343</v>
      </c>
      <c r="N19" s="129">
        <f>M19+'2-ф2'!N16-'1-Ф3'!N18-кр!M8</f>
        <v>2622.8839685066678</v>
      </c>
      <c r="O19" s="129">
        <f>N19+'2-ф2'!O16-'1-Ф3'!O18-кр!N8</f>
        <v>0</v>
      </c>
      <c r="P19" s="129">
        <f>O19</f>
        <v>0</v>
      </c>
      <c r="Q19" s="129">
        <f>P19+'2-ф2'!Q16-'1-Ф3'!Q18-кр!P8</f>
        <v>0</v>
      </c>
      <c r="R19" s="129">
        <f>Q19+'2-ф2'!R16-'1-Ф3'!R18-кр!Q8</f>
        <v>0</v>
      </c>
      <c r="S19" s="129">
        <f>R19+'2-ф2'!S16-'1-Ф3'!S18-кр!R8</f>
        <v>0</v>
      </c>
      <c r="T19" s="129">
        <f>S19+'2-ф2'!T16-'1-Ф3'!T18-кр!S8</f>
        <v>0</v>
      </c>
      <c r="U19" s="129">
        <f>T19+'2-ф2'!U16-'1-Ф3'!U18-кр!T8</f>
        <v>0</v>
      </c>
      <c r="V19" s="129">
        <f>U19+'2-ф2'!V16-'1-Ф3'!V18-кр!U8</f>
        <v>0</v>
      </c>
      <c r="W19" s="129">
        <f>V19+'2-ф2'!W16-'1-Ф3'!W18-кр!V8</f>
        <v>0</v>
      </c>
      <c r="X19" s="129">
        <f>W19+'2-ф2'!X16-'1-Ф3'!X18-кр!W8</f>
        <v>0</v>
      </c>
      <c r="Y19" s="129">
        <f>X19+'2-ф2'!Y16-'1-Ф3'!Y18-кр!X8</f>
        <v>0</v>
      </c>
      <c r="Z19" s="129">
        <f>Y19+'2-ф2'!Z16-'1-Ф3'!Z18-кр!Y8</f>
        <v>0</v>
      </c>
      <c r="AA19" s="129">
        <f>Z19+'2-ф2'!AA16-'1-Ф3'!AA18-кр!Z8</f>
        <v>0</v>
      </c>
      <c r="AB19" s="129">
        <f>AA19+'2-ф2'!AB16-'1-Ф3'!AB18-кр!AA8</f>
        <v>0</v>
      </c>
      <c r="AC19" s="129">
        <f>AB19</f>
        <v>0</v>
      </c>
      <c r="AD19" s="129">
        <f>AC19+'2-ф2'!AD16-'1-Ф3'!AD18</f>
        <v>0</v>
      </c>
      <c r="AE19" s="129">
        <f>AD19+'2-ф2'!AE16-'1-Ф3'!AE18</f>
        <v>0</v>
      </c>
      <c r="AF19" s="129">
        <f>AE19+'2-ф2'!AF16-'1-Ф3'!AF18</f>
        <v>0</v>
      </c>
      <c r="AG19" s="129">
        <f>AF19+'2-ф2'!AG16-'1-Ф3'!AG18</f>
        <v>0</v>
      </c>
      <c r="AH19" s="129">
        <f>AG19+'2-ф2'!AH16-'1-Ф3'!AH18</f>
        <v>0</v>
      </c>
      <c r="AI19" s="129">
        <f>AH19+'2-ф2'!AI16-'1-Ф3'!AI18</f>
        <v>0</v>
      </c>
      <c r="AJ19" s="116"/>
    </row>
    <row r="20" spans="1:35" ht="12.75">
      <c r="A20" s="127" t="s">
        <v>127</v>
      </c>
      <c r="B20" s="129"/>
      <c r="C20" s="12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9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9">
        <f>AB20</f>
        <v>0</v>
      </c>
      <c r="AD20" s="129"/>
      <c r="AE20" s="129"/>
      <c r="AF20" s="129"/>
      <c r="AG20" s="129"/>
      <c r="AH20" s="129"/>
      <c r="AI20" s="129"/>
    </row>
    <row r="21" spans="1:35" ht="15" customHeight="1">
      <c r="A21" s="122" t="s">
        <v>128</v>
      </c>
      <c r="B21" s="123"/>
      <c r="C21" s="123">
        <f aca="true" t="shared" si="13" ref="C21:AH21">SUM(C22:C23)</f>
        <v>0</v>
      </c>
      <c r="D21" s="123">
        <f t="shared" si="13"/>
        <v>0</v>
      </c>
      <c r="E21" s="123">
        <f t="shared" si="13"/>
        <v>0</v>
      </c>
      <c r="F21" s="123">
        <f t="shared" si="13"/>
        <v>0</v>
      </c>
      <c r="G21" s="123">
        <f t="shared" si="13"/>
        <v>23058.73620800001</v>
      </c>
      <c r="H21" s="123">
        <f t="shared" si="13"/>
        <v>46117.47241600002</v>
      </c>
      <c r="I21" s="123">
        <f t="shared" si="13"/>
        <v>76092.20862400002</v>
      </c>
      <c r="J21" s="123">
        <f t="shared" si="13"/>
        <v>76092.20862400002</v>
      </c>
      <c r="K21" s="123">
        <f t="shared" si="13"/>
        <v>76092.20862400002</v>
      </c>
      <c r="L21" s="123">
        <f t="shared" si="13"/>
        <v>76092.20862400002</v>
      </c>
      <c r="M21" s="123">
        <f t="shared" si="13"/>
        <v>76092.20862400002</v>
      </c>
      <c r="N21" s="123">
        <f t="shared" si="13"/>
        <v>76092.20862400002</v>
      </c>
      <c r="O21" s="123">
        <f t="shared" si="13"/>
        <v>79158.96380948002</v>
      </c>
      <c r="P21" s="123">
        <f t="shared" si="13"/>
        <v>79158.96380948002</v>
      </c>
      <c r="Q21" s="123">
        <f t="shared" si="13"/>
        <v>79158.96380948002</v>
      </c>
      <c r="R21" s="123">
        <f t="shared" si="13"/>
        <v>79158.96380948002</v>
      </c>
      <c r="S21" s="123">
        <f t="shared" si="13"/>
        <v>79158.96380948002</v>
      </c>
      <c r="T21" s="123">
        <f t="shared" si="13"/>
        <v>78059.53375657057</v>
      </c>
      <c r="U21" s="123">
        <f t="shared" si="13"/>
        <v>76960.10370366112</v>
      </c>
      <c r="V21" s="123">
        <f t="shared" si="13"/>
        <v>75860.67365075168</v>
      </c>
      <c r="W21" s="123">
        <f t="shared" si="13"/>
        <v>74761.24359784223</v>
      </c>
      <c r="X21" s="123">
        <f t="shared" si="13"/>
        <v>73661.81354493278</v>
      </c>
      <c r="Y21" s="123">
        <f t="shared" si="13"/>
        <v>72562.38349202333</v>
      </c>
      <c r="Z21" s="123">
        <f t="shared" si="13"/>
        <v>71462.95343911389</v>
      </c>
      <c r="AA21" s="123">
        <f t="shared" si="13"/>
        <v>70363.52338620444</v>
      </c>
      <c r="AB21" s="123">
        <f t="shared" si="13"/>
        <v>69264.093333295</v>
      </c>
      <c r="AC21" s="123">
        <f t="shared" si="13"/>
        <v>69264.093333295</v>
      </c>
      <c r="AD21" s="123">
        <f t="shared" si="13"/>
        <v>56070.93269838163</v>
      </c>
      <c r="AE21" s="123">
        <f t="shared" si="13"/>
        <v>42877.77206346826</v>
      </c>
      <c r="AF21" s="123">
        <f t="shared" si="13"/>
        <v>29684.61142855491</v>
      </c>
      <c r="AG21" s="123">
        <f t="shared" si="13"/>
        <v>16491.450793641587</v>
      </c>
      <c r="AH21" s="123">
        <f t="shared" si="13"/>
        <v>3298.2901587282477</v>
      </c>
      <c r="AI21" s="123">
        <f>SUM(AI22:AI23)</f>
        <v>-8.594724931754172E-11</v>
      </c>
    </row>
    <row r="22" spans="1:35" ht="12.75">
      <c r="A22" s="127" t="s">
        <v>126</v>
      </c>
      <c r="B22" s="129"/>
      <c r="C22" s="123"/>
      <c r="D22" s="129">
        <f>кр!C12</f>
        <v>0</v>
      </c>
      <c r="E22" s="129">
        <f>кр!D12</f>
        <v>0</v>
      </c>
      <c r="F22" s="129">
        <f>кр!E12</f>
        <v>0</v>
      </c>
      <c r="G22" s="129">
        <f>кр!F12</f>
        <v>23058.73620800001</v>
      </c>
      <c r="H22" s="129">
        <f>кр!G12</f>
        <v>46117.47241600002</v>
      </c>
      <c r="I22" s="129">
        <f>кр!H12</f>
        <v>76092.20862400002</v>
      </c>
      <c r="J22" s="129">
        <f>кр!I12</f>
        <v>76092.20862400002</v>
      </c>
      <c r="K22" s="129">
        <f>кр!J12</f>
        <v>76092.20862400002</v>
      </c>
      <c r="L22" s="129">
        <f>кр!K12</f>
        <v>76092.20862400002</v>
      </c>
      <c r="M22" s="129">
        <f>кр!L12</f>
        <v>76092.20862400002</v>
      </c>
      <c r="N22" s="129">
        <f>кр!M12</f>
        <v>76092.20862400002</v>
      </c>
      <c r="O22" s="129">
        <f>кр!N12</f>
        <v>79158.96380948002</v>
      </c>
      <c r="P22" s="129">
        <f>кр!O12</f>
        <v>79158.96380948002</v>
      </c>
      <c r="Q22" s="129">
        <f>кр!P12</f>
        <v>79158.96380948002</v>
      </c>
      <c r="R22" s="129">
        <f>кр!Q12</f>
        <v>79158.96380948002</v>
      </c>
      <c r="S22" s="129">
        <f>кр!R12</f>
        <v>79158.96380948002</v>
      </c>
      <c r="T22" s="129">
        <f>кр!S12</f>
        <v>78059.53375657057</v>
      </c>
      <c r="U22" s="129">
        <f>кр!T12</f>
        <v>76960.10370366112</v>
      </c>
      <c r="V22" s="129">
        <f>кр!U12</f>
        <v>75860.67365075168</v>
      </c>
      <c r="W22" s="129">
        <f>кр!V12</f>
        <v>74761.24359784223</v>
      </c>
      <c r="X22" s="129">
        <f>кр!W12</f>
        <v>73661.81354493278</v>
      </c>
      <c r="Y22" s="129">
        <f>кр!X12</f>
        <v>72562.38349202333</v>
      </c>
      <c r="Z22" s="129">
        <f>кр!Y12</f>
        <v>71462.95343911389</v>
      </c>
      <c r="AA22" s="129">
        <f>кр!Z12</f>
        <v>70363.52338620444</v>
      </c>
      <c r="AB22" s="129">
        <f>кр!AA12</f>
        <v>69264.093333295</v>
      </c>
      <c r="AC22" s="129">
        <f>кр!AB12</f>
        <v>69264.093333295</v>
      </c>
      <c r="AD22" s="129">
        <f>кр!AO12</f>
        <v>56070.93269838163</v>
      </c>
      <c r="AE22" s="129">
        <f>кр!BB12</f>
        <v>42877.77206346826</v>
      </c>
      <c r="AF22" s="129">
        <f>кр!BO12</f>
        <v>29684.61142855491</v>
      </c>
      <c r="AG22" s="129">
        <f>кр!CB12</f>
        <v>16491.450793641587</v>
      </c>
      <c r="AH22" s="129">
        <f>кр!CO12</f>
        <v>3298.2901587282477</v>
      </c>
      <c r="AI22" s="129">
        <f>кр!DB12</f>
        <v>-8.594724931754172E-11</v>
      </c>
    </row>
    <row r="23" spans="1:35" ht="15" customHeight="1" hidden="1">
      <c r="A23" s="127" t="s">
        <v>129</v>
      </c>
      <c r="B23" s="129"/>
      <c r="C23" s="129"/>
      <c r="D23" s="129">
        <f>C23</f>
        <v>0</v>
      </c>
      <c r="E23" s="129">
        <f>D23</f>
        <v>0</v>
      </c>
      <c r="F23" s="129">
        <f aca="true" t="shared" si="14" ref="F23:AI23">E23</f>
        <v>0</v>
      </c>
      <c r="G23" s="129">
        <f t="shared" si="14"/>
        <v>0</v>
      </c>
      <c r="H23" s="129">
        <f t="shared" si="14"/>
        <v>0</v>
      </c>
      <c r="I23" s="129">
        <f t="shared" si="14"/>
        <v>0</v>
      </c>
      <c r="J23" s="129">
        <f t="shared" si="14"/>
        <v>0</v>
      </c>
      <c r="K23" s="129">
        <f t="shared" si="14"/>
        <v>0</v>
      </c>
      <c r="L23" s="129">
        <f t="shared" si="14"/>
        <v>0</v>
      </c>
      <c r="M23" s="129">
        <f t="shared" si="14"/>
        <v>0</v>
      </c>
      <c r="N23" s="129">
        <f t="shared" si="14"/>
        <v>0</v>
      </c>
      <c r="O23" s="129">
        <f t="shared" si="14"/>
        <v>0</v>
      </c>
      <c r="P23" s="129">
        <f t="shared" si="14"/>
        <v>0</v>
      </c>
      <c r="Q23" s="129">
        <f t="shared" si="14"/>
        <v>0</v>
      </c>
      <c r="R23" s="129">
        <f t="shared" si="14"/>
        <v>0</v>
      </c>
      <c r="S23" s="129">
        <f t="shared" si="14"/>
        <v>0</v>
      </c>
      <c r="T23" s="129">
        <f t="shared" si="14"/>
        <v>0</v>
      </c>
      <c r="U23" s="129">
        <f t="shared" si="14"/>
        <v>0</v>
      </c>
      <c r="V23" s="129">
        <f t="shared" si="14"/>
        <v>0</v>
      </c>
      <c r="W23" s="129">
        <f t="shared" si="14"/>
        <v>0</v>
      </c>
      <c r="X23" s="129">
        <f t="shared" si="14"/>
        <v>0</v>
      </c>
      <c r="Y23" s="129">
        <f t="shared" si="14"/>
        <v>0</v>
      </c>
      <c r="Z23" s="129">
        <f t="shared" si="14"/>
        <v>0</v>
      </c>
      <c r="AA23" s="129">
        <f t="shared" si="14"/>
        <v>0</v>
      </c>
      <c r="AB23" s="129">
        <f t="shared" si="14"/>
        <v>0</v>
      </c>
      <c r="AC23" s="123">
        <f>AB23</f>
        <v>0</v>
      </c>
      <c r="AD23" s="129">
        <f t="shared" si="14"/>
        <v>0</v>
      </c>
      <c r="AE23" s="129">
        <f t="shared" si="14"/>
        <v>0</v>
      </c>
      <c r="AF23" s="129">
        <f t="shared" si="14"/>
        <v>0</v>
      </c>
      <c r="AG23" s="129">
        <f t="shared" si="14"/>
        <v>0</v>
      </c>
      <c r="AH23" s="129">
        <f t="shared" si="14"/>
        <v>0</v>
      </c>
      <c r="AI23" s="129">
        <f t="shared" si="14"/>
        <v>0</v>
      </c>
    </row>
    <row r="24" spans="1:35" s="126" customFormat="1" ht="15" customHeight="1">
      <c r="A24" s="122" t="s">
        <v>130</v>
      </c>
      <c r="B24" s="123"/>
      <c r="C24" s="123">
        <f aca="true" t="shared" si="15" ref="C24:AH24">SUM(C25:C26)</f>
        <v>0</v>
      </c>
      <c r="D24" s="123">
        <f t="shared" si="15"/>
        <v>0</v>
      </c>
      <c r="E24" s="123">
        <f t="shared" si="15"/>
        <v>0</v>
      </c>
      <c r="F24" s="123">
        <f t="shared" si="15"/>
        <v>0</v>
      </c>
      <c r="G24" s="123">
        <f t="shared" si="15"/>
        <v>0</v>
      </c>
      <c r="H24" s="123">
        <f t="shared" si="15"/>
        <v>-134.50929454666672</v>
      </c>
      <c r="I24" s="123">
        <f t="shared" si="15"/>
        <v>6389.34211636</v>
      </c>
      <c r="J24" s="123">
        <f t="shared" si="15"/>
        <v>5549.66114123111</v>
      </c>
      <c r="K24" s="123">
        <f t="shared" si="15"/>
        <v>4709.980166102221</v>
      </c>
      <c r="L24" s="123">
        <f t="shared" si="15"/>
        <v>3870.299190973332</v>
      </c>
      <c r="M24" s="123">
        <f t="shared" si="15"/>
        <v>3030.618215844439</v>
      </c>
      <c r="N24" s="123">
        <f t="shared" si="15"/>
        <v>2190.9372407155533</v>
      </c>
      <c r="O24" s="123">
        <f t="shared" si="15"/>
        <v>1351.256265586664</v>
      </c>
      <c r="P24" s="123">
        <f t="shared" si="15"/>
        <v>1351.256265586664</v>
      </c>
      <c r="Q24" s="123">
        <f t="shared" si="15"/>
        <v>2829.9898479869153</v>
      </c>
      <c r="R24" s="123">
        <f t="shared" si="15"/>
        <v>4308.723430387166</v>
      </c>
      <c r="S24" s="123">
        <f t="shared" si="15"/>
        <v>5787.457012787418</v>
      </c>
      <c r="T24" s="123">
        <f t="shared" si="15"/>
        <v>7266.190595187669</v>
      </c>
      <c r="U24" s="123">
        <f t="shared" si="15"/>
        <v>8751.337519563225</v>
      </c>
      <c r="V24" s="123">
        <f t="shared" si="15"/>
        <v>10242.897785914087</v>
      </c>
      <c r="W24" s="123">
        <f t="shared" si="15"/>
        <v>11740.871394240254</v>
      </c>
      <c r="X24" s="123">
        <f t="shared" si="15"/>
        <v>13245.258344541726</v>
      </c>
      <c r="Y24" s="123">
        <f t="shared" si="15"/>
        <v>14756.058636818503</v>
      </c>
      <c r="Z24" s="123">
        <f t="shared" si="15"/>
        <v>16273.272271070586</v>
      </c>
      <c r="AA24" s="123">
        <f t="shared" si="15"/>
        <v>17796.899247297977</v>
      </c>
      <c r="AB24" s="123">
        <f t="shared" si="15"/>
        <v>19326.939565500674</v>
      </c>
      <c r="AC24" s="123">
        <f t="shared" si="15"/>
        <v>19326.939565500674</v>
      </c>
      <c r="AD24" s="123">
        <f t="shared" si="15"/>
        <v>38187.664058006834</v>
      </c>
      <c r="AE24" s="123">
        <f t="shared" si="15"/>
        <v>57971.90979495694</v>
      </c>
      <c r="AF24" s="123">
        <f t="shared" si="15"/>
        <v>78679.67677635097</v>
      </c>
      <c r="AG24" s="123">
        <f t="shared" si="15"/>
        <v>100310.96500218894</v>
      </c>
      <c r="AH24" s="123">
        <f t="shared" si="15"/>
        <v>122865.77447247085</v>
      </c>
      <c r="AI24" s="123">
        <f>SUM(AI25:AI26)</f>
        <v>146113.2248760857</v>
      </c>
    </row>
    <row r="25" spans="1:35" ht="15" customHeight="1">
      <c r="A25" s="127" t="s">
        <v>131</v>
      </c>
      <c r="B25" s="123"/>
      <c r="C25" s="129"/>
      <c r="D25" s="129">
        <f>C25+'1-Ф3'!D31</f>
        <v>0</v>
      </c>
      <c r="E25" s="129">
        <f>D25+'1-Ф3'!E31</f>
        <v>0</v>
      </c>
      <c r="F25" s="129">
        <f>E25+'1-Ф3'!F31</f>
        <v>0</v>
      </c>
      <c r="G25" s="129">
        <f>F25+'1-Ф3'!G31</f>
        <v>0</v>
      </c>
      <c r="H25" s="129">
        <f>G25+'1-Ф3'!H31</f>
        <v>0</v>
      </c>
      <c r="I25" s="129">
        <f>H25+'1-Ф3'!I31</f>
        <v>6792.87</v>
      </c>
      <c r="J25" s="129">
        <f>I25+'1-Ф3'!J31</f>
        <v>14035.132703888888</v>
      </c>
      <c r="K25" s="129">
        <f>J25+'1-Ф3'!K31</f>
        <v>21277.395407777778</v>
      </c>
      <c r="L25" s="129">
        <f>K25+'1-Ф3'!L31</f>
        <v>28519.658111666668</v>
      </c>
      <c r="M25" s="129">
        <f>L25+'1-Ф3'!M31</f>
        <v>35761.92081555555</v>
      </c>
      <c r="N25" s="129">
        <f>M25+'1-Ф3'!N31</f>
        <v>43004.18351944444</v>
      </c>
      <c r="O25" s="129">
        <f>N25+'1-Ф3'!O31</f>
        <v>50246.44622333333</v>
      </c>
      <c r="P25" s="129">
        <f>O25</f>
        <v>50246.44622333333</v>
      </c>
      <c r="Q25" s="129">
        <f>P25+'1-Ф3'!Q31</f>
        <v>50246.44622333333</v>
      </c>
      <c r="R25" s="129">
        <f>Q25+'1-Ф3'!R31</f>
        <v>50246.44622333333</v>
      </c>
      <c r="S25" s="129">
        <f>R25+'1-Ф3'!S31</f>
        <v>50246.44622333333</v>
      </c>
      <c r="T25" s="129">
        <f>S25+'1-Ф3'!T31</f>
        <v>50246.44622333333</v>
      </c>
      <c r="U25" s="129">
        <f>T25+'1-Ф3'!U31</f>
        <v>50246.44622333333</v>
      </c>
      <c r="V25" s="129">
        <f>U25+'1-Ф3'!V31</f>
        <v>50246.44622333333</v>
      </c>
      <c r="W25" s="129">
        <f>V25+'1-Ф3'!W31</f>
        <v>50246.44622333333</v>
      </c>
      <c r="X25" s="129">
        <f>W25+'1-Ф3'!X31</f>
        <v>50246.44622333333</v>
      </c>
      <c r="Y25" s="129">
        <f>X25+'1-Ф3'!Y31</f>
        <v>50246.44622333333</v>
      </c>
      <c r="Z25" s="129">
        <f>Y25+'1-Ф3'!Z31</f>
        <v>50246.44622333333</v>
      </c>
      <c r="AA25" s="129">
        <f>Z25+'1-Ф3'!AA31</f>
        <v>50246.44622333333</v>
      </c>
      <c r="AB25" s="129">
        <f>AA25+'1-Ф3'!AB31</f>
        <v>50246.44622333333</v>
      </c>
      <c r="AC25" s="129">
        <f>AB25</f>
        <v>50246.44622333333</v>
      </c>
      <c r="AD25" s="129">
        <f>AC25+'1-Ф3'!AD31</f>
        <v>50246.44622333333</v>
      </c>
      <c r="AE25" s="129">
        <f>AD25+'1-Ф3'!AE31</f>
        <v>50246.44622333333</v>
      </c>
      <c r="AF25" s="129">
        <f>AE25+'1-Ф3'!AF31</f>
        <v>50246.44622333333</v>
      </c>
      <c r="AG25" s="129">
        <f>AF25+'1-Ф3'!AG31</f>
        <v>50246.44622333333</v>
      </c>
      <c r="AH25" s="129">
        <f>AG25+'1-Ф3'!AH31</f>
        <v>50246.44622333333</v>
      </c>
      <c r="AI25" s="129">
        <f>AH25+'1-Ф3'!AI31</f>
        <v>50246.44622333333</v>
      </c>
    </row>
    <row r="26" spans="1:35" ht="15" customHeight="1">
      <c r="A26" s="127" t="s">
        <v>132</v>
      </c>
      <c r="B26" s="123"/>
      <c r="C26" s="129"/>
      <c r="D26" s="129">
        <f>'2-ф2'!D20</f>
        <v>0</v>
      </c>
      <c r="E26" s="129">
        <f>'2-ф2'!E20</f>
        <v>0</v>
      </c>
      <c r="F26" s="129">
        <f>'2-ф2'!F20</f>
        <v>0</v>
      </c>
      <c r="G26" s="129">
        <f>'2-ф2'!G20</f>
        <v>0</v>
      </c>
      <c r="H26" s="129">
        <f>'2-ф2'!H20</f>
        <v>-134.50929454666672</v>
      </c>
      <c r="I26" s="129">
        <f>'2-ф2'!I20</f>
        <v>-403.52788364000014</v>
      </c>
      <c r="J26" s="129">
        <f>'2-ф2'!J20</f>
        <v>-8485.471562657778</v>
      </c>
      <c r="K26" s="129">
        <f>'2-ф2'!K20</f>
        <v>-16567.415241675557</v>
      </c>
      <c r="L26" s="129">
        <f>'2-ф2'!L20</f>
        <v>-24649.358920693336</v>
      </c>
      <c r="M26" s="129">
        <f>'2-ф2'!M20</f>
        <v>-32731.302599711114</v>
      </c>
      <c r="N26" s="129">
        <f>'2-ф2'!N20</f>
        <v>-40813.24627872889</v>
      </c>
      <c r="O26" s="129">
        <f>'2-ф2'!O20</f>
        <v>-48895.18995774667</v>
      </c>
      <c r="P26" s="129">
        <f>'2-ф2'!P20</f>
        <v>-48895.18995774667</v>
      </c>
      <c r="Q26" s="129">
        <f>'2-ф2'!Q20</f>
        <v>-47416.45637534642</v>
      </c>
      <c r="R26" s="129">
        <f>'2-ф2'!R20</f>
        <v>-45937.722792946166</v>
      </c>
      <c r="S26" s="129">
        <f>'2-ф2'!S20</f>
        <v>-44458.989210545915</v>
      </c>
      <c r="T26" s="129">
        <f>'2-ф2'!T20</f>
        <v>-42980.255628145664</v>
      </c>
      <c r="U26" s="129">
        <f>'2-ф2'!U20</f>
        <v>-41495.10870377011</v>
      </c>
      <c r="V26" s="129">
        <f>'2-ф2'!V20</f>
        <v>-40003.548437419246</v>
      </c>
      <c r="W26" s="129">
        <f>'2-ф2'!W20</f>
        <v>-38505.57482909308</v>
      </c>
      <c r="X26" s="129">
        <f>'2-ф2'!X20</f>
        <v>-37001.18787879161</v>
      </c>
      <c r="Y26" s="129">
        <f>'2-ф2'!Y20</f>
        <v>-35490.38758651483</v>
      </c>
      <c r="Z26" s="129">
        <f>'2-ф2'!Z20</f>
        <v>-33973.17395226275</v>
      </c>
      <c r="AA26" s="129">
        <f>'2-ф2'!AA20</f>
        <v>-32449.546976035355</v>
      </c>
      <c r="AB26" s="129">
        <f>'2-ф2'!AB20</f>
        <v>-30919.50665783266</v>
      </c>
      <c r="AC26" s="129">
        <f>'2-ф2'!AC20</f>
        <v>-30919.50665783266</v>
      </c>
      <c r="AD26" s="129">
        <f>'2-ф2'!AD20</f>
        <v>-12058.782165326495</v>
      </c>
      <c r="AE26" s="129">
        <f>'2-ф2'!AE20</f>
        <v>7725.463571623604</v>
      </c>
      <c r="AF26" s="129">
        <f>'2-ф2'!AF20</f>
        <v>28433.23055301764</v>
      </c>
      <c r="AG26" s="129">
        <f>'2-ф2'!AG20</f>
        <v>50064.51877885561</v>
      </c>
      <c r="AH26" s="129">
        <f>'2-ф2'!AH20</f>
        <v>72619.32824913751</v>
      </c>
      <c r="AI26" s="129">
        <f>'2-ф2'!AI20</f>
        <v>95866.77865275237</v>
      </c>
    </row>
    <row r="28" spans="1:35" ht="12.75">
      <c r="A28" s="132" t="s">
        <v>133</v>
      </c>
      <c r="B28" s="133"/>
      <c r="C28" s="134">
        <f aca="true" t="shared" si="16" ref="C28:AH28">C5-C16</f>
        <v>0</v>
      </c>
      <c r="D28" s="135">
        <f t="shared" si="16"/>
        <v>0</v>
      </c>
      <c r="E28" s="135">
        <f t="shared" si="16"/>
        <v>0</v>
      </c>
      <c r="F28" s="135">
        <f t="shared" si="16"/>
        <v>0</v>
      </c>
      <c r="G28" s="135">
        <f t="shared" si="16"/>
        <v>0</v>
      </c>
      <c r="H28" s="135">
        <f t="shared" si="16"/>
        <v>0</v>
      </c>
      <c r="I28" s="135">
        <f t="shared" si="16"/>
        <v>0</v>
      </c>
      <c r="J28" s="135">
        <f t="shared" si="16"/>
        <v>0</v>
      </c>
      <c r="K28" s="135">
        <f t="shared" si="16"/>
        <v>0</v>
      </c>
      <c r="L28" s="135">
        <f t="shared" si="16"/>
        <v>0</v>
      </c>
      <c r="M28" s="135">
        <f t="shared" si="16"/>
        <v>0</v>
      </c>
      <c r="N28" s="135">
        <f t="shared" si="16"/>
        <v>0</v>
      </c>
      <c r="O28" s="135">
        <f t="shared" si="16"/>
        <v>0</v>
      </c>
      <c r="P28" s="135">
        <f>P5-P16</f>
        <v>0</v>
      </c>
      <c r="Q28" s="135">
        <f t="shared" si="16"/>
        <v>0</v>
      </c>
      <c r="R28" s="135">
        <f t="shared" si="16"/>
        <v>0</v>
      </c>
      <c r="S28" s="135">
        <f t="shared" si="16"/>
        <v>0</v>
      </c>
      <c r="T28" s="135">
        <f t="shared" si="16"/>
        <v>0</v>
      </c>
      <c r="U28" s="135">
        <f t="shared" si="16"/>
        <v>0</v>
      </c>
      <c r="V28" s="135">
        <f t="shared" si="16"/>
        <v>1.1641532182693481E-10</v>
      </c>
      <c r="W28" s="135">
        <f t="shared" si="16"/>
        <v>1.3096723705530167E-10</v>
      </c>
      <c r="X28" s="135">
        <f t="shared" si="16"/>
        <v>1.4551915228366852E-10</v>
      </c>
      <c r="Y28" s="135">
        <f t="shared" si="16"/>
        <v>1.6007106751203537E-10</v>
      </c>
      <c r="Z28" s="135">
        <f t="shared" si="16"/>
        <v>1.6007106751203537E-10</v>
      </c>
      <c r="AA28" s="135">
        <f t="shared" si="16"/>
        <v>1.7462298274040222E-10</v>
      </c>
      <c r="AB28" s="135">
        <f t="shared" si="16"/>
        <v>1.7462298274040222E-10</v>
      </c>
      <c r="AC28" s="135">
        <f t="shared" si="16"/>
        <v>1.7462298274040222E-10</v>
      </c>
      <c r="AD28" s="135">
        <f t="shared" si="16"/>
        <v>2.3283064365386963E-10</v>
      </c>
      <c r="AE28" s="135">
        <f t="shared" si="16"/>
        <v>2.6193447411060333E-10</v>
      </c>
      <c r="AF28" s="135">
        <f t="shared" si="16"/>
        <v>2.9103830456733704E-10</v>
      </c>
      <c r="AG28" s="135">
        <f t="shared" si="16"/>
        <v>2.764863893389702E-10</v>
      </c>
      <c r="AH28" s="135">
        <f t="shared" si="16"/>
        <v>2.764863893389702E-10</v>
      </c>
      <c r="AI28" s="135">
        <f>AI5-AI16</f>
        <v>2.9103830456733704E-10</v>
      </c>
    </row>
    <row r="29" ht="12.75" hidden="1"/>
    <row r="30" spans="1:35" ht="12.75" hidden="1">
      <c r="A30" s="115" t="s">
        <v>132</v>
      </c>
      <c r="P30" s="116">
        <f>P26</f>
        <v>-48895.18995774667</v>
      </c>
      <c r="Q30" s="116">
        <f>'[45]ф2'!Q32</f>
        <v>109.48954266069855</v>
      </c>
      <c r="R30" s="116">
        <f>'[45]ф2'!R32</f>
        <v>109.48954266069855</v>
      </c>
      <c r="S30" s="116">
        <f>'[45]ф2'!S32</f>
        <v>108.45296951069854</v>
      </c>
      <c r="T30" s="116">
        <f>'[45]ф2'!T32</f>
        <v>106.37982321069852</v>
      </c>
      <c r="U30" s="116">
        <f>'[45]ф2'!U32</f>
        <v>103.27010376069849</v>
      </c>
      <c r="V30" s="116">
        <f>'[45]ф2'!V32</f>
        <v>103.27010376069849</v>
      </c>
      <c r="W30" s="116">
        <f>'[45]ф2'!W32</f>
        <v>103.27010376069849</v>
      </c>
      <c r="X30" s="116">
        <f>'[45]ф2'!X32</f>
        <v>99.20125340855881</v>
      </c>
      <c r="Y30" s="116">
        <f>'[45]ф2'!Y32</f>
        <v>99.20125340855881</v>
      </c>
      <c r="Z30" s="116">
        <f>'[45]ф2'!Z32</f>
        <v>99.20125340855881</v>
      </c>
      <c r="AA30" s="116">
        <f>'[45]ф2'!AA32</f>
        <v>99.20125340855881</v>
      </c>
      <c r="AB30" s="116">
        <f>'[45]ф2'!AB32</f>
        <v>82.61608300855879</v>
      </c>
      <c r="AC30" s="116">
        <f>AC26-P26</f>
        <v>17975.68329991401</v>
      </c>
      <c r="AD30" s="116">
        <f aca="true" t="shared" si="17" ref="AD30:AI30">AD26-AC26</f>
        <v>18860.724492506164</v>
      </c>
      <c r="AE30" s="116">
        <f t="shared" si="17"/>
        <v>19784.2457369501</v>
      </c>
      <c r="AF30" s="116">
        <f t="shared" si="17"/>
        <v>20707.766981394037</v>
      </c>
      <c r="AG30" s="116">
        <f t="shared" si="17"/>
        <v>21631.288225837965</v>
      </c>
      <c r="AH30" s="116">
        <f t="shared" si="17"/>
        <v>22554.809470281907</v>
      </c>
      <c r="AI30" s="116">
        <f t="shared" si="17"/>
        <v>23247.450403614857</v>
      </c>
    </row>
    <row r="31" spans="1:35" ht="12.75" hidden="1">
      <c r="A31" s="115" t="s">
        <v>134</v>
      </c>
      <c r="P31" s="116">
        <f>(P8+P10+P13+P14)-(C8+C10+C13+C14)</f>
        <v>0</v>
      </c>
      <c r="AC31" s="116">
        <f>(AC8+AC10+AC13+AC14)-(P8+P10+P13+P14)</f>
        <v>0</v>
      </c>
      <c r="AD31" s="116">
        <f aca="true" t="shared" si="18" ref="AD31:AI31">(AD8+AD10+AD13+AD14)-(AC8+AC10+AC13+AC14)</f>
        <v>0</v>
      </c>
      <c r="AE31" s="116">
        <f t="shared" si="18"/>
        <v>0</v>
      </c>
      <c r="AF31" s="116">
        <f t="shared" si="18"/>
        <v>0</v>
      </c>
      <c r="AG31" s="116">
        <f t="shared" si="18"/>
        <v>0</v>
      </c>
      <c r="AH31" s="116">
        <f t="shared" si="18"/>
        <v>0</v>
      </c>
      <c r="AI31" s="116">
        <f t="shared" si="18"/>
        <v>0</v>
      </c>
    </row>
    <row r="32" spans="1:35" ht="12.75" hidden="1">
      <c r="A32" s="115" t="s">
        <v>135</v>
      </c>
      <c r="P32" s="116">
        <f>P9-C9</f>
        <v>6792.87</v>
      </c>
      <c r="AC32" s="116">
        <f>AC9-P9</f>
        <v>0</v>
      </c>
      <c r="AD32" s="116">
        <f aca="true" t="shared" si="19" ref="AD32:AI32">AD9-AC9</f>
        <v>0</v>
      </c>
      <c r="AE32" s="116">
        <f t="shared" si="19"/>
        <v>0</v>
      </c>
      <c r="AF32" s="116">
        <f t="shared" si="19"/>
        <v>0</v>
      </c>
      <c r="AG32" s="116">
        <f t="shared" si="19"/>
        <v>0</v>
      </c>
      <c r="AH32" s="116">
        <f t="shared" si="19"/>
        <v>0</v>
      </c>
      <c r="AI32" s="116">
        <f t="shared" si="19"/>
        <v>0</v>
      </c>
    </row>
    <row r="33" spans="1:35" ht="12.75" hidden="1">
      <c r="A33" s="115" t="s">
        <v>136</v>
      </c>
      <c r="P33" s="116">
        <f>(P21+P17)-(C21+C17)</f>
        <v>79158.96380948002</v>
      </c>
      <c r="AC33" s="116">
        <f>(AC21+AC17)-(P21+P17)</f>
        <v>-9894.870476185024</v>
      </c>
      <c r="AD33" s="116">
        <f aca="true" t="shared" si="20" ref="AD33:AI33">(AD21+AD17)-(AC21+AC17)</f>
        <v>-13193.160634913365</v>
      </c>
      <c r="AE33" s="116">
        <f t="shared" si="20"/>
        <v>-13193.160634913365</v>
      </c>
      <c r="AF33" s="116">
        <f t="shared" si="20"/>
        <v>-13193.160634913354</v>
      </c>
      <c r="AG33" s="116">
        <f t="shared" si="20"/>
        <v>-13193.160634913322</v>
      </c>
      <c r="AH33" s="116">
        <f t="shared" si="20"/>
        <v>-13193.16063491334</v>
      </c>
      <c r="AI33" s="116">
        <f t="shared" si="20"/>
        <v>-3298.2901587283336</v>
      </c>
    </row>
    <row r="34" spans="1:35" ht="12.75" hidden="1">
      <c r="A34" s="115" t="s">
        <v>137</v>
      </c>
      <c r="P34" s="116">
        <f>-P31+P32+P33</f>
        <v>85951.83380948001</v>
      </c>
      <c r="Q34" s="116">
        <f aca="true" t="shared" si="21" ref="Q34:AB34">Q31+Q32+Q33</f>
        <v>0</v>
      </c>
      <c r="R34" s="116">
        <f t="shared" si="21"/>
        <v>0</v>
      </c>
      <c r="S34" s="116">
        <f t="shared" si="21"/>
        <v>0</v>
      </c>
      <c r="T34" s="116">
        <f t="shared" si="21"/>
        <v>0</v>
      </c>
      <c r="U34" s="116">
        <f t="shared" si="21"/>
        <v>0</v>
      </c>
      <c r="V34" s="116">
        <f t="shared" si="21"/>
        <v>0</v>
      </c>
      <c r="W34" s="116">
        <f t="shared" si="21"/>
        <v>0</v>
      </c>
      <c r="X34" s="116">
        <f t="shared" si="21"/>
        <v>0</v>
      </c>
      <c r="Y34" s="116">
        <f t="shared" si="21"/>
        <v>0</v>
      </c>
      <c r="Z34" s="116">
        <f t="shared" si="21"/>
        <v>0</v>
      </c>
      <c r="AA34" s="116">
        <f t="shared" si="21"/>
        <v>0</v>
      </c>
      <c r="AB34" s="116">
        <f t="shared" si="21"/>
        <v>0</v>
      </c>
      <c r="AC34" s="116">
        <f aca="true" t="shared" si="22" ref="AC34:AH34">-AC31+AC32+AC33</f>
        <v>-9894.870476185024</v>
      </c>
      <c r="AD34" s="116">
        <f t="shared" si="22"/>
        <v>-13193.160634913365</v>
      </c>
      <c r="AE34" s="116">
        <f t="shared" si="22"/>
        <v>-13193.160634913365</v>
      </c>
      <c r="AF34" s="116">
        <f t="shared" si="22"/>
        <v>-13193.160634913354</v>
      </c>
      <c r="AG34" s="116">
        <f t="shared" si="22"/>
        <v>-13193.160634913322</v>
      </c>
      <c r="AH34" s="116">
        <f t="shared" si="22"/>
        <v>-13193.16063491334</v>
      </c>
      <c r="AI34" s="116">
        <f>-AI31+AI32+AI33</f>
        <v>-3298.2901587283336</v>
      </c>
    </row>
    <row r="35" spans="1:35" ht="12.75" hidden="1">
      <c r="A35" s="115" t="s">
        <v>74</v>
      </c>
      <c r="P35" s="116">
        <f>'2-ф2'!P15</f>
        <v>2374.858548933334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>
        <f>'2-ф2'!AC15</f>
        <v>4749.717097866668</v>
      </c>
      <c r="AD35" s="116">
        <f>'2-ф2'!AD15</f>
        <v>4749.717097866668</v>
      </c>
      <c r="AE35" s="116">
        <f>'2-ф2'!AE15</f>
        <v>4749.717097866668</v>
      </c>
      <c r="AF35" s="116">
        <f>'2-ф2'!AF15</f>
        <v>4749.717097866668</v>
      </c>
      <c r="AG35" s="116">
        <f>'2-ф2'!AG15</f>
        <v>4749.717097866668</v>
      </c>
      <c r="AH35" s="116">
        <f>'2-ф2'!AH15</f>
        <v>4749.717097866668</v>
      </c>
      <c r="AI35" s="116">
        <f>'2-ф2'!AI15</f>
        <v>4749.717097866668</v>
      </c>
    </row>
    <row r="36" spans="1:35" ht="12.75" hidden="1">
      <c r="A36" s="115" t="s">
        <v>138</v>
      </c>
      <c r="P36" s="116">
        <f>-'1-Ф3'!P24</f>
        <v>-76092.20862400002</v>
      </c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>
        <f>-'1-Ф3'!AC24</f>
        <v>0</v>
      </c>
      <c r="AD36" s="116">
        <f>-'1-Ф3'!AD24</f>
        <v>0</v>
      </c>
      <c r="AE36" s="116">
        <f>-'1-Ф3'!AE24</f>
        <v>0</v>
      </c>
      <c r="AF36" s="116">
        <f>-'1-Ф3'!AF24</f>
        <v>0</v>
      </c>
      <c r="AG36" s="116">
        <f>-'1-Ф3'!AG24</f>
        <v>0</v>
      </c>
      <c r="AH36" s="116">
        <f>-'1-Ф3'!AH24</f>
        <v>0</v>
      </c>
      <c r="AI36" s="116">
        <f>-'1-Ф3'!AI24</f>
        <v>0</v>
      </c>
    </row>
    <row r="37" spans="1:35" ht="12.75" hidden="1">
      <c r="A37" s="115" t="s">
        <v>139</v>
      </c>
      <c r="P37" s="116">
        <f>P30+P34+P35+P36+P25</f>
        <v>13585.73999999999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>
        <f aca="true" t="shared" si="23" ref="AC37:AH37">AC30+AC34+AC35+AC36</f>
        <v>12830.529921595655</v>
      </c>
      <c r="AD37" s="116">
        <f t="shared" si="23"/>
        <v>10417.280955459468</v>
      </c>
      <c r="AE37" s="116">
        <f t="shared" si="23"/>
        <v>11340.802199903403</v>
      </c>
      <c r="AF37" s="116">
        <f t="shared" si="23"/>
        <v>12264.323444347352</v>
      </c>
      <c r="AG37" s="116">
        <f t="shared" si="23"/>
        <v>13187.844688791312</v>
      </c>
      <c r="AH37" s="116">
        <f t="shared" si="23"/>
        <v>14111.365933235236</v>
      </c>
      <c r="AI37" s="116">
        <f>AI30+AI34+AI35+AI36</f>
        <v>24698.877342753192</v>
      </c>
    </row>
    <row r="38" ht="12.75" hidden="1"/>
    <row r="39" spans="1:35" ht="12.75" hidden="1">
      <c r="A39" s="115" t="s">
        <v>145</v>
      </c>
      <c r="P39" s="116">
        <f>'1-Ф3'!P37</f>
        <v>0</v>
      </c>
      <c r="AC39" s="116">
        <f>'1-Ф3'!AC37</f>
        <v>12830.529921595728</v>
      </c>
      <c r="AD39" s="116">
        <f>'1-Ф3'!AD37</f>
        <v>10417.280955459513</v>
      </c>
      <c r="AE39" s="116">
        <f>'1-Ф3'!AE37</f>
        <v>11340.802199903437</v>
      </c>
      <c r="AF39" s="116">
        <f>'1-Ф3'!AF37</f>
        <v>12264.323444347376</v>
      </c>
      <c r="AG39" s="116">
        <f>'1-Ф3'!AG37</f>
        <v>13187.844688791314</v>
      </c>
      <c r="AH39" s="116">
        <f>'1-Ф3'!AH37</f>
        <v>14111.365933235238</v>
      </c>
      <c r="AI39" s="116">
        <f>'1-Ф3'!AI37</f>
        <v>24698.877342753192</v>
      </c>
    </row>
    <row r="40" spans="1:35" ht="12.75" hidden="1">
      <c r="A40" s="132" t="s">
        <v>133</v>
      </c>
      <c r="B40" s="133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>
        <f>P39-P37</f>
        <v>-13585.73999999999</v>
      </c>
      <c r="Q40" s="135">
        <f aca="true" t="shared" si="24" ref="Q40:AB40">Q39-Q37</f>
        <v>0</v>
      </c>
      <c r="R40" s="135">
        <f t="shared" si="24"/>
        <v>0</v>
      </c>
      <c r="S40" s="135">
        <f t="shared" si="24"/>
        <v>0</v>
      </c>
      <c r="T40" s="135">
        <f t="shared" si="24"/>
        <v>0</v>
      </c>
      <c r="U40" s="135">
        <f t="shared" si="24"/>
        <v>0</v>
      </c>
      <c r="V40" s="135">
        <f t="shared" si="24"/>
        <v>0</v>
      </c>
      <c r="W40" s="135">
        <f t="shared" si="24"/>
        <v>0</v>
      </c>
      <c r="X40" s="135">
        <f t="shared" si="24"/>
        <v>0</v>
      </c>
      <c r="Y40" s="135">
        <f t="shared" si="24"/>
        <v>0</v>
      </c>
      <c r="Z40" s="135">
        <f t="shared" si="24"/>
        <v>0</v>
      </c>
      <c r="AA40" s="135">
        <f t="shared" si="24"/>
        <v>0</v>
      </c>
      <c r="AB40" s="135">
        <f t="shared" si="24"/>
        <v>0</v>
      </c>
      <c r="AC40" s="135">
        <f aca="true" t="shared" si="25" ref="AC40:AH40">AC39-AC37</f>
        <v>7.275957614183426E-11</v>
      </c>
      <c r="AD40" s="135">
        <f t="shared" si="25"/>
        <v>4.547473508864641E-11</v>
      </c>
      <c r="AE40" s="135">
        <f t="shared" si="25"/>
        <v>3.456079866737127E-11</v>
      </c>
      <c r="AF40" s="135">
        <f t="shared" si="25"/>
        <v>2.3646862246096134E-11</v>
      </c>
      <c r="AG40" s="135">
        <f t="shared" si="25"/>
        <v>0</v>
      </c>
      <c r="AH40" s="135">
        <f t="shared" si="25"/>
        <v>0</v>
      </c>
      <c r="AI40" s="135">
        <f>AI39-AI37</f>
        <v>0</v>
      </c>
    </row>
    <row r="41" spans="7:21" ht="12.75">
      <c r="G41" s="299">
        <f aca="true" t="shared" si="26" ref="G41:L41">G28-F28</f>
        <v>0</v>
      </c>
      <c r="H41" s="299">
        <f t="shared" si="26"/>
        <v>0</v>
      </c>
      <c r="I41" s="299">
        <f t="shared" si="26"/>
        <v>0</v>
      </c>
      <c r="J41" s="299">
        <f t="shared" si="26"/>
        <v>0</v>
      </c>
      <c r="K41" s="299">
        <f t="shared" si="26"/>
        <v>0</v>
      </c>
      <c r="L41" s="299">
        <f t="shared" si="26"/>
        <v>0</v>
      </c>
      <c r="M41" s="299">
        <f>M28-L28</f>
        <v>0</v>
      </c>
      <c r="N41" s="299">
        <f>N28-M28</f>
        <v>0</v>
      </c>
      <c r="O41" s="299"/>
      <c r="P41" s="299"/>
      <c r="Q41" s="299"/>
      <c r="R41" s="299"/>
      <c r="S41" s="116"/>
      <c r="T41" s="116"/>
      <c r="U41" s="116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0"/>
  <sheetViews>
    <sheetView showGridLines="0" zoomScalePageLayoutView="0" workbookViewId="0" topLeftCell="A1">
      <pane ySplit="3" topLeftCell="A19" activePane="bottomLeft" state="frozen"/>
      <selection pane="topLeft" activeCell="A34" sqref="A34"/>
      <selection pane="bottomLeft" activeCell="C44" sqref="C44"/>
    </sheetView>
  </sheetViews>
  <sheetFormatPr defaultColWidth="9.00390625" defaultRowHeight="12.75"/>
  <cols>
    <col min="1" max="1" width="29.875" style="70" customWidth="1"/>
    <col min="2" max="2" width="18.75390625" style="70" customWidth="1"/>
    <col min="3" max="3" width="20.00390625" style="70" customWidth="1"/>
    <col min="4" max="4" width="19.00390625" style="70" customWidth="1"/>
    <col min="5" max="13" width="9.125" style="70" customWidth="1"/>
    <col min="14" max="14" width="14.375" style="70" customWidth="1"/>
    <col min="15" max="16384" width="9.125" style="70" customWidth="1"/>
  </cols>
  <sheetData>
    <row r="1" spans="1:3" ht="15.75" customHeight="1">
      <c r="A1" s="327" t="s">
        <v>36</v>
      </c>
      <c r="B1" s="327"/>
      <c r="C1" s="327"/>
    </row>
    <row r="2" spans="1:7" ht="12" customHeight="1">
      <c r="A2" s="60"/>
      <c r="G2" s="232">
        <f>'1-Ф3'!B38</f>
        <v>98851.02448608578</v>
      </c>
    </row>
    <row r="3" spans="1:3" ht="12.75">
      <c r="A3" s="71" t="s">
        <v>26</v>
      </c>
      <c r="B3" s="72" t="s">
        <v>37</v>
      </c>
      <c r="C3" s="72" t="s">
        <v>7</v>
      </c>
    </row>
    <row r="4" ht="12.75">
      <c r="A4" s="60" t="s">
        <v>147</v>
      </c>
    </row>
    <row r="5" spans="1:3" ht="12.75">
      <c r="A5" s="73" t="s">
        <v>100</v>
      </c>
      <c r="B5" s="73"/>
      <c r="C5" s="141">
        <v>151.54</v>
      </c>
    </row>
    <row r="6" spans="1:3" ht="12.75">
      <c r="A6" s="73" t="s">
        <v>266</v>
      </c>
      <c r="B6" s="73"/>
      <c r="C6" s="141">
        <v>205</v>
      </c>
    </row>
    <row r="7" spans="1:3" ht="12.75">
      <c r="A7" s="73" t="s">
        <v>157</v>
      </c>
      <c r="B7" s="73"/>
      <c r="C7" s="220">
        <v>4.61</v>
      </c>
    </row>
    <row r="8" spans="1:4" ht="12.75">
      <c r="A8" s="73" t="s">
        <v>70</v>
      </c>
      <c r="B8" s="73"/>
      <c r="C8" s="153">
        <f>(20%*C9+C53*(1-C22)*(1-C9))*0+7%</f>
        <v>0.07</v>
      </c>
      <c r="D8" s="70" t="s">
        <v>200</v>
      </c>
    </row>
    <row r="9" spans="1:3" ht="12.75">
      <c r="A9" s="73" t="s">
        <v>197</v>
      </c>
      <c r="B9" s="73"/>
      <c r="C9" s="153">
        <f>'1-Ф3'!B31/'1-Ф3'!B30</f>
        <v>0.3977123730187784</v>
      </c>
    </row>
    <row r="10" spans="1:3" ht="12.75">
      <c r="A10" s="73" t="s">
        <v>140</v>
      </c>
      <c r="B10" s="73"/>
      <c r="C10" s="77" t="s">
        <v>56</v>
      </c>
    </row>
    <row r="11" ht="12.75">
      <c r="A11" s="60" t="s">
        <v>141</v>
      </c>
    </row>
    <row r="12" spans="1:3" ht="12.75">
      <c r="A12" s="73" t="s">
        <v>44</v>
      </c>
      <c r="B12" s="75" t="s">
        <v>39</v>
      </c>
      <c r="C12" s="76">
        <v>0.1</v>
      </c>
    </row>
    <row r="13" spans="1:3" ht="12.75">
      <c r="A13" s="73" t="s">
        <v>49</v>
      </c>
      <c r="B13" s="75" t="s">
        <v>39</v>
      </c>
      <c r="C13" s="76">
        <v>0.05</v>
      </c>
    </row>
    <row r="14" spans="1:3" ht="12.75">
      <c r="A14" s="73" t="s">
        <v>202</v>
      </c>
      <c r="B14" s="75" t="s">
        <v>39</v>
      </c>
      <c r="C14" s="76">
        <v>0.1</v>
      </c>
    </row>
    <row r="15" spans="1:3" ht="12.75" hidden="1">
      <c r="A15" s="73" t="s">
        <v>47</v>
      </c>
      <c r="B15" s="75" t="s">
        <v>39</v>
      </c>
      <c r="C15" s="76">
        <f>11%*0</f>
        <v>0</v>
      </c>
    </row>
    <row r="16" spans="1:3" ht="12.75">
      <c r="A16" s="73" t="s">
        <v>111</v>
      </c>
      <c r="B16" s="75" t="s">
        <v>56</v>
      </c>
      <c r="C16" s="78">
        <v>18.66</v>
      </c>
    </row>
    <row r="17" spans="1:4" ht="12.75">
      <c r="A17" s="73" t="s">
        <v>203</v>
      </c>
      <c r="B17" s="75"/>
      <c r="C17" s="258"/>
      <c r="D17" s="70" t="s">
        <v>201</v>
      </c>
    </row>
    <row r="18" spans="1:4" ht="12.75">
      <c r="A18" s="73" t="s">
        <v>234</v>
      </c>
      <c r="B18" s="75"/>
      <c r="C18" s="230">
        <v>0.001</v>
      </c>
      <c r="D18" s="70" t="s">
        <v>207</v>
      </c>
    </row>
    <row r="19" spans="1:4" ht="12.75">
      <c r="A19" s="73" t="s">
        <v>1</v>
      </c>
      <c r="B19" s="75"/>
      <c r="C19" s="230">
        <f>1.5%*0</f>
        <v>0</v>
      </c>
      <c r="D19" s="70" t="s">
        <v>201</v>
      </c>
    </row>
    <row r="20" spans="1:4" ht="12.75" hidden="1">
      <c r="A20" s="73" t="s">
        <v>38</v>
      </c>
      <c r="B20" s="75" t="s">
        <v>39</v>
      </c>
      <c r="C20" s="76">
        <f>12%*0</f>
        <v>0</v>
      </c>
      <c r="D20" s="70" t="s">
        <v>201</v>
      </c>
    </row>
    <row r="21" spans="1:4" ht="12.75" hidden="1">
      <c r="A21" s="73" t="s">
        <v>57</v>
      </c>
      <c r="B21" s="73"/>
      <c r="C21" s="74">
        <v>1</v>
      </c>
      <c r="D21" s="70" t="s">
        <v>201</v>
      </c>
    </row>
    <row r="22" spans="1:4" ht="12.75">
      <c r="A22" s="73" t="s">
        <v>186</v>
      </c>
      <c r="B22" s="73"/>
      <c r="C22" s="76">
        <v>0</v>
      </c>
      <c r="D22" s="70" t="s">
        <v>201</v>
      </c>
    </row>
    <row r="24" spans="1:10" ht="12.75">
      <c r="A24" s="60" t="s">
        <v>232</v>
      </c>
      <c r="C24" s="136" t="s">
        <v>35</v>
      </c>
      <c r="D24" s="136" t="s">
        <v>268</v>
      </c>
      <c r="E24" s="143"/>
      <c r="F24" s="143"/>
      <c r="G24" s="143"/>
      <c r="H24" s="143"/>
      <c r="I24" s="143"/>
      <c r="J24" s="143"/>
    </row>
    <row r="25" spans="1:10" ht="12.75">
      <c r="A25" s="73" t="s">
        <v>264</v>
      </c>
      <c r="B25" s="75" t="s">
        <v>265</v>
      </c>
      <c r="C25" s="141">
        <v>28</v>
      </c>
      <c r="D25" s="291">
        <f>SUM(D26:D28)</f>
        <v>1</v>
      </c>
      <c r="E25" s="143"/>
      <c r="F25" s="143"/>
      <c r="G25" s="143"/>
      <c r="H25" s="143"/>
      <c r="I25" s="143"/>
      <c r="J25" s="143"/>
    </row>
    <row r="26" spans="1:10" s="287" customFormat="1" ht="12">
      <c r="A26" s="288" t="s">
        <v>269</v>
      </c>
      <c r="B26" s="285" t="s">
        <v>265</v>
      </c>
      <c r="C26" s="290">
        <f>$C$25*D26</f>
        <v>14</v>
      </c>
      <c r="D26" s="289">
        <v>0.5</v>
      </c>
      <c r="E26" s="286"/>
      <c r="F26" s="286"/>
      <c r="G26" s="286"/>
      <c r="H26" s="286"/>
      <c r="I26" s="286"/>
      <c r="J26" s="286"/>
    </row>
    <row r="27" spans="1:10" s="287" customFormat="1" ht="12">
      <c r="A27" s="288" t="s">
        <v>271</v>
      </c>
      <c r="B27" s="285" t="s">
        <v>265</v>
      </c>
      <c r="C27" s="290">
        <f>$C$25*D27</f>
        <v>9.799999999999999</v>
      </c>
      <c r="D27" s="289">
        <v>0.35</v>
      </c>
      <c r="E27" s="286"/>
      <c r="F27" s="286"/>
      <c r="G27" s="286"/>
      <c r="H27" s="286"/>
      <c r="I27" s="286"/>
      <c r="J27" s="286"/>
    </row>
    <row r="28" spans="1:10" s="287" customFormat="1" ht="12">
      <c r="A28" s="288" t="s">
        <v>270</v>
      </c>
      <c r="B28" s="285" t="s">
        <v>265</v>
      </c>
      <c r="C28" s="290">
        <f>$C$25*D28</f>
        <v>4.200000000000001</v>
      </c>
      <c r="D28" s="293">
        <f>1-D26-D27</f>
        <v>0.15000000000000002</v>
      </c>
      <c r="E28" s="286"/>
      <c r="F28" s="286"/>
      <c r="G28" s="286"/>
      <c r="H28" s="286"/>
      <c r="I28" s="286"/>
      <c r="J28" s="286"/>
    </row>
    <row r="29" spans="1:7" ht="12.75">
      <c r="A29" s="60" t="s">
        <v>292</v>
      </c>
      <c r="C29" s="136" t="s">
        <v>289</v>
      </c>
      <c r="D29" s="136" t="s">
        <v>290</v>
      </c>
      <c r="E29" s="136" t="s">
        <v>291</v>
      </c>
      <c r="F29" s="286"/>
      <c r="G29" s="286"/>
    </row>
    <row r="30" spans="1:5" ht="12.75">
      <c r="A30" s="160" t="s">
        <v>294</v>
      </c>
      <c r="B30" s="75" t="s">
        <v>293</v>
      </c>
      <c r="C30" s="142"/>
      <c r="D30" s="141">
        <v>6</v>
      </c>
      <c r="E30" s="141">
        <v>6</v>
      </c>
    </row>
    <row r="31" spans="1:6" ht="12.75">
      <c r="A31" s="160" t="s">
        <v>311</v>
      </c>
      <c r="B31" s="75" t="s">
        <v>293</v>
      </c>
      <c r="C31" s="141">
        <v>12</v>
      </c>
      <c r="D31" s="142"/>
      <c r="E31" s="142"/>
      <c r="F31" s="70" t="s">
        <v>330</v>
      </c>
    </row>
    <row r="32" spans="1:5" ht="12.75">
      <c r="A32" s="160" t="s">
        <v>295</v>
      </c>
      <c r="B32" s="75" t="s">
        <v>249</v>
      </c>
      <c r="C32" s="220">
        <v>1.9</v>
      </c>
      <c r="D32" s="220">
        <v>2.5</v>
      </c>
      <c r="E32" s="220">
        <v>4</v>
      </c>
    </row>
    <row r="33" spans="1:5" ht="12.75">
      <c r="A33" s="160" t="s">
        <v>296</v>
      </c>
      <c r="B33" s="75" t="s">
        <v>249</v>
      </c>
      <c r="C33" s="220">
        <v>0.1</v>
      </c>
      <c r="D33" s="292">
        <v>0.12</v>
      </c>
      <c r="E33" s="292">
        <v>0.15</v>
      </c>
    </row>
    <row r="34" spans="1:5" ht="12.75">
      <c r="A34" s="160" t="s">
        <v>303</v>
      </c>
      <c r="B34" s="75" t="s">
        <v>304</v>
      </c>
      <c r="C34" s="292">
        <f>60/1000</f>
        <v>0.06</v>
      </c>
      <c r="D34" s="292">
        <f>165/1000</f>
        <v>0.165</v>
      </c>
      <c r="E34" s="292">
        <f>100/1000</f>
        <v>0.1</v>
      </c>
    </row>
    <row r="35" spans="1:5" ht="12.75">
      <c r="A35" s="160" t="s">
        <v>305</v>
      </c>
      <c r="B35" s="75" t="s">
        <v>304</v>
      </c>
      <c r="C35" s="292">
        <f>50/1000</f>
        <v>0.05</v>
      </c>
      <c r="D35" s="292">
        <f>90/1000</f>
        <v>0.09</v>
      </c>
      <c r="E35" s="292">
        <f>50/1000</f>
        <v>0.05</v>
      </c>
    </row>
    <row r="36" spans="1:3" ht="12.75">
      <c r="A36" s="160" t="s">
        <v>299</v>
      </c>
      <c r="B36" s="75" t="s">
        <v>39</v>
      </c>
      <c r="C36" s="76">
        <v>0.04</v>
      </c>
    </row>
    <row r="37" spans="1:3" ht="12.75">
      <c r="A37" s="160" t="s">
        <v>300</v>
      </c>
      <c r="B37" s="75" t="s">
        <v>301</v>
      </c>
      <c r="C37" s="141">
        <v>21</v>
      </c>
    </row>
    <row r="38" ht="12.75">
      <c r="A38" s="60" t="s">
        <v>209</v>
      </c>
    </row>
    <row r="39" spans="1:5" ht="12.75">
      <c r="A39" s="160" t="s">
        <v>278</v>
      </c>
      <c r="B39" s="75" t="s">
        <v>282</v>
      </c>
      <c r="C39" s="141">
        <v>15</v>
      </c>
      <c r="D39" s="70" t="s">
        <v>285</v>
      </c>
      <c r="E39" s="217" t="s">
        <v>284</v>
      </c>
    </row>
    <row r="40" spans="1:5" ht="12.75">
      <c r="A40" s="160" t="s">
        <v>279</v>
      </c>
      <c r="B40" s="75" t="s">
        <v>283</v>
      </c>
      <c r="C40" s="141">
        <v>210</v>
      </c>
      <c r="E40" s="217" t="s">
        <v>286</v>
      </c>
    </row>
    <row r="41" spans="1:5" ht="12.75">
      <c r="A41" s="160" t="s">
        <v>280</v>
      </c>
      <c r="B41" s="75" t="s">
        <v>283</v>
      </c>
      <c r="C41" s="141">
        <v>650</v>
      </c>
      <c r="D41" s="8"/>
      <c r="E41" s="217" t="s">
        <v>288</v>
      </c>
    </row>
    <row r="42" spans="1:5" ht="12.75">
      <c r="A42" s="160" t="s">
        <v>281</v>
      </c>
      <c r="B42" s="75" t="s">
        <v>283</v>
      </c>
      <c r="C42" s="141">
        <v>1200</v>
      </c>
      <c r="D42" s="8"/>
      <c r="E42" s="217" t="s">
        <v>287</v>
      </c>
    </row>
    <row r="43" spans="1:6" ht="12.75">
      <c r="A43" s="160" t="s">
        <v>297</v>
      </c>
      <c r="B43" s="75" t="s">
        <v>283</v>
      </c>
      <c r="C43" s="141">
        <v>300</v>
      </c>
      <c r="D43" s="8"/>
      <c r="E43" s="8"/>
      <c r="F43" s="8"/>
    </row>
    <row r="44" spans="1:6" ht="12.75">
      <c r="A44" s="160" t="s">
        <v>298</v>
      </c>
      <c r="B44" s="75" t="s">
        <v>283</v>
      </c>
      <c r="C44" s="141">
        <v>65</v>
      </c>
      <c r="D44" s="8"/>
      <c r="E44" s="8"/>
      <c r="F44" s="8"/>
    </row>
    <row r="45" spans="1:6" ht="12.75">
      <c r="A45" s="160" t="s">
        <v>302</v>
      </c>
      <c r="B45" s="75" t="s">
        <v>283</v>
      </c>
      <c r="C45" s="141">
        <v>22</v>
      </c>
      <c r="D45" s="8"/>
      <c r="E45" s="8"/>
      <c r="F45" s="8"/>
    </row>
    <row r="46" ht="12.75">
      <c r="A46" s="60" t="s">
        <v>205</v>
      </c>
    </row>
    <row r="47" spans="1:3" ht="12.75">
      <c r="A47" s="160" t="s">
        <v>233</v>
      </c>
      <c r="B47" s="214" t="s">
        <v>204</v>
      </c>
      <c r="C47" s="215">
        <v>1</v>
      </c>
    </row>
    <row r="48" spans="1:3" ht="12.75" hidden="1">
      <c r="A48" s="160"/>
      <c r="B48" s="214"/>
      <c r="C48" s="259"/>
    </row>
    <row r="49" ht="12.75">
      <c r="A49" s="60" t="s">
        <v>206</v>
      </c>
    </row>
    <row r="50" spans="1:3" ht="12.75">
      <c r="A50" s="160" t="s">
        <v>233</v>
      </c>
      <c r="B50" s="214" t="s">
        <v>56</v>
      </c>
      <c r="C50" s="267">
        <f>27100/3/20</f>
        <v>451.6666666666667</v>
      </c>
    </row>
    <row r="51" spans="1:3" ht="12.75" hidden="1">
      <c r="A51" s="160"/>
      <c r="B51" s="214"/>
      <c r="C51" s="259"/>
    </row>
    <row r="52" ht="12.75">
      <c r="A52" s="60" t="s">
        <v>148</v>
      </c>
    </row>
    <row r="53" spans="1:3" ht="12.75">
      <c r="A53" s="73" t="s">
        <v>54</v>
      </c>
      <c r="B53" s="75" t="s">
        <v>39</v>
      </c>
      <c r="C53" s="76">
        <v>0.07</v>
      </c>
    </row>
    <row r="54" spans="1:3" ht="12.75">
      <c r="A54" s="73" t="s">
        <v>149</v>
      </c>
      <c r="B54" s="75" t="s">
        <v>150</v>
      </c>
      <c r="C54" s="220">
        <v>7</v>
      </c>
    </row>
    <row r="55" spans="1:3" ht="12.75">
      <c r="A55" s="73" t="s">
        <v>151</v>
      </c>
      <c r="B55" s="75" t="s">
        <v>153</v>
      </c>
      <c r="C55" s="141">
        <v>12</v>
      </c>
    </row>
    <row r="56" spans="1:3" ht="12.75">
      <c r="A56" s="73" t="s">
        <v>152</v>
      </c>
      <c r="B56" s="75" t="s">
        <v>153</v>
      </c>
      <c r="C56" s="141">
        <v>6</v>
      </c>
    </row>
    <row r="58" spans="1:5" ht="12.75">
      <c r="A58" s="60" t="s">
        <v>214</v>
      </c>
      <c r="B58" s="143" t="s">
        <v>193</v>
      </c>
      <c r="C58" s="143" t="s">
        <v>216</v>
      </c>
      <c r="D58" s="143" t="s">
        <v>215</v>
      </c>
      <c r="E58" s="70" t="s">
        <v>217</v>
      </c>
    </row>
    <row r="59" spans="1:5" ht="12.75">
      <c r="A59" s="142">
        <f>C47</f>
        <v>1</v>
      </c>
      <c r="B59" s="70" t="s">
        <v>204</v>
      </c>
      <c r="C59" s="262">
        <f>C18</f>
        <v>0.001</v>
      </c>
      <c r="D59" s="147">
        <f>C50</f>
        <v>451.6666666666667</v>
      </c>
      <c r="E59" s="164">
        <f>C59*D59</f>
        <v>0.4516666666666667</v>
      </c>
    </row>
    <row r="60" spans="5:6" ht="12.75">
      <c r="E60" s="268">
        <f>SUM(E59:E59)</f>
        <v>0.4516666666666667</v>
      </c>
      <c r="F60" s="60" t="s">
        <v>218</v>
      </c>
    </row>
  </sheetData>
  <sheetProtection/>
  <mergeCells count="1">
    <mergeCell ref="A1:C1"/>
  </mergeCells>
  <hyperlinks>
    <hyperlink ref="E39" r:id="rId1" display="http://pavlodar.pulscen.kz/price/401601-jajco-kurinoe"/>
    <hyperlink ref="E40" r:id="rId2" display="http://petropavl.pulscen.kz/products/myaso_kur_nesushek_16412312"/>
    <hyperlink ref="E42" r:id="rId3" display="http://pavlodarobl.satu.kz/Myaso-gusej.html"/>
    <hyperlink ref="E41" r:id="rId4" display="http://www.kz.all.biz/myaso-utki-bgg1082040"/>
  </hyperlinks>
  <printOptions/>
  <pageMargins left="0.3" right="0.25" top="0.43" bottom="0.33" header="0.21" footer="0.24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10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C5" sqref="C5"/>
    </sheetView>
  </sheetViews>
  <sheetFormatPr defaultColWidth="8.875" defaultRowHeight="12.75"/>
  <cols>
    <col min="1" max="1" width="29.75390625" style="70" customWidth="1"/>
    <col min="2" max="2" width="10.875" style="70" customWidth="1"/>
    <col min="3" max="3" width="10.375" style="70" customWidth="1"/>
    <col min="4" max="4" width="12.00390625" style="70" customWidth="1"/>
    <col min="5" max="5" width="14.375" style="70" bestFit="1" customWidth="1"/>
    <col min="6" max="16384" width="8.875" style="70" customWidth="1"/>
  </cols>
  <sheetData>
    <row r="1" ht="12.75">
      <c r="A1" s="60" t="s">
        <v>250</v>
      </c>
    </row>
    <row r="2" ht="12.75">
      <c r="A2" s="60"/>
    </row>
    <row r="3" spans="1:5" ht="12.75">
      <c r="A3" s="284" t="s">
        <v>314</v>
      </c>
      <c r="C3" s="136"/>
      <c r="D3" s="136"/>
      <c r="E3" s="136"/>
    </row>
    <row r="4" spans="1:5" ht="12.75">
      <c r="A4" s="212" t="s">
        <v>94</v>
      </c>
      <c r="B4" s="219" t="s">
        <v>251</v>
      </c>
      <c r="C4" s="219" t="s">
        <v>155</v>
      </c>
      <c r="D4" s="219" t="s">
        <v>252</v>
      </c>
      <c r="E4" s="219" t="s">
        <v>189</v>
      </c>
    </row>
    <row r="5" spans="1:5" ht="12.75">
      <c r="A5" s="73" t="str">
        <f>Исх!A39</f>
        <v>Яйцо куриное</v>
      </c>
      <c r="B5" s="218" t="s">
        <v>315</v>
      </c>
      <c r="C5" s="142">
        <f>Продукция!AC11/12</f>
        <v>282.23999999999995</v>
      </c>
      <c r="D5" s="142">
        <f>Исх!C39</f>
        <v>15</v>
      </c>
      <c r="E5" s="142">
        <f>C5*D5</f>
        <v>4233.599999999999</v>
      </c>
    </row>
    <row r="6" spans="1:5" ht="12.75">
      <c r="A6" s="73" t="str">
        <f>Исх!A40</f>
        <v>Мясо куриное</v>
      </c>
      <c r="B6" s="218" t="s">
        <v>309</v>
      </c>
      <c r="C6" s="294">
        <f>Продукция!AC14/12</f>
        <v>2.2166666666666672</v>
      </c>
      <c r="D6" s="142">
        <f>Исх!C40</f>
        <v>210</v>
      </c>
      <c r="E6" s="142">
        <f>C6*D6</f>
        <v>465.5000000000001</v>
      </c>
    </row>
    <row r="7" spans="1:5" ht="12.75">
      <c r="A7" s="73" t="str">
        <f>Исх!A41</f>
        <v>Мясо утиное</v>
      </c>
      <c r="B7" s="218" t="s">
        <v>309</v>
      </c>
      <c r="C7" s="294">
        <f>Продукция!AC15/12</f>
        <v>4.083333333333334</v>
      </c>
      <c r="D7" s="142">
        <f>Исх!C41</f>
        <v>650</v>
      </c>
      <c r="E7" s="142">
        <f>C7*D7</f>
        <v>2654.166666666667</v>
      </c>
    </row>
    <row r="8" spans="1:5" ht="12.75">
      <c r="A8" s="73" t="str">
        <f>Исх!A42</f>
        <v>Мясо гусиное</v>
      </c>
      <c r="B8" s="218" t="s">
        <v>309</v>
      </c>
      <c r="C8" s="294">
        <f>Продукция!AC16/12</f>
        <v>1.7500000000000002</v>
      </c>
      <c r="D8" s="142">
        <f>Исх!C42</f>
        <v>1200</v>
      </c>
      <c r="E8" s="142">
        <f>C8*D8</f>
        <v>2100.0000000000005</v>
      </c>
    </row>
    <row r="9" spans="1:5" ht="12.75">
      <c r="A9" s="73" t="str">
        <f>Исх!A43</f>
        <v>Потроха</v>
      </c>
      <c r="B9" s="218" t="s">
        <v>309</v>
      </c>
      <c r="C9" s="294">
        <f>Продукция!AC17/12</f>
        <v>0.4176666666666667</v>
      </c>
      <c r="D9" s="142">
        <f>Исх!C43</f>
        <v>300</v>
      </c>
      <c r="E9" s="142">
        <f>C9*D9</f>
        <v>125.30000000000001</v>
      </c>
    </row>
    <row r="10" spans="1:5" ht="12.75">
      <c r="A10" s="149" t="s">
        <v>0</v>
      </c>
      <c r="B10" s="272"/>
      <c r="C10" s="273"/>
      <c r="D10" s="273"/>
      <c r="E10" s="273">
        <f>SUM(E5:E9)</f>
        <v>9578.566666666666</v>
      </c>
    </row>
  </sheetData>
  <sheetProtection/>
  <printOptions/>
  <pageMargins left="0.49" right="0.18" top="0.59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8.875" defaultRowHeight="12.75"/>
  <cols>
    <col min="1" max="1" width="27.75390625" style="70" customWidth="1"/>
    <col min="2" max="2" width="17.25390625" style="70" customWidth="1"/>
    <col min="3" max="3" width="22.125" style="70" customWidth="1"/>
    <col min="4" max="4" width="17.25390625" style="70" customWidth="1"/>
    <col min="5" max="5" width="16.00390625" style="70" customWidth="1"/>
    <col min="6" max="6" width="10.625" style="70" customWidth="1"/>
    <col min="7" max="7" width="13.00390625" style="70" customWidth="1"/>
    <col min="8" max="8" width="14.125" style="70" customWidth="1"/>
    <col min="9" max="16384" width="8.875" style="70" customWidth="1"/>
  </cols>
  <sheetData>
    <row r="1" spans="1:5" ht="12.75">
      <c r="A1" s="60" t="s">
        <v>253</v>
      </c>
      <c r="B1" s="60"/>
      <c r="C1" s="60"/>
      <c r="D1" s="60"/>
      <c r="E1" s="60"/>
    </row>
    <row r="2" spans="1:5" ht="12.75">
      <c r="A2" s="60"/>
      <c r="B2" s="60"/>
      <c r="C2" s="60"/>
      <c r="D2" s="60"/>
      <c r="E2" s="60"/>
    </row>
    <row r="3" ht="12.75">
      <c r="A3" s="284" t="s">
        <v>314</v>
      </c>
    </row>
    <row r="4" spans="1:5" ht="25.5">
      <c r="A4" s="280" t="s">
        <v>254</v>
      </c>
      <c r="B4" s="281" t="s">
        <v>319</v>
      </c>
      <c r="C4" s="281" t="s">
        <v>317</v>
      </c>
      <c r="D4" s="281" t="s">
        <v>318</v>
      </c>
      <c r="E4" s="270" t="s">
        <v>189</v>
      </c>
    </row>
    <row r="5" spans="1:5" ht="12.75">
      <c r="A5" s="296" t="s">
        <v>316</v>
      </c>
      <c r="B5" s="218"/>
      <c r="C5" s="261"/>
      <c r="D5" s="261"/>
      <c r="E5" s="261"/>
    </row>
    <row r="6" spans="1:5" ht="12.75">
      <c r="A6" s="73" t="str">
        <f>Исх!A26</f>
        <v>куры</v>
      </c>
      <c r="B6" s="218">
        <f>Исх!C26</f>
        <v>14</v>
      </c>
      <c r="C6" s="261">
        <f>Исх!C34</f>
        <v>0.06</v>
      </c>
      <c r="D6" s="328">
        <f>Исх!C44</f>
        <v>65</v>
      </c>
      <c r="E6" s="43">
        <f>B6*C6*$D$6*30</f>
        <v>1638</v>
      </c>
    </row>
    <row r="7" spans="1:5" ht="12.75">
      <c r="A7" s="73" t="str">
        <f>Исх!A27</f>
        <v>утки</v>
      </c>
      <c r="B7" s="218">
        <f>Исх!C27</f>
        <v>9.799999999999999</v>
      </c>
      <c r="C7" s="261">
        <f>Исх!D34</f>
        <v>0.165</v>
      </c>
      <c r="D7" s="329"/>
      <c r="E7" s="43">
        <f>B7*C7*$D$6*30</f>
        <v>3153.15</v>
      </c>
    </row>
    <row r="8" spans="1:5" ht="12.75">
      <c r="A8" s="73" t="str">
        <f>Исх!A28</f>
        <v>гуси</v>
      </c>
      <c r="B8" s="218">
        <f>Исх!C28</f>
        <v>4.200000000000001</v>
      </c>
      <c r="C8" s="261">
        <f>Исх!E34</f>
        <v>0.1</v>
      </c>
      <c r="D8" s="330"/>
      <c r="E8" s="43">
        <f>B8*C8*$D$6*30</f>
        <v>819.0000000000003</v>
      </c>
    </row>
    <row r="9" spans="1:5" ht="12.75">
      <c r="A9" s="296" t="s">
        <v>302</v>
      </c>
      <c r="B9" s="218"/>
      <c r="C9" s="261"/>
      <c r="D9" s="261"/>
      <c r="E9" s="261"/>
    </row>
    <row r="10" spans="1:5" ht="12.75">
      <c r="A10" s="73" t="str">
        <f>Исх!A26</f>
        <v>куры</v>
      </c>
      <c r="B10" s="218">
        <f>B6</f>
        <v>14</v>
      </c>
      <c r="C10" s="261">
        <f>Исх!C35</f>
        <v>0.05</v>
      </c>
      <c r="D10" s="328">
        <f>Исх!C45</f>
        <v>22</v>
      </c>
      <c r="E10" s="43">
        <f>B10*C10*$D$10*30</f>
        <v>462.00000000000006</v>
      </c>
    </row>
    <row r="11" spans="1:5" s="60" customFormat="1" ht="12.75">
      <c r="A11" s="73" t="str">
        <f>Исх!A27</f>
        <v>утки</v>
      </c>
      <c r="B11" s="218">
        <f>B7</f>
        <v>9.799999999999999</v>
      </c>
      <c r="C11" s="261">
        <f>Исх!D35</f>
        <v>0.09</v>
      </c>
      <c r="D11" s="329"/>
      <c r="E11" s="43">
        <f>B11*C11*$D$10*30</f>
        <v>582.1199999999999</v>
      </c>
    </row>
    <row r="12" spans="1:5" s="60" customFormat="1" ht="12.75">
      <c r="A12" s="73" t="str">
        <f>Исх!A28</f>
        <v>гуси</v>
      </c>
      <c r="B12" s="218">
        <f>B8</f>
        <v>4.200000000000001</v>
      </c>
      <c r="C12" s="261">
        <f>Исх!E35</f>
        <v>0.05</v>
      </c>
      <c r="D12" s="330"/>
      <c r="E12" s="43">
        <f>B12*C12*$D$10*30</f>
        <v>138.60000000000005</v>
      </c>
    </row>
    <row r="13" spans="1:5" s="60" customFormat="1" ht="12.75">
      <c r="A13" s="149" t="s">
        <v>0</v>
      </c>
      <c r="B13" s="271"/>
      <c r="C13" s="271"/>
      <c r="D13" s="271"/>
      <c r="E13" s="297">
        <f>SUM(E6:E12)</f>
        <v>6792.87</v>
      </c>
    </row>
    <row r="14" ht="12.75">
      <c r="A14" s="60"/>
    </row>
  </sheetData>
  <sheetProtection/>
  <mergeCells count="2">
    <mergeCell ref="D6:D8"/>
    <mergeCell ref="D10:D12"/>
  </mergeCells>
  <printOptions/>
  <pageMargins left="0.23" right="0.2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17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Q16" sqref="Q16"/>
    </sheetView>
  </sheetViews>
  <sheetFormatPr defaultColWidth="10.125" defaultRowHeight="12.75" outlineLevelCol="1"/>
  <cols>
    <col min="1" max="1" width="31.375" style="224" customWidth="1"/>
    <col min="2" max="2" width="11.375" style="224" customWidth="1"/>
    <col min="3" max="3" width="4.375" style="224" customWidth="1"/>
    <col min="4" max="9" width="6.25390625" style="224" hidden="1" customWidth="1" outlineLevel="1"/>
    <col min="10" max="10" width="6.75390625" style="224" hidden="1" customWidth="1" outlineLevel="1"/>
    <col min="11" max="11" width="7.125" style="224" hidden="1" customWidth="1" outlineLevel="1"/>
    <col min="12" max="12" width="9.00390625" style="224" hidden="1" customWidth="1" outlineLevel="1"/>
    <col min="13" max="14" width="8.625" style="224" hidden="1" customWidth="1" outlineLevel="1"/>
    <col min="15" max="15" width="8.875" style="224" hidden="1" customWidth="1" outlineLevel="1"/>
    <col min="16" max="16" width="9.125" style="224" customWidth="1" collapsed="1"/>
    <col min="17" max="28" width="8.375" style="224" hidden="1" customWidth="1" outlineLevel="1"/>
    <col min="29" max="29" width="9.125" style="224" customWidth="1" collapsed="1"/>
    <col min="30" max="35" width="9.125" style="224" customWidth="1"/>
    <col min="36" max="36" width="10.125" style="222" customWidth="1"/>
    <col min="37" max="16384" width="10.125" style="224" customWidth="1"/>
  </cols>
  <sheetData>
    <row r="1" spans="1:36" ht="12.75">
      <c r="A1" s="226" t="s">
        <v>306</v>
      </c>
      <c r="B1" s="223"/>
      <c r="C1" s="223"/>
      <c r="AJ1" s="224"/>
    </row>
    <row r="2" spans="1:36" ht="12.75">
      <c r="A2" s="226"/>
      <c r="B2" s="227"/>
      <c r="C2" s="225"/>
      <c r="AJ2" s="224"/>
    </row>
    <row r="3" spans="1:36" ht="12.75" customHeight="1">
      <c r="A3" s="331" t="s">
        <v>192</v>
      </c>
      <c r="B3" s="325" t="s">
        <v>85</v>
      </c>
      <c r="C3" s="118"/>
      <c r="D3" s="326">
        <v>2014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>
        <v>2015</v>
      </c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119">
        <f>Q3+1</f>
        <v>2016</v>
      </c>
      <c r="AE3" s="119">
        <f>AD3+1</f>
        <v>2017</v>
      </c>
      <c r="AF3" s="119">
        <f>AE3+1</f>
        <v>2018</v>
      </c>
      <c r="AG3" s="119">
        <f>AF3+1</f>
        <v>2019</v>
      </c>
      <c r="AH3" s="119">
        <f>AG3+1</f>
        <v>2020</v>
      </c>
      <c r="AI3" s="119">
        <f>AH3+1</f>
        <v>2021</v>
      </c>
      <c r="AJ3" s="224"/>
    </row>
    <row r="4" spans="1:36" ht="12.75">
      <c r="A4" s="332"/>
      <c r="B4" s="325"/>
      <c r="C4" s="120"/>
      <c r="D4" s="121">
        <f aca="true" t="shared" si="0" ref="D4:L4">C4+1</f>
        <v>1</v>
      </c>
      <c r="E4" s="121">
        <f t="shared" si="0"/>
        <v>2</v>
      </c>
      <c r="F4" s="121">
        <f t="shared" si="0"/>
        <v>3</v>
      </c>
      <c r="G4" s="121">
        <f t="shared" si="0"/>
        <v>4</v>
      </c>
      <c r="H4" s="121">
        <f t="shared" si="0"/>
        <v>5</v>
      </c>
      <c r="I4" s="121">
        <f t="shared" si="0"/>
        <v>6</v>
      </c>
      <c r="J4" s="121">
        <f t="shared" si="0"/>
        <v>7</v>
      </c>
      <c r="K4" s="121">
        <f t="shared" si="0"/>
        <v>8</v>
      </c>
      <c r="L4" s="121">
        <f t="shared" si="0"/>
        <v>9</v>
      </c>
      <c r="M4" s="121">
        <f>L4+1</f>
        <v>10</v>
      </c>
      <c r="N4" s="121">
        <f>M4+1</f>
        <v>11</v>
      </c>
      <c r="O4" s="121">
        <f>N4+1</f>
        <v>12</v>
      </c>
      <c r="P4" s="117" t="s">
        <v>0</v>
      </c>
      <c r="Q4" s="121">
        <v>1</v>
      </c>
      <c r="R4" s="121">
        <f aca="true" t="shared" si="1" ref="R4:AB4">Q4+1</f>
        <v>2</v>
      </c>
      <c r="S4" s="121">
        <f t="shared" si="1"/>
        <v>3</v>
      </c>
      <c r="T4" s="121">
        <f t="shared" si="1"/>
        <v>4</v>
      </c>
      <c r="U4" s="121">
        <f t="shared" si="1"/>
        <v>5</v>
      </c>
      <c r="V4" s="121">
        <f t="shared" si="1"/>
        <v>6</v>
      </c>
      <c r="W4" s="121">
        <f t="shared" si="1"/>
        <v>7</v>
      </c>
      <c r="X4" s="121">
        <f t="shared" si="1"/>
        <v>8</v>
      </c>
      <c r="Y4" s="121">
        <f t="shared" si="1"/>
        <v>9</v>
      </c>
      <c r="Z4" s="121">
        <f t="shared" si="1"/>
        <v>10</v>
      </c>
      <c r="AA4" s="121">
        <f t="shared" si="1"/>
        <v>11</v>
      </c>
      <c r="AB4" s="121">
        <f t="shared" si="1"/>
        <v>12</v>
      </c>
      <c r="AC4" s="117" t="s">
        <v>0</v>
      </c>
      <c r="AD4" s="117" t="s">
        <v>110</v>
      </c>
      <c r="AE4" s="117" t="s">
        <v>110</v>
      </c>
      <c r="AF4" s="117" t="s">
        <v>110</v>
      </c>
      <c r="AG4" s="117" t="s">
        <v>110</v>
      </c>
      <c r="AH4" s="117" t="s">
        <v>110</v>
      </c>
      <c r="AI4" s="117" t="s">
        <v>110</v>
      </c>
      <c r="AJ4" s="224"/>
    </row>
    <row r="5" spans="1:2" ht="12.75">
      <c r="A5" s="226" t="s">
        <v>310</v>
      </c>
      <c r="B5" s="227" t="str">
        <f>Исх!B25</f>
        <v>тыс.гол</v>
      </c>
    </row>
    <row r="6" spans="1:36" ht="15" customHeight="1">
      <c r="A6" s="231" t="str">
        <f>Исх!A26</f>
        <v>куры</v>
      </c>
      <c r="B6" s="123">
        <f>P6+AC6+AD6+AE6+AF6+AG6+AH6+AI6</f>
        <v>98</v>
      </c>
      <c r="C6" s="12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3">
        <f>SUM(D6:O6)</f>
        <v>0</v>
      </c>
      <c r="Q6" s="129">
        <f>Исх!$C$26/Исх!$C$31</f>
        <v>1.1666666666666667</v>
      </c>
      <c r="R6" s="129">
        <f>Исх!$C$26/Исх!$C$31</f>
        <v>1.1666666666666667</v>
      </c>
      <c r="S6" s="129">
        <f>Исх!$C$26/Исх!$C$31</f>
        <v>1.1666666666666667</v>
      </c>
      <c r="T6" s="129">
        <f>Исх!$C$26/Исх!$C$31</f>
        <v>1.1666666666666667</v>
      </c>
      <c r="U6" s="129">
        <f>Исх!$C$26/Исх!$C$31</f>
        <v>1.1666666666666667</v>
      </c>
      <c r="V6" s="129">
        <f>Исх!$C$26/Исх!$C$31</f>
        <v>1.1666666666666667</v>
      </c>
      <c r="W6" s="129">
        <f>Исх!$C$26/Исх!$C$31</f>
        <v>1.1666666666666667</v>
      </c>
      <c r="X6" s="129">
        <f>Исх!$C$26/Исх!$C$31</f>
        <v>1.1666666666666667</v>
      </c>
      <c r="Y6" s="129">
        <f>Исх!$C$26/Исх!$C$31</f>
        <v>1.1666666666666667</v>
      </c>
      <c r="Z6" s="129">
        <f>Исх!$C$26/Исх!$C$31</f>
        <v>1.1666666666666667</v>
      </c>
      <c r="AA6" s="129">
        <f>Исх!$C$26/Исх!$C$31</f>
        <v>1.1666666666666667</v>
      </c>
      <c r="AB6" s="129">
        <f>Исх!$C$26/Исх!$C$31</f>
        <v>1.1666666666666667</v>
      </c>
      <c r="AC6" s="123">
        <f>SUM(Q6:AB6)</f>
        <v>13.999999999999998</v>
      </c>
      <c r="AD6" s="129">
        <f>Исх!$C$26/Исх!$C$31*12</f>
        <v>14</v>
      </c>
      <c r="AE6" s="129">
        <f>Исх!$C$26/Исх!$C$31*12</f>
        <v>14</v>
      </c>
      <c r="AF6" s="129">
        <f>Исх!$C$26/Исх!$C$31*12</f>
        <v>14</v>
      </c>
      <c r="AG6" s="129">
        <f>Исх!$C$26/Исх!$C$31*12</f>
        <v>14</v>
      </c>
      <c r="AH6" s="129">
        <f>Исх!$C$26/Исх!$C$31*12</f>
        <v>14</v>
      </c>
      <c r="AI6" s="129">
        <f>Исх!$C$26/Исх!$C$31*12</f>
        <v>14</v>
      </c>
      <c r="AJ6" s="224"/>
    </row>
    <row r="7" spans="1:36" ht="15" customHeight="1">
      <c r="A7" s="231" t="str">
        <f>Исх!A27</f>
        <v>утки</v>
      </c>
      <c r="B7" s="123">
        <f>P7+AC7+AD7+AE7+AF7+AG7+AH7+AI7</f>
        <v>137.2</v>
      </c>
      <c r="C7" s="123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3">
        <f>SUM(D7:O7)</f>
        <v>0</v>
      </c>
      <c r="Q7" s="129">
        <f>Исх!$C$27/Исх!$D$30</f>
        <v>1.633333333333333</v>
      </c>
      <c r="R7" s="129">
        <f>Исх!$C$27/Исх!$D$30</f>
        <v>1.633333333333333</v>
      </c>
      <c r="S7" s="129">
        <f>Исх!$C$27/Исх!$D$30</f>
        <v>1.633333333333333</v>
      </c>
      <c r="T7" s="129">
        <f>Исх!$C$27/Исх!$D$30</f>
        <v>1.633333333333333</v>
      </c>
      <c r="U7" s="129">
        <f>Исх!$C$27/Исх!$D$30</f>
        <v>1.633333333333333</v>
      </c>
      <c r="V7" s="129">
        <f>Исх!$C$27/Исх!$D$30</f>
        <v>1.633333333333333</v>
      </c>
      <c r="W7" s="129">
        <f>Исх!$C$27/Исх!$D$30</f>
        <v>1.633333333333333</v>
      </c>
      <c r="X7" s="129">
        <f>Исх!$C$27/Исх!$D$30</f>
        <v>1.633333333333333</v>
      </c>
      <c r="Y7" s="129">
        <f>Исх!$C$27/Исх!$D$30</f>
        <v>1.633333333333333</v>
      </c>
      <c r="Z7" s="129">
        <f>Исх!$C$27/Исх!$D$30</f>
        <v>1.633333333333333</v>
      </c>
      <c r="AA7" s="129">
        <f>Исх!$C$27/Исх!$D$30</f>
        <v>1.633333333333333</v>
      </c>
      <c r="AB7" s="129">
        <f>Исх!$C$27/Исх!$D$30</f>
        <v>1.633333333333333</v>
      </c>
      <c r="AC7" s="123">
        <f>SUM(Q7:AB7)</f>
        <v>19.599999999999998</v>
      </c>
      <c r="AD7" s="129">
        <f>Исх!$C$27/Исх!$D$30*12</f>
        <v>19.599999999999998</v>
      </c>
      <c r="AE7" s="129">
        <f>Исх!$C$27/Исх!$D$30*12</f>
        <v>19.599999999999998</v>
      </c>
      <c r="AF7" s="129">
        <f>Исх!$C$27/Исх!$D$30*12</f>
        <v>19.599999999999998</v>
      </c>
      <c r="AG7" s="129">
        <f>Исх!$C$27/Исх!$D$30*12</f>
        <v>19.599999999999998</v>
      </c>
      <c r="AH7" s="129">
        <f>Исх!$C$27/Исх!$D$30*12</f>
        <v>19.599999999999998</v>
      </c>
      <c r="AI7" s="129">
        <f>Исх!$C$27/Исх!$D$30*12</f>
        <v>19.599999999999998</v>
      </c>
      <c r="AJ7" s="224"/>
    </row>
    <row r="8" spans="1:36" ht="15" customHeight="1">
      <c r="A8" s="231" t="str">
        <f>Исх!A28</f>
        <v>гуси</v>
      </c>
      <c r="B8" s="123">
        <f>P8+AC8+AD8+AE8+AF8+AG8+AH8+AI8</f>
        <v>58.800000000000026</v>
      </c>
      <c r="C8" s="123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3">
        <f>SUM(D8:O8)</f>
        <v>0</v>
      </c>
      <c r="Q8" s="129">
        <f>Исх!$C$28/Исх!$E$30</f>
        <v>0.7000000000000002</v>
      </c>
      <c r="R8" s="129">
        <f>Исх!$C$28/Исх!$E$30</f>
        <v>0.7000000000000002</v>
      </c>
      <c r="S8" s="129">
        <f>Исх!$C$28/Исх!$E$30</f>
        <v>0.7000000000000002</v>
      </c>
      <c r="T8" s="129">
        <f>Исх!$C$28/Исх!$E$30</f>
        <v>0.7000000000000002</v>
      </c>
      <c r="U8" s="129">
        <f>Исх!$C$28/Исх!$E$30</f>
        <v>0.7000000000000002</v>
      </c>
      <c r="V8" s="129">
        <f>Исх!$C$28/Исх!$E$30</f>
        <v>0.7000000000000002</v>
      </c>
      <c r="W8" s="129">
        <f>Исх!$C$28/Исх!$E$30</f>
        <v>0.7000000000000002</v>
      </c>
      <c r="X8" s="129">
        <f>Исх!$C$28/Исх!$E$30</f>
        <v>0.7000000000000002</v>
      </c>
      <c r="Y8" s="129">
        <f>Исх!$C$28/Исх!$E$30</f>
        <v>0.7000000000000002</v>
      </c>
      <c r="Z8" s="129">
        <f>Исх!$C$28/Исх!$E$30</f>
        <v>0.7000000000000002</v>
      </c>
      <c r="AA8" s="129">
        <f>Исх!$C$28/Исх!$E$30</f>
        <v>0.7000000000000002</v>
      </c>
      <c r="AB8" s="129">
        <f>Исх!$C$28/Исх!$E$30</f>
        <v>0.7000000000000002</v>
      </c>
      <c r="AC8" s="123">
        <f>SUM(Q8:AB8)</f>
        <v>8.400000000000002</v>
      </c>
      <c r="AD8" s="129">
        <f>Исх!$C$28/Исх!$E$30*12</f>
        <v>8.400000000000002</v>
      </c>
      <c r="AE8" s="129">
        <f>Исх!$C$28/Исх!$E$30*12</f>
        <v>8.400000000000002</v>
      </c>
      <c r="AF8" s="129">
        <f>Исх!$C$28/Исх!$E$30*12</f>
        <v>8.400000000000002</v>
      </c>
      <c r="AG8" s="129">
        <f>Исх!$C$28/Исх!$E$30*12</f>
        <v>8.400000000000002</v>
      </c>
      <c r="AH8" s="129">
        <f>Исх!$C$28/Исх!$E$30*12</f>
        <v>8.400000000000002</v>
      </c>
      <c r="AI8" s="129">
        <f>Исх!$C$28/Исх!$E$30*12</f>
        <v>8.400000000000002</v>
      </c>
      <c r="AJ8" s="224"/>
    </row>
    <row r="10" spans="1:2" ht="12.75">
      <c r="A10" s="226" t="s">
        <v>278</v>
      </c>
      <c r="B10" s="227" t="s">
        <v>308</v>
      </c>
    </row>
    <row r="11" spans="1:36" ht="15" customHeight="1">
      <c r="A11" s="231" t="str">
        <f>A6</f>
        <v>куры</v>
      </c>
      <c r="B11" s="123">
        <f>P11+AC11+AD11+AE11+AF11+AG11+AH11+AI11</f>
        <v>23708.160000000003</v>
      </c>
      <c r="C11" s="123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3">
        <f>SUM(D11:O11)</f>
        <v>0</v>
      </c>
      <c r="Q11" s="129">
        <f>Исх!$C$26*Исх!$C$37*(1-Исх!$C$36)</f>
        <v>282.24</v>
      </c>
      <c r="R11" s="129">
        <f>Исх!$C$26*Исх!$C$37*(1-Исх!$C$36)</f>
        <v>282.24</v>
      </c>
      <c r="S11" s="129">
        <f>Исх!$C$26*Исх!$C$37*(1-Исх!$C$36)</f>
        <v>282.24</v>
      </c>
      <c r="T11" s="129">
        <f>Исх!$C$26*Исх!$C$37*(1-Исх!$C$36)</f>
        <v>282.24</v>
      </c>
      <c r="U11" s="129">
        <f>Исх!$C$26*Исх!$C$37*(1-Исх!$C$36)</f>
        <v>282.24</v>
      </c>
      <c r="V11" s="129">
        <f>Исх!$C$26*Исх!$C$37*(1-Исх!$C$36)</f>
        <v>282.24</v>
      </c>
      <c r="W11" s="129">
        <f>Исх!$C$26*Исх!$C$37*(1-Исх!$C$36)</f>
        <v>282.24</v>
      </c>
      <c r="X11" s="129">
        <f>Исх!$C$26*Исх!$C$37*(1-Исх!$C$36)</f>
        <v>282.24</v>
      </c>
      <c r="Y11" s="129">
        <f>Исх!$C$26*Исх!$C$37*(1-Исх!$C$36)</f>
        <v>282.24</v>
      </c>
      <c r="Z11" s="129">
        <f>Исх!$C$26*Исх!$C$37*(1-Исх!$C$36)</f>
        <v>282.24</v>
      </c>
      <c r="AA11" s="129">
        <f>Исх!$C$26*Исх!$C$37*(1-Исх!$C$36)</f>
        <v>282.24</v>
      </c>
      <c r="AB11" s="129">
        <f>Исх!$C$26*Исх!$C$37*(1-Исх!$C$36)</f>
        <v>282.24</v>
      </c>
      <c r="AC11" s="123">
        <f>SUM(Q11:AB11)</f>
        <v>3386.879999999999</v>
      </c>
      <c r="AD11" s="129">
        <f>Исх!$C$26*Исх!$C$37*(1-Исх!$C$36)*12</f>
        <v>3386.88</v>
      </c>
      <c r="AE11" s="129">
        <f>Исх!$C$26*Исх!$C$37*(1-Исх!$C$36)*12</f>
        <v>3386.88</v>
      </c>
      <c r="AF11" s="129">
        <f>Исх!$C$26*Исх!$C$37*(1-Исх!$C$36)*12</f>
        <v>3386.88</v>
      </c>
      <c r="AG11" s="129">
        <f>Исх!$C$26*Исх!$C$37*(1-Исх!$C$36)*12</f>
        <v>3386.88</v>
      </c>
      <c r="AH11" s="129">
        <f>Исх!$C$26*Исх!$C$37*(1-Исх!$C$36)*12</f>
        <v>3386.88</v>
      </c>
      <c r="AI11" s="129">
        <f>Исх!$C$26*Исх!$C$37*(1-Исх!$C$36)*12</f>
        <v>3386.88</v>
      </c>
      <c r="AJ11" s="224"/>
    </row>
    <row r="13" spans="1:2" ht="12.75">
      <c r="A13" s="226" t="s">
        <v>307</v>
      </c>
      <c r="B13" s="227" t="s">
        <v>309</v>
      </c>
    </row>
    <row r="14" spans="1:36" ht="15" customHeight="1">
      <c r="A14" s="231" t="str">
        <f>A6</f>
        <v>куры</v>
      </c>
      <c r="B14" s="123">
        <f>AI14</f>
        <v>26.599999999999998</v>
      </c>
      <c r="C14" s="123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3">
        <f>O14</f>
        <v>0</v>
      </c>
      <c r="Q14" s="295">
        <f>Q6*Исх!$C$32</f>
        <v>2.216666666666667</v>
      </c>
      <c r="R14" s="295">
        <f>R6*Исх!$C$32</f>
        <v>2.216666666666667</v>
      </c>
      <c r="S14" s="295">
        <f>S6*Исх!$C$32</f>
        <v>2.216666666666667</v>
      </c>
      <c r="T14" s="295">
        <f>T6*Исх!$C$32</f>
        <v>2.216666666666667</v>
      </c>
      <c r="U14" s="295">
        <f>U6*Исх!$C$32</f>
        <v>2.216666666666667</v>
      </c>
      <c r="V14" s="295">
        <f>V6*Исх!$C$32</f>
        <v>2.216666666666667</v>
      </c>
      <c r="W14" s="295">
        <f>W6*Исх!$C$32</f>
        <v>2.216666666666667</v>
      </c>
      <c r="X14" s="295">
        <f>X6*Исх!$C$32</f>
        <v>2.216666666666667</v>
      </c>
      <c r="Y14" s="295">
        <f>Y6*Исх!$C$32</f>
        <v>2.216666666666667</v>
      </c>
      <c r="Z14" s="295">
        <f>Z6*Исх!$C$32</f>
        <v>2.216666666666667</v>
      </c>
      <c r="AA14" s="295">
        <f>AA6*Исх!$C$32</f>
        <v>2.216666666666667</v>
      </c>
      <c r="AB14" s="295">
        <f>AB6*Исх!$C$32</f>
        <v>2.216666666666667</v>
      </c>
      <c r="AC14" s="123">
        <f>SUM(Q14:AB14)</f>
        <v>26.60000000000001</v>
      </c>
      <c r="AD14" s="129">
        <f>AD6*Исх!$C$32</f>
        <v>26.599999999999998</v>
      </c>
      <c r="AE14" s="129">
        <f>AE6*Исх!$C$32</f>
        <v>26.599999999999998</v>
      </c>
      <c r="AF14" s="129">
        <f>AF6*Исх!$C$32</f>
        <v>26.599999999999998</v>
      </c>
      <c r="AG14" s="129">
        <f>AG6*Исх!$C$32</f>
        <v>26.599999999999998</v>
      </c>
      <c r="AH14" s="129">
        <f>AH6*Исх!$C$32</f>
        <v>26.599999999999998</v>
      </c>
      <c r="AI14" s="129">
        <f>AI6*Исх!$C$32</f>
        <v>26.599999999999998</v>
      </c>
      <c r="AJ14" s="224"/>
    </row>
    <row r="15" spans="1:36" ht="15" customHeight="1">
      <c r="A15" s="231" t="str">
        <f>A7</f>
        <v>утки</v>
      </c>
      <c r="B15" s="123">
        <f>AI15</f>
        <v>48.99999999999999</v>
      </c>
      <c r="C15" s="123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3">
        <f>O15</f>
        <v>0</v>
      </c>
      <c r="Q15" s="295">
        <f>Q7*Исх!$D$32</f>
        <v>4.083333333333333</v>
      </c>
      <c r="R15" s="295">
        <f>R7*Исх!$D$32</f>
        <v>4.083333333333333</v>
      </c>
      <c r="S15" s="295">
        <f>S7*Исх!$D$32</f>
        <v>4.083333333333333</v>
      </c>
      <c r="T15" s="295">
        <f>T7*Исх!$D$32</f>
        <v>4.083333333333333</v>
      </c>
      <c r="U15" s="295">
        <f>U7*Исх!$D$32</f>
        <v>4.083333333333333</v>
      </c>
      <c r="V15" s="295">
        <f>V7*Исх!$D$32</f>
        <v>4.083333333333333</v>
      </c>
      <c r="W15" s="295">
        <f>W7*Исх!$D$32</f>
        <v>4.083333333333333</v>
      </c>
      <c r="X15" s="295">
        <f>X7*Исх!$D$32</f>
        <v>4.083333333333333</v>
      </c>
      <c r="Y15" s="295">
        <f>Y7*Исх!$D$32</f>
        <v>4.083333333333333</v>
      </c>
      <c r="Z15" s="295">
        <f>Z7*Исх!$D$32</f>
        <v>4.083333333333333</v>
      </c>
      <c r="AA15" s="295">
        <f>AA7*Исх!$D$32</f>
        <v>4.083333333333333</v>
      </c>
      <c r="AB15" s="295">
        <f>AB7*Исх!$D$32</f>
        <v>4.083333333333333</v>
      </c>
      <c r="AC15" s="123">
        <f>SUM(Q15:AB15)</f>
        <v>49.00000000000001</v>
      </c>
      <c r="AD15" s="129">
        <f>AD7*Исх!$D$32</f>
        <v>48.99999999999999</v>
      </c>
      <c r="AE15" s="129">
        <f>AE7*Исх!$D$32</f>
        <v>48.99999999999999</v>
      </c>
      <c r="AF15" s="129">
        <f>AF7*Исх!$D$32</f>
        <v>48.99999999999999</v>
      </c>
      <c r="AG15" s="129">
        <f>AG7*Исх!$D$32</f>
        <v>48.99999999999999</v>
      </c>
      <c r="AH15" s="129">
        <f>AH7*Исх!$D$32</f>
        <v>48.99999999999999</v>
      </c>
      <c r="AI15" s="129">
        <f>AI7*Исх!$D$32</f>
        <v>48.99999999999999</v>
      </c>
      <c r="AJ15" s="224"/>
    </row>
    <row r="16" spans="1:36" ht="15" customHeight="1">
      <c r="A16" s="231" t="str">
        <f>A8</f>
        <v>гуси</v>
      </c>
      <c r="B16" s="123">
        <f>AI16</f>
        <v>21.000000000000007</v>
      </c>
      <c r="C16" s="123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3">
        <f>O16</f>
        <v>0</v>
      </c>
      <c r="Q16" s="295">
        <f>Q8*Исх!$D$32</f>
        <v>1.7500000000000004</v>
      </c>
      <c r="R16" s="295">
        <f>R8*Исх!$D$32</f>
        <v>1.7500000000000004</v>
      </c>
      <c r="S16" s="295">
        <f>S8*Исх!$D$32</f>
        <v>1.7500000000000004</v>
      </c>
      <c r="T16" s="295">
        <f>T8*Исх!$D$32</f>
        <v>1.7500000000000004</v>
      </c>
      <c r="U16" s="295">
        <f>U8*Исх!$D$32</f>
        <v>1.7500000000000004</v>
      </c>
      <c r="V16" s="295">
        <f>V8*Исх!$D$32</f>
        <v>1.7500000000000004</v>
      </c>
      <c r="W16" s="295">
        <f>W8*Исх!$D$32</f>
        <v>1.7500000000000004</v>
      </c>
      <c r="X16" s="295">
        <f>X8*Исх!$D$32</f>
        <v>1.7500000000000004</v>
      </c>
      <c r="Y16" s="295">
        <f>Y8*Исх!$D$32</f>
        <v>1.7500000000000004</v>
      </c>
      <c r="Z16" s="295">
        <f>Z8*Исх!$D$32</f>
        <v>1.7500000000000004</v>
      </c>
      <c r="AA16" s="295">
        <f>AA8*Исх!$D$32</f>
        <v>1.7500000000000004</v>
      </c>
      <c r="AB16" s="295">
        <f>AB8*Исх!$D$32</f>
        <v>1.7500000000000004</v>
      </c>
      <c r="AC16" s="123">
        <f>SUM(Q16:AB16)</f>
        <v>21.000000000000004</v>
      </c>
      <c r="AD16" s="129">
        <f>AD8*Исх!$D$32</f>
        <v>21.000000000000007</v>
      </c>
      <c r="AE16" s="129">
        <f>AE8*Исх!$D$32</f>
        <v>21.000000000000007</v>
      </c>
      <c r="AF16" s="129">
        <f>AF8*Исх!$D$32</f>
        <v>21.000000000000007</v>
      </c>
      <c r="AG16" s="129">
        <f>AG8*Исх!$D$32</f>
        <v>21.000000000000007</v>
      </c>
      <c r="AH16" s="129">
        <f>AH8*Исх!$D$32</f>
        <v>21.000000000000007</v>
      </c>
      <c r="AI16" s="129">
        <f>AI8*Исх!$D$32</f>
        <v>21.000000000000007</v>
      </c>
      <c r="AJ16" s="224"/>
    </row>
    <row r="17" spans="1:36" ht="15" customHeight="1">
      <c r="A17" s="231" t="s">
        <v>312</v>
      </c>
      <c r="B17" s="123">
        <f>AI17</f>
        <v>5.0120000000000005</v>
      </c>
      <c r="C17" s="123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3">
        <f>O17</f>
        <v>0</v>
      </c>
      <c r="Q17" s="295">
        <f>Q6*Исх!$C$33+Продукция!Q7*Исх!$D$33+Продукция!Q8*Исх!$E$33</f>
        <v>0.4176666666666667</v>
      </c>
      <c r="R17" s="295">
        <f>R6*Исх!$C$33+Продукция!R7*Исх!$D$33+Продукция!R8*Исх!$E$33</f>
        <v>0.4176666666666667</v>
      </c>
      <c r="S17" s="295">
        <f>S6*Исх!$C$33+Продукция!S7*Исх!$D$33+Продукция!S8*Исх!$E$33</f>
        <v>0.4176666666666667</v>
      </c>
      <c r="T17" s="295">
        <f>T6*Исх!$C$33+Продукция!T7*Исх!$D$33+Продукция!T8*Исх!$E$33</f>
        <v>0.4176666666666667</v>
      </c>
      <c r="U17" s="295">
        <f>U6*Исх!$C$33+Продукция!U7*Исх!$D$33+Продукция!U8*Исх!$E$33</f>
        <v>0.4176666666666667</v>
      </c>
      <c r="V17" s="295">
        <f>V6*Исх!$C$33+Продукция!V7*Исх!$D$33+Продукция!V8*Исх!$E$33</f>
        <v>0.4176666666666667</v>
      </c>
      <c r="W17" s="295">
        <f>W6*Исх!$C$33+Продукция!W7*Исх!$D$33+Продукция!W8*Исх!$E$33</f>
        <v>0.4176666666666667</v>
      </c>
      <c r="X17" s="295">
        <f>X6*Исх!$C$33+Продукция!X7*Исх!$D$33+Продукция!X8*Исх!$E$33</f>
        <v>0.4176666666666667</v>
      </c>
      <c r="Y17" s="295">
        <f>Y6*Исх!$C$33+Продукция!Y7*Исх!$D$33+Продукция!Y8*Исх!$E$33</f>
        <v>0.4176666666666667</v>
      </c>
      <c r="Z17" s="295">
        <f>Z6*Исх!$C$33+Продукция!Z7*Исх!$D$33+Продукция!Z8*Исх!$E$33</f>
        <v>0.4176666666666667</v>
      </c>
      <c r="AA17" s="295">
        <f>AA6*Исх!$C$33+Продукция!AA7*Исх!$D$33+Продукция!AA8*Исх!$E$33</f>
        <v>0.4176666666666667</v>
      </c>
      <c r="AB17" s="295">
        <f>AB6*Исх!$C$33+Продукция!AB7*Исх!$D$33+Продукция!AB8*Исх!$E$33</f>
        <v>0.4176666666666667</v>
      </c>
      <c r="AC17" s="123">
        <f>SUM(Q17:AB17)</f>
        <v>5.0120000000000005</v>
      </c>
      <c r="AD17" s="129">
        <f>AD6*Исх!$C$33+Продукция!AD7*Исх!$D$33+Продукция!AD8*Исх!$E$33</f>
        <v>5.0120000000000005</v>
      </c>
      <c r="AE17" s="129">
        <f>AE6*Исх!$C$33+Продукция!AE7*Исх!$D$33+Продукция!AE8*Исх!$E$33</f>
        <v>5.0120000000000005</v>
      </c>
      <c r="AF17" s="129">
        <f>AF6*Исх!$C$33+Продукция!AF7*Исх!$D$33+Продукция!AF8*Исх!$E$33</f>
        <v>5.0120000000000005</v>
      </c>
      <c r="AG17" s="129">
        <f>AG6*Исх!$C$33+Продукция!AG7*Исх!$D$33+Продукция!AG8*Исх!$E$33</f>
        <v>5.0120000000000005</v>
      </c>
      <c r="AH17" s="129">
        <f>AH6*Исх!$C$33+Продукция!AH7*Исх!$D$33+Продукция!AH8*Исх!$E$33</f>
        <v>5.0120000000000005</v>
      </c>
      <c r="AI17" s="129">
        <f>AI6*Исх!$C$33+Продукция!AI7*Исх!$D$33+Продукция!AI8*Исх!$E$33</f>
        <v>5.0120000000000005</v>
      </c>
      <c r="AJ17" s="224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28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11" sqref="C11"/>
    </sheetView>
  </sheetViews>
  <sheetFormatPr defaultColWidth="9.00390625" defaultRowHeight="12.75"/>
  <cols>
    <col min="1" max="1" width="5.625" style="70" customWidth="1"/>
    <col min="2" max="2" width="33.375" style="70" customWidth="1"/>
    <col min="3" max="3" width="10.00390625" style="70" customWidth="1"/>
    <col min="4" max="4" width="11.625" style="70" customWidth="1"/>
    <col min="5" max="5" width="12.75390625" style="70" customWidth="1"/>
    <col min="6" max="8" width="11.625" style="70" customWidth="1"/>
    <col min="9" max="9" width="11.625" style="70" hidden="1" customWidth="1"/>
    <col min="10" max="10" width="10.125" style="70" customWidth="1"/>
    <col min="11" max="11" width="12.00390625" style="70" customWidth="1"/>
    <col min="12" max="16384" width="9.125" style="70" customWidth="1"/>
  </cols>
  <sheetData>
    <row r="1" ht="5.25" customHeight="1"/>
    <row r="2" spans="1:11" ht="16.5" customHeight="1">
      <c r="A2" s="60" t="s">
        <v>142</v>
      </c>
      <c r="D2" s="159"/>
      <c r="E2" s="159"/>
      <c r="F2" s="159"/>
      <c r="G2" s="159"/>
      <c r="H2" s="159"/>
      <c r="I2" s="159"/>
      <c r="J2" s="159"/>
      <c r="K2" s="211" t="str">
        <f>Исх!C10</f>
        <v>тыс.тг.</v>
      </c>
    </row>
    <row r="3" spans="1:11" ht="8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3" ht="42" customHeight="1">
      <c r="A4" s="260" t="s">
        <v>33</v>
      </c>
      <c r="B4" s="216" t="s">
        <v>34</v>
      </c>
      <c r="C4" s="216" t="s">
        <v>35</v>
      </c>
      <c r="D4" s="145" t="s">
        <v>92</v>
      </c>
      <c r="E4" s="145" t="s">
        <v>93</v>
      </c>
      <c r="F4" s="145" t="s">
        <v>44</v>
      </c>
      <c r="G4" s="145" t="s">
        <v>45</v>
      </c>
      <c r="H4" s="145" t="s">
        <v>46</v>
      </c>
      <c r="I4" s="145" t="s">
        <v>47</v>
      </c>
      <c r="J4" s="145" t="s">
        <v>48</v>
      </c>
      <c r="K4" s="145" t="s">
        <v>42</v>
      </c>
      <c r="M4" s="232">
        <f>'1-Ф3'!B2</f>
        <v>0</v>
      </c>
    </row>
    <row r="5" spans="1:11" s="60" customFormat="1" ht="12.75">
      <c r="A5" s="139"/>
      <c r="B5" s="146" t="s">
        <v>91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.75">
      <c r="A6" s="73">
        <v>1</v>
      </c>
      <c r="B6" s="73" t="s">
        <v>231</v>
      </c>
      <c r="C6" s="298">
        <v>1</v>
      </c>
      <c r="D6" s="141">
        <v>19</v>
      </c>
      <c r="E6" s="147">
        <f>C6*D6</f>
        <v>19</v>
      </c>
      <c r="F6" s="147">
        <f>E6*$C$23</f>
        <v>1.9000000000000001</v>
      </c>
      <c r="G6" s="147">
        <f>(E6-$C$27*C6-F6)*$C$25</f>
        <v>-0.15600000000000003</v>
      </c>
      <c r="H6" s="147">
        <f>(E6-F6)*$C$24</f>
        <v>0.8550000000000001</v>
      </c>
      <c r="I6" s="147">
        <f>(E6-F6)*$C$26-H6*0</f>
        <v>0</v>
      </c>
      <c r="J6" s="147">
        <f>E6-F6-G6</f>
        <v>17.256</v>
      </c>
      <c r="K6" s="148">
        <f>SUM(F6:J6)</f>
        <v>19.855</v>
      </c>
    </row>
    <row r="7" spans="1:11" s="60" customFormat="1" ht="12.75">
      <c r="A7" s="149"/>
      <c r="B7" s="149" t="s">
        <v>0</v>
      </c>
      <c r="C7" s="31">
        <f aca="true" t="shared" si="0" ref="C7:K7">SUM(C6:C6)</f>
        <v>1</v>
      </c>
      <c r="D7" s="31">
        <f t="shared" si="0"/>
        <v>19</v>
      </c>
      <c r="E7" s="31">
        <f t="shared" si="0"/>
        <v>19</v>
      </c>
      <c r="F7" s="31">
        <f t="shared" si="0"/>
        <v>1.9000000000000001</v>
      </c>
      <c r="G7" s="31">
        <f t="shared" si="0"/>
        <v>-0.15600000000000003</v>
      </c>
      <c r="H7" s="31">
        <f t="shared" si="0"/>
        <v>0.8550000000000001</v>
      </c>
      <c r="I7" s="31">
        <f t="shared" si="0"/>
        <v>0</v>
      </c>
      <c r="J7" s="31">
        <f t="shared" si="0"/>
        <v>17.256</v>
      </c>
      <c r="K7" s="31">
        <f t="shared" si="0"/>
        <v>19.855</v>
      </c>
    </row>
    <row r="8" spans="1:11" s="60" customFormat="1" ht="12.75">
      <c r="A8" s="139"/>
      <c r="B8" s="139" t="s">
        <v>97</v>
      </c>
      <c r="C8" s="139"/>
      <c r="D8" s="140"/>
      <c r="E8" s="140"/>
      <c r="F8" s="140"/>
      <c r="G8" s="140"/>
      <c r="H8" s="140"/>
      <c r="I8" s="140"/>
      <c r="J8" s="140"/>
      <c r="K8" s="140"/>
    </row>
    <row r="9" spans="1:11" ht="12.75">
      <c r="A9" s="73">
        <v>1</v>
      </c>
      <c r="B9" s="73" t="s">
        <v>320</v>
      </c>
      <c r="C9" s="141">
        <v>7</v>
      </c>
      <c r="D9" s="141">
        <v>30</v>
      </c>
      <c r="E9" s="147">
        <f>C9*D9</f>
        <v>210</v>
      </c>
      <c r="F9" s="147">
        <f>E9*$C$23</f>
        <v>21</v>
      </c>
      <c r="G9" s="147">
        <f>(E9-$C$27*C9-F9)*$C$25</f>
        <v>5.838</v>
      </c>
      <c r="H9" s="147">
        <f>(E9-F9)*$C$24</f>
        <v>9.450000000000001</v>
      </c>
      <c r="I9" s="147">
        <f>(E9-F9)*$C$26-H9*0</f>
        <v>0</v>
      </c>
      <c r="J9" s="147">
        <f>E9-F9-G9</f>
        <v>183.162</v>
      </c>
      <c r="K9" s="148">
        <f>SUM(F9:J9)</f>
        <v>219.45000000000002</v>
      </c>
    </row>
    <row r="10" spans="1:11" ht="12.75">
      <c r="A10" s="73">
        <v>2</v>
      </c>
      <c r="B10" s="73" t="s">
        <v>321</v>
      </c>
      <c r="C10" s="141">
        <v>3</v>
      </c>
      <c r="D10" s="141">
        <v>30</v>
      </c>
      <c r="E10" s="147">
        <f>C10*D10</f>
        <v>90</v>
      </c>
      <c r="F10" s="147">
        <f>E10*$C$23</f>
        <v>9</v>
      </c>
      <c r="G10" s="147">
        <f>(E10-$C$27*C10-F10)*$C$25</f>
        <v>2.502</v>
      </c>
      <c r="H10" s="147">
        <f>(E10-F10)*$C$24</f>
        <v>4.05</v>
      </c>
      <c r="I10" s="147">
        <f>(E10-F10)*$C$26-H10*0</f>
        <v>0</v>
      </c>
      <c r="J10" s="147">
        <f>E10-F10-G10</f>
        <v>78.498</v>
      </c>
      <c r="K10" s="148">
        <f>SUM(F10:J10)</f>
        <v>94.05000000000001</v>
      </c>
    </row>
    <row r="11" spans="1:11" s="60" customFormat="1" ht="12.75">
      <c r="A11" s="149"/>
      <c r="B11" s="150" t="s">
        <v>0</v>
      </c>
      <c r="C11" s="149">
        <f aca="true" t="shared" si="1" ref="C11:K11">SUM(C8:C10)</f>
        <v>10</v>
      </c>
      <c r="D11" s="148">
        <f t="shared" si="1"/>
        <v>60</v>
      </c>
      <c r="E11" s="148">
        <f t="shared" si="1"/>
        <v>300</v>
      </c>
      <c r="F11" s="148">
        <f t="shared" si="1"/>
        <v>30</v>
      </c>
      <c r="G11" s="148">
        <f t="shared" si="1"/>
        <v>8.34</v>
      </c>
      <c r="H11" s="148">
        <f t="shared" si="1"/>
        <v>13.5</v>
      </c>
      <c r="I11" s="148">
        <f t="shared" si="1"/>
        <v>0</v>
      </c>
      <c r="J11" s="148">
        <f t="shared" si="1"/>
        <v>261.66</v>
      </c>
      <c r="K11" s="148">
        <f t="shared" si="1"/>
        <v>313.5</v>
      </c>
    </row>
    <row r="12" spans="1:11" s="60" customFormat="1" ht="12.75" hidden="1">
      <c r="A12" s="139"/>
      <c r="B12" s="139" t="s">
        <v>98</v>
      </c>
      <c r="C12" s="139"/>
      <c r="D12" s="140"/>
      <c r="E12" s="140"/>
      <c r="F12" s="140"/>
      <c r="G12" s="140"/>
      <c r="H12" s="140"/>
      <c r="I12" s="140"/>
      <c r="J12" s="140"/>
      <c r="K12" s="140"/>
    </row>
    <row r="13" spans="1:11" ht="12.75" hidden="1">
      <c r="A13" s="73"/>
      <c r="B13" s="73"/>
      <c r="C13" s="73"/>
      <c r="D13" s="141"/>
      <c r="E13" s="147">
        <f>C13*D13</f>
        <v>0</v>
      </c>
      <c r="F13" s="147">
        <f>E13*$C$23</f>
        <v>0</v>
      </c>
      <c r="G13" s="147">
        <f>(E13-$C$27*C13-F13)*$C$25</f>
        <v>0</v>
      </c>
      <c r="H13" s="147">
        <f>(E13-F13)*$C$24</f>
        <v>0</v>
      </c>
      <c r="I13" s="147">
        <f>(E13-F13)*$C$26-H13*0</f>
        <v>0</v>
      </c>
      <c r="J13" s="147">
        <f>E13-F13-G13</f>
        <v>0</v>
      </c>
      <c r="K13" s="148">
        <f>SUM(F13:J13)</f>
        <v>0</v>
      </c>
    </row>
    <row r="14" spans="1:11" ht="12.75" hidden="1">
      <c r="A14" s="73"/>
      <c r="B14" s="73"/>
      <c r="C14" s="147"/>
      <c r="D14" s="141"/>
      <c r="E14" s="147">
        <f>C14*D14</f>
        <v>0</v>
      </c>
      <c r="F14" s="147">
        <f>E14*$C$23</f>
        <v>0</v>
      </c>
      <c r="G14" s="147">
        <f>(E14-$C$27*C14-F14)*$C$25</f>
        <v>0</v>
      </c>
      <c r="H14" s="147">
        <f>(E14-F14)*$C$24</f>
        <v>0</v>
      </c>
      <c r="I14" s="147">
        <f>(E14-F14)*$C$26-H14*0</f>
        <v>0</v>
      </c>
      <c r="J14" s="147">
        <f>E14-F14-G14</f>
        <v>0</v>
      </c>
      <c r="K14" s="148">
        <f>SUM(F14:J14)</f>
        <v>0</v>
      </c>
    </row>
    <row r="15" spans="1:11" s="60" customFormat="1" ht="12.75" hidden="1">
      <c r="A15" s="149"/>
      <c r="B15" s="150" t="s">
        <v>0</v>
      </c>
      <c r="C15" s="149">
        <f aca="true" t="shared" si="2" ref="C15:K15">SUM(C13:C14)</f>
        <v>0</v>
      </c>
      <c r="D15" s="148">
        <f t="shared" si="2"/>
        <v>0</v>
      </c>
      <c r="E15" s="148">
        <f t="shared" si="2"/>
        <v>0</v>
      </c>
      <c r="F15" s="148">
        <f t="shared" si="2"/>
        <v>0</v>
      </c>
      <c r="G15" s="148">
        <f t="shared" si="2"/>
        <v>0</v>
      </c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</row>
    <row r="16" spans="1:11" s="60" customFormat="1" ht="12.75" hidden="1">
      <c r="A16" s="139"/>
      <c r="B16" s="139" t="s">
        <v>105</v>
      </c>
      <c r="C16" s="139"/>
      <c r="D16" s="140"/>
      <c r="E16" s="140"/>
      <c r="F16" s="140"/>
      <c r="G16" s="140"/>
      <c r="H16" s="140"/>
      <c r="I16" s="140"/>
      <c r="J16" s="140"/>
      <c r="K16" s="140"/>
    </row>
    <row r="17" spans="1:13" ht="12.75" hidden="1">
      <c r="A17" s="73"/>
      <c r="B17" s="73"/>
      <c r="C17" s="73"/>
      <c r="D17" s="141"/>
      <c r="E17" s="147">
        <f>C17*D17</f>
        <v>0</v>
      </c>
      <c r="F17" s="147">
        <f>E17*$C$23</f>
        <v>0</v>
      </c>
      <c r="G17" s="147">
        <f>(E17-$C$27*C17-F17)*$C$25</f>
        <v>0</v>
      </c>
      <c r="H17" s="147">
        <f>(E17-F17)*$C$24</f>
        <v>0</v>
      </c>
      <c r="I17" s="147">
        <f>(E17-F17)*$C$26-H17*0</f>
        <v>0</v>
      </c>
      <c r="J17" s="147">
        <f>E17-F17-G17</f>
        <v>0</v>
      </c>
      <c r="K17" s="148">
        <f>SUM(F17:J17)</f>
        <v>0</v>
      </c>
      <c r="M17" s="151"/>
    </row>
    <row r="18" spans="1:11" ht="12.75" hidden="1">
      <c r="A18" s="73"/>
      <c r="B18" s="73"/>
      <c r="C18" s="147"/>
      <c r="D18" s="141"/>
      <c r="E18" s="147">
        <f>C18*D18</f>
        <v>0</v>
      </c>
      <c r="F18" s="147">
        <f>E18*$C$23</f>
        <v>0</v>
      </c>
      <c r="G18" s="147">
        <f>(E18-$C$27*C18-F18)*$C$25</f>
        <v>0</v>
      </c>
      <c r="H18" s="147">
        <f>(E18-F18)*$C$24</f>
        <v>0</v>
      </c>
      <c r="I18" s="147">
        <f>(E18-F18)*$C$26-H18*0</f>
        <v>0</v>
      </c>
      <c r="J18" s="147">
        <f>E18-F18-G18</f>
        <v>0</v>
      </c>
      <c r="K18" s="148">
        <f>SUM(F18:J18)</f>
        <v>0</v>
      </c>
    </row>
    <row r="19" spans="1:11" s="60" customFormat="1" ht="12.75" hidden="1">
      <c r="A19" s="149"/>
      <c r="B19" s="150" t="s">
        <v>0</v>
      </c>
      <c r="C19" s="149">
        <f aca="true" t="shared" si="3" ref="C19:K19">SUM(C17:C18)</f>
        <v>0</v>
      </c>
      <c r="D19" s="148">
        <f t="shared" si="3"/>
        <v>0</v>
      </c>
      <c r="E19" s="148">
        <f t="shared" si="3"/>
        <v>0</v>
      </c>
      <c r="F19" s="148">
        <f t="shared" si="3"/>
        <v>0</v>
      </c>
      <c r="G19" s="148">
        <f t="shared" si="3"/>
        <v>0</v>
      </c>
      <c r="H19" s="148">
        <f t="shared" si="3"/>
        <v>0</v>
      </c>
      <c r="I19" s="148">
        <f t="shared" si="3"/>
        <v>0</v>
      </c>
      <c r="J19" s="148">
        <f t="shared" si="3"/>
        <v>0</v>
      </c>
      <c r="K19" s="148">
        <f t="shared" si="3"/>
        <v>0</v>
      </c>
    </row>
    <row r="20" spans="1:11" ht="12.75" hidden="1">
      <c r="A20" s="73"/>
      <c r="B20" s="73"/>
      <c r="C20" s="73"/>
      <c r="D20" s="147"/>
      <c r="E20" s="147"/>
      <c r="F20" s="147"/>
      <c r="G20" s="147"/>
      <c r="H20" s="147"/>
      <c r="I20" s="147"/>
      <c r="J20" s="147"/>
      <c r="K20" s="147"/>
    </row>
    <row r="21" spans="1:11" s="60" customFormat="1" ht="12.75">
      <c r="A21" s="149"/>
      <c r="B21" s="149" t="s">
        <v>106</v>
      </c>
      <c r="C21" s="148">
        <f aca="true" t="shared" si="4" ref="C21:K21">C7+C11+C15+C19</f>
        <v>11</v>
      </c>
      <c r="D21" s="148">
        <f t="shared" si="4"/>
        <v>79</v>
      </c>
      <c r="E21" s="148">
        <f t="shared" si="4"/>
        <v>319</v>
      </c>
      <c r="F21" s="148">
        <f t="shared" si="4"/>
        <v>31.9</v>
      </c>
      <c r="G21" s="148">
        <f t="shared" si="4"/>
        <v>8.184</v>
      </c>
      <c r="H21" s="148">
        <f t="shared" si="4"/>
        <v>14.355</v>
      </c>
      <c r="I21" s="148">
        <f t="shared" si="4"/>
        <v>0</v>
      </c>
      <c r="J21" s="148">
        <f t="shared" si="4"/>
        <v>278.91600000000005</v>
      </c>
      <c r="K21" s="152">
        <f t="shared" si="4"/>
        <v>333.355</v>
      </c>
    </row>
    <row r="23" spans="2:10" ht="12.75">
      <c r="B23" s="73" t="s">
        <v>44</v>
      </c>
      <c r="C23" s="153">
        <f>Исх!C12</f>
        <v>0.1</v>
      </c>
      <c r="D23" s="154"/>
      <c r="E23" s="154"/>
      <c r="F23" s="154"/>
      <c r="G23" s="333"/>
      <c r="H23" s="333"/>
      <c r="I23" s="333"/>
      <c r="J23" s="333"/>
    </row>
    <row r="24" spans="2:10" ht="12.75">
      <c r="B24" s="73" t="s">
        <v>49</v>
      </c>
      <c r="C24" s="153">
        <f>Исх!C13</f>
        <v>0.05</v>
      </c>
      <c r="D24" s="154"/>
      <c r="E24" s="154"/>
      <c r="F24" s="154"/>
      <c r="G24" s="154"/>
      <c r="H24" s="154"/>
      <c r="I24" s="155"/>
      <c r="J24" s="156"/>
    </row>
    <row r="25" spans="2:10" ht="12.75">
      <c r="B25" s="73" t="s">
        <v>45</v>
      </c>
      <c r="C25" s="153">
        <f>Исх!C14</f>
        <v>0.1</v>
      </c>
      <c r="D25" s="154"/>
      <c r="E25" s="154"/>
      <c r="F25" s="154"/>
      <c r="G25" s="154"/>
      <c r="H25" s="154"/>
      <c r="I25" s="155"/>
      <c r="J25" s="156"/>
    </row>
    <row r="26" spans="2:10" ht="12.75">
      <c r="B26" s="73" t="s">
        <v>47</v>
      </c>
      <c r="C26" s="153">
        <f>Исх!C15</f>
        <v>0</v>
      </c>
      <c r="D26" s="157"/>
      <c r="E26" s="157"/>
      <c r="F26" s="154"/>
      <c r="G26" s="154"/>
      <c r="H26" s="154"/>
      <c r="I26" s="155"/>
      <c r="J26" s="156"/>
    </row>
    <row r="27" spans="2:3" ht="12.75">
      <c r="B27" s="73" t="s">
        <v>111</v>
      </c>
      <c r="C27" s="158">
        <f>Исх!C16</f>
        <v>18.66</v>
      </c>
    </row>
    <row r="28" spans="7:10" ht="12.75">
      <c r="G28" s="154"/>
      <c r="H28" s="154"/>
      <c r="I28" s="155"/>
      <c r="J28" s="156"/>
    </row>
  </sheetData>
  <sheetProtection/>
  <mergeCells count="1">
    <mergeCell ref="G23:J23"/>
  </mergeCells>
  <printOptions/>
  <pageMargins left="0.2755905511811024" right="0.2755905511811024" top="0.4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W48"/>
  <sheetViews>
    <sheetView showGridLines="0" zoomScalePageLayoutView="0" workbookViewId="0" topLeftCell="A1">
      <pane ySplit="5" topLeftCell="A9" activePane="bottomLeft" state="frozen"/>
      <selection pane="topLeft" activeCell="A34" sqref="A34"/>
      <selection pane="bottomLeft" activeCell="C8" sqref="C8"/>
    </sheetView>
  </sheetViews>
  <sheetFormatPr defaultColWidth="8.875" defaultRowHeight="12.75" outlineLevelRow="1"/>
  <cols>
    <col min="1" max="1" width="34.25390625" style="70" customWidth="1"/>
    <col min="2" max="2" width="9.625" style="70" customWidth="1"/>
    <col min="3" max="10" width="8.00390625" style="70" customWidth="1"/>
    <col min="11" max="11" width="25.75390625" style="70" bestFit="1" customWidth="1"/>
    <col min="12" max="12" width="5.625" style="70" customWidth="1"/>
    <col min="13" max="13" width="34.25390625" style="70" customWidth="1"/>
    <col min="14" max="14" width="7.25390625" style="70" customWidth="1"/>
    <col min="15" max="15" width="12.25390625" style="70" customWidth="1"/>
    <col min="16" max="19" width="10.75390625" style="70" customWidth="1"/>
    <col min="20" max="16384" width="8.875" style="70" customWidth="1"/>
  </cols>
  <sheetData>
    <row r="1" spans="1:13" ht="12.75">
      <c r="A1" s="60" t="s">
        <v>146</v>
      </c>
      <c r="M1" s="60" t="s">
        <v>248</v>
      </c>
    </row>
    <row r="2" spans="1:13" ht="12.75">
      <c r="A2" s="60"/>
      <c r="M2" s="60"/>
    </row>
    <row r="3" spans="1:23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3:22" ht="12.75">
      <c r="C4" s="136"/>
      <c r="D4" s="136"/>
      <c r="E4" s="136"/>
      <c r="F4" s="136"/>
      <c r="G4" s="136"/>
      <c r="H4" s="136"/>
      <c r="K4" s="143" t="str">
        <f>Исх!C10</f>
        <v>тыс.тг.</v>
      </c>
      <c r="O4" s="136"/>
      <c r="P4" s="136"/>
      <c r="Q4" s="136"/>
      <c r="R4" s="136"/>
      <c r="S4" s="136"/>
      <c r="T4" s="136"/>
      <c r="V4" s="143" t="str">
        <f>K4</f>
        <v>тыс.тг.</v>
      </c>
    </row>
    <row r="5" spans="1:22" ht="12.75">
      <c r="A5" s="212" t="s">
        <v>41</v>
      </c>
      <c r="B5" s="219"/>
      <c r="C5" s="219">
        <v>2014</v>
      </c>
      <c r="D5" s="219">
        <f aca="true" t="shared" si="0" ref="D5:J5">C5+1</f>
        <v>2015</v>
      </c>
      <c r="E5" s="219">
        <f t="shared" si="0"/>
        <v>2016</v>
      </c>
      <c r="F5" s="219">
        <f t="shared" si="0"/>
        <v>2017</v>
      </c>
      <c r="G5" s="219">
        <f t="shared" si="0"/>
        <v>2018</v>
      </c>
      <c r="H5" s="219">
        <f t="shared" si="0"/>
        <v>2019</v>
      </c>
      <c r="I5" s="219">
        <f t="shared" si="0"/>
        <v>2020</v>
      </c>
      <c r="J5" s="219">
        <f t="shared" si="0"/>
        <v>2021</v>
      </c>
      <c r="K5" s="219" t="s">
        <v>255</v>
      </c>
      <c r="M5" s="212" t="s">
        <v>41</v>
      </c>
      <c r="N5" s="219"/>
      <c r="O5" s="219">
        <f aca="true" t="shared" si="1" ref="O5:V5">C5</f>
        <v>2014</v>
      </c>
      <c r="P5" s="219">
        <f t="shared" si="1"/>
        <v>2015</v>
      </c>
      <c r="Q5" s="219">
        <f t="shared" si="1"/>
        <v>2016</v>
      </c>
      <c r="R5" s="219">
        <f t="shared" si="1"/>
        <v>2017</v>
      </c>
      <c r="S5" s="219">
        <f t="shared" si="1"/>
        <v>2018</v>
      </c>
      <c r="T5" s="219">
        <f t="shared" si="1"/>
        <v>2019</v>
      </c>
      <c r="U5" s="219">
        <f t="shared" si="1"/>
        <v>2020</v>
      </c>
      <c r="V5" s="219">
        <f t="shared" si="1"/>
        <v>2021</v>
      </c>
    </row>
    <row r="6" spans="1:22" ht="12.75">
      <c r="A6" s="73" t="s">
        <v>42</v>
      </c>
      <c r="B6" s="142"/>
      <c r="C6" s="147">
        <f>ФОТ!K21</f>
        <v>333.355</v>
      </c>
      <c r="D6" s="147">
        <f aca="true" t="shared" si="2" ref="D6:J6">C6</f>
        <v>333.355</v>
      </c>
      <c r="E6" s="147">
        <f t="shared" si="2"/>
        <v>333.355</v>
      </c>
      <c r="F6" s="147">
        <f t="shared" si="2"/>
        <v>333.355</v>
      </c>
      <c r="G6" s="147">
        <f t="shared" si="2"/>
        <v>333.355</v>
      </c>
      <c r="H6" s="147">
        <f t="shared" si="2"/>
        <v>333.355</v>
      </c>
      <c r="I6" s="147">
        <f t="shared" si="2"/>
        <v>333.355</v>
      </c>
      <c r="J6" s="147">
        <f t="shared" si="2"/>
        <v>333.355</v>
      </c>
      <c r="K6" s="147" t="s">
        <v>256</v>
      </c>
      <c r="M6" s="73" t="s">
        <v>42</v>
      </c>
      <c r="N6" s="142"/>
      <c r="O6" s="147">
        <f>C6*6</f>
        <v>2000.13</v>
      </c>
      <c r="P6" s="147">
        <f aca="true" t="shared" si="3" ref="P6:V7">D6*12</f>
        <v>4000.26</v>
      </c>
      <c r="Q6" s="147">
        <f t="shared" si="3"/>
        <v>4000.26</v>
      </c>
      <c r="R6" s="147">
        <f t="shared" si="3"/>
        <v>4000.26</v>
      </c>
      <c r="S6" s="147">
        <f t="shared" si="3"/>
        <v>4000.26</v>
      </c>
      <c r="T6" s="147">
        <f t="shared" si="3"/>
        <v>4000.26</v>
      </c>
      <c r="U6" s="147">
        <f t="shared" si="3"/>
        <v>4000.26</v>
      </c>
      <c r="V6" s="147">
        <f t="shared" si="3"/>
        <v>4000.26</v>
      </c>
    </row>
    <row r="7" spans="1:22" ht="12.75">
      <c r="A7" s="160" t="s">
        <v>346</v>
      </c>
      <c r="B7" s="218"/>
      <c r="C7" s="141">
        <v>80</v>
      </c>
      <c r="D7" s="147">
        <f aca="true" t="shared" si="4" ref="D7:J7">C7+C7*$D$3</f>
        <v>80</v>
      </c>
      <c r="E7" s="147">
        <f t="shared" si="4"/>
        <v>80</v>
      </c>
      <c r="F7" s="147">
        <f t="shared" si="4"/>
        <v>80</v>
      </c>
      <c r="G7" s="147">
        <f t="shared" si="4"/>
        <v>80</v>
      </c>
      <c r="H7" s="147">
        <f t="shared" si="4"/>
        <v>80</v>
      </c>
      <c r="I7" s="147">
        <f t="shared" si="4"/>
        <v>80</v>
      </c>
      <c r="J7" s="147">
        <f t="shared" si="4"/>
        <v>80</v>
      </c>
      <c r="K7" s="147"/>
      <c r="M7" s="160" t="s">
        <v>211</v>
      </c>
      <c r="N7" s="218"/>
      <c r="O7" s="147">
        <f>C7*6</f>
        <v>480</v>
      </c>
      <c r="P7" s="147">
        <f t="shared" si="3"/>
        <v>960</v>
      </c>
      <c r="Q7" s="147">
        <f t="shared" si="3"/>
        <v>960</v>
      </c>
      <c r="R7" s="147">
        <f t="shared" si="3"/>
        <v>960</v>
      </c>
      <c r="S7" s="147">
        <f t="shared" si="3"/>
        <v>960</v>
      </c>
      <c r="T7" s="147">
        <f t="shared" si="3"/>
        <v>960</v>
      </c>
      <c r="U7" s="147">
        <f t="shared" si="3"/>
        <v>960</v>
      </c>
      <c r="V7" s="147">
        <f t="shared" si="3"/>
        <v>960</v>
      </c>
    </row>
    <row r="8" spans="1:22" ht="12.75">
      <c r="A8" s="160" t="s">
        <v>345</v>
      </c>
      <c r="B8" s="218"/>
      <c r="C8" s="141">
        <v>7</v>
      </c>
      <c r="D8" s="147">
        <f aca="true" t="shared" si="5" ref="D8:J8">C8+C8*$D$3</f>
        <v>7</v>
      </c>
      <c r="E8" s="147">
        <f t="shared" si="5"/>
        <v>7</v>
      </c>
      <c r="F8" s="147">
        <f t="shared" si="5"/>
        <v>7</v>
      </c>
      <c r="G8" s="147">
        <f t="shared" si="5"/>
        <v>7</v>
      </c>
      <c r="H8" s="147">
        <f t="shared" si="5"/>
        <v>7</v>
      </c>
      <c r="I8" s="147">
        <f t="shared" si="5"/>
        <v>7</v>
      </c>
      <c r="J8" s="147">
        <f t="shared" si="5"/>
        <v>7</v>
      </c>
      <c r="K8" s="147"/>
      <c r="M8" s="160" t="s">
        <v>211</v>
      </c>
      <c r="N8" s="218"/>
      <c r="O8" s="147">
        <f aca="true" t="shared" si="6" ref="O8:O13">C8*6</f>
        <v>42</v>
      </c>
      <c r="P8" s="147">
        <f aca="true" t="shared" si="7" ref="P8:P13">D8*12</f>
        <v>84</v>
      </c>
      <c r="Q8" s="147">
        <f aca="true" t="shared" si="8" ref="Q8:V13">E8*12</f>
        <v>84</v>
      </c>
      <c r="R8" s="147">
        <f t="shared" si="8"/>
        <v>84</v>
      </c>
      <c r="S8" s="147">
        <f t="shared" si="8"/>
        <v>84</v>
      </c>
      <c r="T8" s="147">
        <f t="shared" si="8"/>
        <v>84</v>
      </c>
      <c r="U8" s="147">
        <f t="shared" si="8"/>
        <v>84</v>
      </c>
      <c r="V8" s="147">
        <f t="shared" si="8"/>
        <v>84</v>
      </c>
    </row>
    <row r="9" spans="1:22" ht="12.75">
      <c r="A9" s="73" t="s">
        <v>323</v>
      </c>
      <c r="B9" s="142"/>
      <c r="C9" s="141">
        <v>4</v>
      </c>
      <c r="D9" s="147">
        <f aca="true" t="shared" si="9" ref="D9:J9">C9+C9*$D$3</f>
        <v>4</v>
      </c>
      <c r="E9" s="147">
        <f t="shared" si="9"/>
        <v>4</v>
      </c>
      <c r="F9" s="147">
        <f t="shared" si="9"/>
        <v>4</v>
      </c>
      <c r="G9" s="147">
        <f t="shared" si="9"/>
        <v>4</v>
      </c>
      <c r="H9" s="147">
        <f t="shared" si="9"/>
        <v>4</v>
      </c>
      <c r="I9" s="147">
        <f t="shared" si="9"/>
        <v>4</v>
      </c>
      <c r="J9" s="147">
        <f t="shared" si="9"/>
        <v>4</v>
      </c>
      <c r="K9" s="147"/>
      <c r="M9" s="73" t="s">
        <v>230</v>
      </c>
      <c r="N9" s="142"/>
      <c r="O9" s="147">
        <f t="shared" si="6"/>
        <v>24</v>
      </c>
      <c r="P9" s="147">
        <f>D9*12</f>
        <v>48</v>
      </c>
      <c r="Q9" s="147">
        <f t="shared" si="8"/>
        <v>48</v>
      </c>
      <c r="R9" s="147">
        <f t="shared" si="8"/>
        <v>48</v>
      </c>
      <c r="S9" s="147">
        <f t="shared" si="8"/>
        <v>48</v>
      </c>
      <c r="T9" s="147">
        <f t="shared" si="8"/>
        <v>48</v>
      </c>
      <c r="U9" s="147">
        <f t="shared" si="8"/>
        <v>48</v>
      </c>
      <c r="V9" s="147">
        <f t="shared" si="8"/>
        <v>48</v>
      </c>
    </row>
    <row r="10" spans="1:22" ht="12.75">
      <c r="A10" s="73" t="s">
        <v>258</v>
      </c>
      <c r="B10" s="218"/>
      <c r="C10" s="141">
        <v>10</v>
      </c>
      <c r="D10" s="147">
        <f aca="true" t="shared" si="10" ref="D10:J10">C10+C10*$D$3</f>
        <v>10</v>
      </c>
      <c r="E10" s="147">
        <f t="shared" si="10"/>
        <v>10</v>
      </c>
      <c r="F10" s="147">
        <f t="shared" si="10"/>
        <v>10</v>
      </c>
      <c r="G10" s="147">
        <f t="shared" si="10"/>
        <v>10</v>
      </c>
      <c r="H10" s="147">
        <f t="shared" si="10"/>
        <v>10</v>
      </c>
      <c r="I10" s="147">
        <f t="shared" si="10"/>
        <v>10</v>
      </c>
      <c r="J10" s="147">
        <f t="shared" si="10"/>
        <v>10</v>
      </c>
      <c r="K10" s="147"/>
      <c r="M10" s="73" t="s">
        <v>212</v>
      </c>
      <c r="N10" s="218"/>
      <c r="O10" s="147">
        <f t="shared" si="6"/>
        <v>60</v>
      </c>
      <c r="P10" s="147">
        <f>D10*12</f>
        <v>120</v>
      </c>
      <c r="Q10" s="147">
        <f t="shared" si="8"/>
        <v>120</v>
      </c>
      <c r="R10" s="147">
        <f t="shared" si="8"/>
        <v>120</v>
      </c>
      <c r="S10" s="147">
        <f t="shared" si="8"/>
        <v>120</v>
      </c>
      <c r="T10" s="147">
        <f t="shared" si="8"/>
        <v>120</v>
      </c>
      <c r="U10" s="147">
        <f t="shared" si="8"/>
        <v>120</v>
      </c>
      <c r="V10" s="147">
        <f t="shared" si="8"/>
        <v>120</v>
      </c>
    </row>
    <row r="11" spans="1:22" ht="12.75">
      <c r="A11" s="160" t="s">
        <v>107</v>
      </c>
      <c r="B11" s="142"/>
      <c r="C11" s="141">
        <v>4</v>
      </c>
      <c r="D11" s="147">
        <f aca="true" t="shared" si="11" ref="D11:J13">C11+C11*$D$3</f>
        <v>4</v>
      </c>
      <c r="E11" s="147">
        <f t="shared" si="11"/>
        <v>4</v>
      </c>
      <c r="F11" s="147">
        <f t="shared" si="11"/>
        <v>4</v>
      </c>
      <c r="G11" s="147">
        <f t="shared" si="11"/>
        <v>4</v>
      </c>
      <c r="H11" s="147">
        <f t="shared" si="11"/>
        <v>4</v>
      </c>
      <c r="I11" s="147">
        <f t="shared" si="11"/>
        <v>4</v>
      </c>
      <c r="J11" s="147">
        <f t="shared" si="11"/>
        <v>4</v>
      </c>
      <c r="K11" s="147"/>
      <c r="M11" s="160" t="s">
        <v>107</v>
      </c>
      <c r="N11" s="142"/>
      <c r="O11" s="147">
        <f t="shared" si="6"/>
        <v>24</v>
      </c>
      <c r="P11" s="147">
        <f t="shared" si="7"/>
        <v>48</v>
      </c>
      <c r="Q11" s="147">
        <f t="shared" si="8"/>
        <v>48</v>
      </c>
      <c r="R11" s="147">
        <f t="shared" si="8"/>
        <v>48</v>
      </c>
      <c r="S11" s="147">
        <f t="shared" si="8"/>
        <v>48</v>
      </c>
      <c r="T11" s="147">
        <f t="shared" si="8"/>
        <v>48</v>
      </c>
      <c r="U11" s="147">
        <f t="shared" si="8"/>
        <v>48</v>
      </c>
      <c r="V11" s="147">
        <f t="shared" si="8"/>
        <v>48</v>
      </c>
    </row>
    <row r="12" spans="1:22" ht="12.75">
      <c r="A12" s="73" t="s">
        <v>99</v>
      </c>
      <c r="B12" s="142"/>
      <c r="C12" s="141">
        <v>2.5</v>
      </c>
      <c r="D12" s="147">
        <f aca="true" t="shared" si="12" ref="D12:J12">C12+C12*$D$3</f>
        <v>2.5</v>
      </c>
      <c r="E12" s="147">
        <f t="shared" si="12"/>
        <v>2.5</v>
      </c>
      <c r="F12" s="147">
        <f t="shared" si="12"/>
        <v>2.5</v>
      </c>
      <c r="G12" s="147">
        <f t="shared" si="12"/>
        <v>2.5</v>
      </c>
      <c r="H12" s="147">
        <f t="shared" si="12"/>
        <v>2.5</v>
      </c>
      <c r="I12" s="147">
        <f t="shared" si="12"/>
        <v>2.5</v>
      </c>
      <c r="J12" s="147">
        <f t="shared" si="12"/>
        <v>2.5</v>
      </c>
      <c r="K12" s="147" t="s">
        <v>257</v>
      </c>
      <c r="M12" s="73" t="s">
        <v>99</v>
      </c>
      <c r="N12" s="142"/>
      <c r="O12" s="147">
        <f t="shared" si="6"/>
        <v>15</v>
      </c>
      <c r="P12" s="147">
        <f>D12*12</f>
        <v>30</v>
      </c>
      <c r="Q12" s="147">
        <f t="shared" si="8"/>
        <v>30</v>
      </c>
      <c r="R12" s="147">
        <f t="shared" si="8"/>
        <v>30</v>
      </c>
      <c r="S12" s="147">
        <f t="shared" si="8"/>
        <v>30</v>
      </c>
      <c r="T12" s="147">
        <f t="shared" si="8"/>
        <v>30</v>
      </c>
      <c r="U12" s="147">
        <f t="shared" si="8"/>
        <v>30</v>
      </c>
      <c r="V12" s="147">
        <f t="shared" si="8"/>
        <v>30</v>
      </c>
    </row>
    <row r="13" spans="1:22" ht="12.75">
      <c r="A13" s="73" t="s">
        <v>43</v>
      </c>
      <c r="B13" s="147"/>
      <c r="C13" s="141">
        <v>7</v>
      </c>
      <c r="D13" s="147">
        <f t="shared" si="11"/>
        <v>7</v>
      </c>
      <c r="E13" s="147">
        <f t="shared" si="11"/>
        <v>7</v>
      </c>
      <c r="F13" s="147">
        <f t="shared" si="11"/>
        <v>7</v>
      </c>
      <c r="G13" s="147">
        <f t="shared" si="11"/>
        <v>7</v>
      </c>
      <c r="H13" s="147">
        <f t="shared" si="11"/>
        <v>7</v>
      </c>
      <c r="I13" s="147">
        <f t="shared" si="11"/>
        <v>7</v>
      </c>
      <c r="J13" s="147">
        <f t="shared" si="11"/>
        <v>7</v>
      </c>
      <c r="K13" s="147"/>
      <c r="M13" s="73" t="s">
        <v>43</v>
      </c>
      <c r="N13" s="147"/>
      <c r="O13" s="147">
        <f t="shared" si="6"/>
        <v>42</v>
      </c>
      <c r="P13" s="147">
        <f t="shared" si="7"/>
        <v>84</v>
      </c>
      <c r="Q13" s="147">
        <f t="shared" si="8"/>
        <v>84</v>
      </c>
      <c r="R13" s="147">
        <f t="shared" si="8"/>
        <v>84</v>
      </c>
      <c r="S13" s="147">
        <f t="shared" si="8"/>
        <v>84</v>
      </c>
      <c r="T13" s="147">
        <f t="shared" si="8"/>
        <v>84</v>
      </c>
      <c r="U13" s="147">
        <f t="shared" si="8"/>
        <v>84</v>
      </c>
      <c r="V13" s="147">
        <f t="shared" si="8"/>
        <v>84</v>
      </c>
    </row>
    <row r="14" spans="1:22" ht="12.75">
      <c r="A14" s="212" t="s">
        <v>0</v>
      </c>
      <c r="B14" s="213"/>
      <c r="C14" s="213">
        <f aca="true" t="shared" si="13" ref="C14:J14">SUM(C6:C13)</f>
        <v>447.855</v>
      </c>
      <c r="D14" s="213">
        <f t="shared" si="13"/>
        <v>447.855</v>
      </c>
      <c r="E14" s="213">
        <f t="shared" si="13"/>
        <v>447.855</v>
      </c>
      <c r="F14" s="213">
        <f t="shared" si="13"/>
        <v>447.855</v>
      </c>
      <c r="G14" s="213">
        <f t="shared" si="13"/>
        <v>447.855</v>
      </c>
      <c r="H14" s="213">
        <f t="shared" si="13"/>
        <v>447.855</v>
      </c>
      <c r="I14" s="213">
        <f t="shared" si="13"/>
        <v>447.855</v>
      </c>
      <c r="J14" s="213">
        <f t="shared" si="13"/>
        <v>447.855</v>
      </c>
      <c r="K14" s="213"/>
      <c r="M14" s="212" t="s">
        <v>0</v>
      </c>
      <c r="N14" s="213"/>
      <c r="O14" s="213">
        <f aca="true" t="shared" si="14" ref="O14:V14">SUM(O6:O13)</f>
        <v>2687.13</v>
      </c>
      <c r="P14" s="213">
        <f t="shared" si="14"/>
        <v>5374.26</v>
      </c>
      <c r="Q14" s="213">
        <f t="shared" si="14"/>
        <v>5374.26</v>
      </c>
      <c r="R14" s="213">
        <f t="shared" si="14"/>
        <v>5374.26</v>
      </c>
      <c r="S14" s="213">
        <f t="shared" si="14"/>
        <v>5374.26</v>
      </c>
      <c r="T14" s="213">
        <f t="shared" si="14"/>
        <v>5374.26</v>
      </c>
      <c r="U14" s="213">
        <f t="shared" si="14"/>
        <v>5374.26</v>
      </c>
      <c r="V14" s="213">
        <f t="shared" si="14"/>
        <v>5374.26</v>
      </c>
    </row>
    <row r="16" spans="1:22" ht="12.75">
      <c r="A16" s="60" t="s">
        <v>76</v>
      </c>
      <c r="C16" s="162">
        <f aca="true" t="shared" si="15" ref="C16:J16">SUM(C17:C17)</f>
        <v>1.000065</v>
      </c>
      <c r="D16" s="162">
        <f t="shared" si="15"/>
        <v>1.000065</v>
      </c>
      <c r="E16" s="162">
        <f t="shared" si="15"/>
        <v>1.000065</v>
      </c>
      <c r="F16" s="162">
        <f t="shared" si="15"/>
        <v>1.000065</v>
      </c>
      <c r="G16" s="162">
        <f t="shared" si="15"/>
        <v>1.000065</v>
      </c>
      <c r="H16" s="162">
        <f t="shared" si="15"/>
        <v>1.000065</v>
      </c>
      <c r="I16" s="162">
        <f t="shared" si="15"/>
        <v>1.000065</v>
      </c>
      <c r="J16" s="162">
        <f t="shared" si="15"/>
        <v>1.000065</v>
      </c>
      <c r="M16" s="60" t="s">
        <v>76</v>
      </c>
      <c r="O16" s="162">
        <f aca="true" t="shared" si="16" ref="O16:V16">SUM(O17:O17)</f>
        <v>6.0003899999999994</v>
      </c>
      <c r="P16" s="162">
        <f t="shared" si="16"/>
        <v>12.000779999999999</v>
      </c>
      <c r="Q16" s="162">
        <f t="shared" si="16"/>
        <v>12.000779999999999</v>
      </c>
      <c r="R16" s="162">
        <f t="shared" si="16"/>
        <v>12.000779999999999</v>
      </c>
      <c r="S16" s="162">
        <f t="shared" si="16"/>
        <v>12.000779999999999</v>
      </c>
      <c r="T16" s="162">
        <f t="shared" si="16"/>
        <v>12.000779999999999</v>
      </c>
      <c r="U16" s="162">
        <f t="shared" si="16"/>
        <v>12.000779999999999</v>
      </c>
      <c r="V16" s="162">
        <f t="shared" si="16"/>
        <v>12.000779999999999</v>
      </c>
    </row>
    <row r="17" spans="1:22" ht="25.5">
      <c r="A17" s="160" t="s">
        <v>77</v>
      </c>
      <c r="B17" s="163">
        <v>0.003</v>
      </c>
      <c r="C17" s="164">
        <f aca="true" t="shared" si="17" ref="C17:J17">C6*$B$17</f>
        <v>1.000065</v>
      </c>
      <c r="D17" s="164">
        <f t="shared" si="17"/>
        <v>1.000065</v>
      </c>
      <c r="E17" s="164">
        <f t="shared" si="17"/>
        <v>1.000065</v>
      </c>
      <c r="F17" s="164">
        <f t="shared" si="17"/>
        <v>1.000065</v>
      </c>
      <c r="G17" s="164">
        <f t="shared" si="17"/>
        <v>1.000065</v>
      </c>
      <c r="H17" s="164">
        <f t="shared" si="17"/>
        <v>1.000065</v>
      </c>
      <c r="I17" s="164">
        <f t="shared" si="17"/>
        <v>1.000065</v>
      </c>
      <c r="J17" s="164">
        <f t="shared" si="17"/>
        <v>1.000065</v>
      </c>
      <c r="M17" s="160" t="s">
        <v>77</v>
      </c>
      <c r="N17" s="166">
        <f>B17</f>
        <v>0.003</v>
      </c>
      <c r="O17" s="164">
        <f>C17*6</f>
        <v>6.0003899999999994</v>
      </c>
      <c r="P17" s="164">
        <f aca="true" t="shared" si="18" ref="P17:V17">D17*12</f>
        <v>12.000779999999999</v>
      </c>
      <c r="Q17" s="164">
        <f t="shared" si="18"/>
        <v>12.000779999999999</v>
      </c>
      <c r="R17" s="164">
        <f t="shared" si="18"/>
        <v>12.000779999999999</v>
      </c>
      <c r="S17" s="164">
        <f t="shared" si="18"/>
        <v>12.000779999999999</v>
      </c>
      <c r="T17" s="164">
        <f t="shared" si="18"/>
        <v>12.000779999999999</v>
      </c>
      <c r="U17" s="164">
        <f t="shared" si="18"/>
        <v>12.000779999999999</v>
      </c>
      <c r="V17" s="164">
        <f t="shared" si="18"/>
        <v>12.000779999999999</v>
      </c>
    </row>
    <row r="19" spans="1:22" ht="12.75">
      <c r="A19" s="60" t="s">
        <v>78</v>
      </c>
      <c r="C19" s="165">
        <f>SUM(C20:C21)</f>
        <v>0.5</v>
      </c>
      <c r="D19" s="165">
        <f aca="true" t="shared" si="19" ref="D19:I19">SUM(D20:D21)</f>
        <v>0.5</v>
      </c>
      <c r="E19" s="165">
        <f t="shared" si="19"/>
        <v>0.5</v>
      </c>
      <c r="F19" s="165">
        <f t="shared" si="19"/>
        <v>0.5</v>
      </c>
      <c r="G19" s="165">
        <f t="shared" si="19"/>
        <v>0.5</v>
      </c>
      <c r="H19" s="165">
        <f t="shared" si="19"/>
        <v>0.5</v>
      </c>
      <c r="I19" s="165">
        <f t="shared" si="19"/>
        <v>0.5</v>
      </c>
      <c r="J19" s="165">
        <f>SUM(J20:J21)</f>
        <v>0.5</v>
      </c>
      <c r="M19" s="60" t="s">
        <v>78</v>
      </c>
      <c r="O19" s="165">
        <f>SUM(O20:O21)</f>
        <v>3</v>
      </c>
      <c r="P19" s="165">
        <f aca="true" t="shared" si="20" ref="P19:U19">SUM(P20:P21)</f>
        <v>6</v>
      </c>
      <c r="Q19" s="165">
        <f t="shared" si="20"/>
        <v>6</v>
      </c>
      <c r="R19" s="165">
        <f t="shared" si="20"/>
        <v>6</v>
      </c>
      <c r="S19" s="165">
        <f t="shared" si="20"/>
        <v>6</v>
      </c>
      <c r="T19" s="165">
        <f t="shared" si="20"/>
        <v>6</v>
      </c>
      <c r="U19" s="165">
        <f t="shared" si="20"/>
        <v>6</v>
      </c>
      <c r="V19" s="165">
        <f>SUM(V20:V21)</f>
        <v>6</v>
      </c>
    </row>
    <row r="20" spans="1:22" ht="12.75">
      <c r="A20" s="73" t="s">
        <v>1</v>
      </c>
      <c r="B20" s="166">
        <f>Исх!C19</f>
        <v>0</v>
      </c>
      <c r="C20" s="147">
        <f>(C33+C36)/2*$B$20/12</f>
        <v>0</v>
      </c>
      <c r="D20" s="147">
        <f aca="true" t="shared" si="21" ref="D20:I20">(D33+D36)/2*$B$20/12</f>
        <v>0</v>
      </c>
      <c r="E20" s="147">
        <f t="shared" si="21"/>
        <v>0</v>
      </c>
      <c r="F20" s="147">
        <f t="shared" si="21"/>
        <v>0</v>
      </c>
      <c r="G20" s="147">
        <f t="shared" si="21"/>
        <v>0</v>
      </c>
      <c r="H20" s="147">
        <f t="shared" si="21"/>
        <v>0</v>
      </c>
      <c r="I20" s="147">
        <f t="shared" si="21"/>
        <v>0</v>
      </c>
      <c r="J20" s="147">
        <f>(J33+J36)/2*$B$20/12</f>
        <v>0</v>
      </c>
      <c r="M20" s="73" t="s">
        <v>1</v>
      </c>
      <c r="N20" s="166">
        <f>B20</f>
        <v>0</v>
      </c>
      <c r="O20" s="164">
        <f>C20*6</f>
        <v>0</v>
      </c>
      <c r="P20" s="164">
        <f aca="true" t="shared" si="22" ref="P20:V21">D20*12</f>
        <v>0</v>
      </c>
      <c r="Q20" s="164">
        <f t="shared" si="22"/>
        <v>0</v>
      </c>
      <c r="R20" s="164">
        <f t="shared" si="22"/>
        <v>0</v>
      </c>
      <c r="S20" s="164">
        <f t="shared" si="22"/>
        <v>0</v>
      </c>
      <c r="T20" s="164">
        <f t="shared" si="22"/>
        <v>0</v>
      </c>
      <c r="U20" s="164">
        <f t="shared" si="22"/>
        <v>0</v>
      </c>
      <c r="V20" s="164">
        <f t="shared" si="22"/>
        <v>0</v>
      </c>
    </row>
    <row r="21" spans="1:22" ht="12.75">
      <c r="A21" s="73" t="s">
        <v>210</v>
      </c>
      <c r="B21" s="73"/>
      <c r="C21" s="141">
        <v>0.5</v>
      </c>
      <c r="D21" s="147">
        <f aca="true" t="shared" si="23" ref="D21:J21">C21+C21*$D$3</f>
        <v>0.5</v>
      </c>
      <c r="E21" s="147">
        <f t="shared" si="23"/>
        <v>0.5</v>
      </c>
      <c r="F21" s="147">
        <f t="shared" si="23"/>
        <v>0.5</v>
      </c>
      <c r="G21" s="147">
        <f t="shared" si="23"/>
        <v>0.5</v>
      </c>
      <c r="H21" s="147">
        <f t="shared" si="23"/>
        <v>0.5</v>
      </c>
      <c r="I21" s="147">
        <f t="shared" si="23"/>
        <v>0.5</v>
      </c>
      <c r="J21" s="147">
        <f t="shared" si="23"/>
        <v>0.5</v>
      </c>
      <c r="M21" s="73" t="s">
        <v>210</v>
      </c>
      <c r="N21" s="166">
        <f>B21</f>
        <v>0</v>
      </c>
      <c r="O21" s="164">
        <f>C21*6</f>
        <v>3</v>
      </c>
      <c r="P21" s="164">
        <f t="shared" si="22"/>
        <v>6</v>
      </c>
      <c r="Q21" s="164">
        <f t="shared" si="22"/>
        <v>6</v>
      </c>
      <c r="R21" s="164">
        <f t="shared" si="22"/>
        <v>6</v>
      </c>
      <c r="S21" s="164">
        <f t="shared" si="22"/>
        <v>6</v>
      </c>
      <c r="T21" s="164">
        <f t="shared" si="22"/>
        <v>6</v>
      </c>
      <c r="U21" s="164">
        <f t="shared" si="22"/>
        <v>6</v>
      </c>
      <c r="V21" s="164">
        <f t="shared" si="22"/>
        <v>6</v>
      </c>
    </row>
    <row r="23" ht="12.75">
      <c r="C23" s="167"/>
    </row>
    <row r="24" spans="1:10" ht="12.75">
      <c r="A24" s="60" t="s">
        <v>79</v>
      </c>
      <c r="C24" s="165"/>
      <c r="D24" s="165"/>
      <c r="E24" s="165"/>
      <c r="F24" s="165"/>
      <c r="G24" s="165"/>
      <c r="H24" s="165"/>
      <c r="I24" s="165"/>
      <c r="J24" s="165"/>
    </row>
    <row r="25" spans="1:10" ht="12.75">
      <c r="A25" s="137" t="s">
        <v>85</v>
      </c>
      <c r="B25" s="73"/>
      <c r="C25" s="138">
        <f aca="true" t="shared" si="24" ref="C25:J25">C5</f>
        <v>2014</v>
      </c>
      <c r="D25" s="138">
        <f t="shared" si="24"/>
        <v>2015</v>
      </c>
      <c r="E25" s="138">
        <f t="shared" si="24"/>
        <v>2016</v>
      </c>
      <c r="F25" s="138">
        <f t="shared" si="24"/>
        <v>2017</v>
      </c>
      <c r="G25" s="138">
        <f t="shared" si="24"/>
        <v>2018</v>
      </c>
      <c r="H25" s="138">
        <f t="shared" si="24"/>
        <v>2019</v>
      </c>
      <c r="I25" s="138">
        <f t="shared" si="24"/>
        <v>2020</v>
      </c>
      <c r="J25" s="138">
        <f t="shared" si="24"/>
        <v>2021</v>
      </c>
    </row>
    <row r="26" spans="1:10" ht="12.75">
      <c r="A26" s="73" t="s">
        <v>80</v>
      </c>
      <c r="B26" s="168"/>
      <c r="C26" s="73"/>
      <c r="D26" s="73"/>
      <c r="E26" s="73"/>
      <c r="F26" s="73"/>
      <c r="G26" s="73"/>
      <c r="H26" s="73"/>
      <c r="I26" s="73"/>
      <c r="J26" s="73"/>
    </row>
    <row r="27" spans="1:10" ht="12.75">
      <c r="A27" s="73" t="s">
        <v>81</v>
      </c>
      <c r="B27" s="169"/>
      <c r="C27" s="147">
        <f>C33+C39+C45</f>
        <v>33217.80862400001</v>
      </c>
      <c r="D27" s="147">
        <f aca="true" t="shared" si="25" ref="D27:I27">D33+D39+D45</f>
        <v>73717.35007506669</v>
      </c>
      <c r="E27" s="147">
        <f t="shared" si="25"/>
        <v>68967.63297720002</v>
      </c>
      <c r="F27" s="147">
        <f t="shared" si="25"/>
        <v>64217.91587933335</v>
      </c>
      <c r="G27" s="147">
        <f t="shared" si="25"/>
        <v>59468.19878146667</v>
      </c>
      <c r="H27" s="147">
        <f t="shared" si="25"/>
        <v>54718.4816836</v>
      </c>
      <c r="I27" s="147">
        <f t="shared" si="25"/>
        <v>49968.76458573333</v>
      </c>
      <c r="J27" s="147">
        <f>J33+J39+J45</f>
        <v>45219.047487866665</v>
      </c>
    </row>
    <row r="28" spans="1:10" ht="12.75">
      <c r="A28" s="73" t="s">
        <v>82</v>
      </c>
      <c r="B28" s="169"/>
      <c r="C28" s="147">
        <f>C34+C40+C46</f>
        <v>42874.40000000001</v>
      </c>
      <c r="D28" s="147">
        <f aca="true" t="shared" si="26" ref="D28:I28">D34+D40+D46</f>
        <v>0</v>
      </c>
      <c r="E28" s="147">
        <f t="shared" si="26"/>
        <v>0</v>
      </c>
      <c r="F28" s="147">
        <f t="shared" si="26"/>
        <v>0</v>
      </c>
      <c r="G28" s="147">
        <f t="shared" si="26"/>
        <v>0</v>
      </c>
      <c r="H28" s="147">
        <f t="shared" si="26"/>
        <v>0</v>
      </c>
      <c r="I28" s="147">
        <f t="shared" si="26"/>
        <v>0</v>
      </c>
      <c r="J28" s="147">
        <f>J34+J40+J46</f>
        <v>0</v>
      </c>
    </row>
    <row r="29" spans="1:10" ht="12.75">
      <c r="A29" s="149" t="s">
        <v>83</v>
      </c>
      <c r="B29" s="149"/>
      <c r="C29" s="148">
        <f>C35+C41+C47</f>
        <v>2374.858548933334</v>
      </c>
      <c r="D29" s="148">
        <f aca="true" t="shared" si="27" ref="D29:I29">D35+D41+D47</f>
        <v>4749.717097866668</v>
      </c>
      <c r="E29" s="148">
        <f t="shared" si="27"/>
        <v>4749.717097866668</v>
      </c>
      <c r="F29" s="148">
        <f t="shared" si="27"/>
        <v>4749.717097866668</v>
      </c>
      <c r="G29" s="148">
        <f t="shared" si="27"/>
        <v>4749.717097866668</v>
      </c>
      <c r="H29" s="148">
        <f t="shared" si="27"/>
        <v>4749.717097866668</v>
      </c>
      <c r="I29" s="148">
        <f t="shared" si="27"/>
        <v>4749.717097866668</v>
      </c>
      <c r="J29" s="148">
        <f>J35+J41+J47</f>
        <v>4749.717097866668</v>
      </c>
    </row>
    <row r="30" spans="1:10" ht="12.75">
      <c r="A30" s="73" t="s">
        <v>84</v>
      </c>
      <c r="B30" s="169"/>
      <c r="C30" s="147">
        <f aca="true" t="shared" si="28" ref="C30:I30">C27+C28-C29</f>
        <v>73717.35007506669</v>
      </c>
      <c r="D30" s="147">
        <f t="shared" si="28"/>
        <v>68967.63297720002</v>
      </c>
      <c r="E30" s="147">
        <f t="shared" si="28"/>
        <v>64217.91587933335</v>
      </c>
      <c r="F30" s="147">
        <f t="shared" si="28"/>
        <v>59468.19878146668</v>
      </c>
      <c r="G30" s="147">
        <f t="shared" si="28"/>
        <v>54718.4816836</v>
      </c>
      <c r="H30" s="147">
        <f t="shared" si="28"/>
        <v>49968.764585733334</v>
      </c>
      <c r="I30" s="147">
        <f t="shared" si="28"/>
        <v>45219.04748786666</v>
      </c>
      <c r="J30" s="147">
        <f>J27+J28-J29</f>
        <v>40469.330389999996</v>
      </c>
    </row>
    <row r="31" spans="1:10" ht="12.75" hidden="1" outlineLevel="1">
      <c r="A31" s="71" t="str">
        <f>Инв!A5</f>
        <v>Здания и сооружения</v>
      </c>
      <c r="C31" s="138"/>
      <c r="D31" s="138"/>
      <c r="E31" s="138"/>
      <c r="F31" s="138"/>
      <c r="G31" s="138"/>
      <c r="H31" s="138"/>
      <c r="I31" s="138"/>
      <c r="J31" s="138"/>
    </row>
    <row r="32" spans="1:10" ht="12.75" hidden="1" outlineLevel="1">
      <c r="A32" s="73" t="s">
        <v>80</v>
      </c>
      <c r="B32" s="170">
        <f>1/20</f>
        <v>0.05</v>
      </c>
      <c r="C32" s="73"/>
      <c r="D32" s="73"/>
      <c r="E32" s="73"/>
      <c r="F32" s="73"/>
      <c r="G32" s="73"/>
      <c r="H32" s="73"/>
      <c r="I32" s="73"/>
      <c r="J32" s="73"/>
    </row>
    <row r="33" spans="1:10" ht="12.75" hidden="1" outlineLevel="1">
      <c r="A33" s="73" t="s">
        <v>81</v>
      </c>
      <c r="B33" s="169"/>
      <c r="C33" s="142">
        <f>Инв!C19</f>
        <v>33217.80862400001</v>
      </c>
      <c r="D33" s="147">
        <f aca="true" t="shared" si="29" ref="D33:J33">C36</f>
        <v>32387.36340840001</v>
      </c>
      <c r="E33" s="147">
        <f t="shared" si="29"/>
        <v>30726.47297720001</v>
      </c>
      <c r="F33" s="147">
        <f t="shared" si="29"/>
        <v>29065.58254600001</v>
      </c>
      <c r="G33" s="147">
        <f t="shared" si="29"/>
        <v>27404.692114800007</v>
      </c>
      <c r="H33" s="147">
        <f t="shared" si="29"/>
        <v>25743.801683600006</v>
      </c>
      <c r="I33" s="147">
        <f t="shared" si="29"/>
        <v>24082.911252400005</v>
      </c>
      <c r="J33" s="147">
        <f t="shared" si="29"/>
        <v>22422.020821200003</v>
      </c>
    </row>
    <row r="34" spans="1:10" ht="12.75" hidden="1" outlineLevel="1">
      <c r="A34" s="73" t="s">
        <v>82</v>
      </c>
      <c r="B34" s="169"/>
      <c r="C34" s="147"/>
      <c r="D34" s="147"/>
      <c r="E34" s="147"/>
      <c r="F34" s="147"/>
      <c r="G34" s="147"/>
      <c r="H34" s="147"/>
      <c r="I34" s="147"/>
      <c r="J34" s="147"/>
    </row>
    <row r="35" spans="1:10" ht="12.75" hidden="1" outlineLevel="1">
      <c r="A35" s="149" t="s">
        <v>83</v>
      </c>
      <c r="B35" s="149"/>
      <c r="C35" s="148">
        <f>$C33*$B32/12*6</f>
        <v>830.4452156000002</v>
      </c>
      <c r="D35" s="148">
        <f aca="true" t="shared" si="30" ref="D35:I35">$C33*$B32</f>
        <v>1660.8904312000006</v>
      </c>
      <c r="E35" s="148">
        <f t="shared" si="30"/>
        <v>1660.8904312000006</v>
      </c>
      <c r="F35" s="148">
        <f t="shared" si="30"/>
        <v>1660.8904312000006</v>
      </c>
      <c r="G35" s="148">
        <f t="shared" si="30"/>
        <v>1660.8904312000006</v>
      </c>
      <c r="H35" s="148">
        <f t="shared" si="30"/>
        <v>1660.8904312000006</v>
      </c>
      <c r="I35" s="148">
        <f t="shared" si="30"/>
        <v>1660.8904312000006</v>
      </c>
      <c r="J35" s="148">
        <f>$C33*$B32</f>
        <v>1660.8904312000006</v>
      </c>
    </row>
    <row r="36" spans="1:10" ht="12.75" hidden="1" outlineLevel="1">
      <c r="A36" s="73" t="s">
        <v>84</v>
      </c>
      <c r="B36" s="169"/>
      <c r="C36" s="147">
        <f aca="true" t="shared" si="31" ref="C36:I36">C33+C34-C35</f>
        <v>32387.36340840001</v>
      </c>
      <c r="D36" s="147">
        <f t="shared" si="31"/>
        <v>30726.47297720001</v>
      </c>
      <c r="E36" s="147">
        <f t="shared" si="31"/>
        <v>29065.58254600001</v>
      </c>
      <c r="F36" s="147">
        <f t="shared" si="31"/>
        <v>27404.692114800007</v>
      </c>
      <c r="G36" s="147">
        <f t="shared" si="31"/>
        <v>25743.801683600006</v>
      </c>
      <c r="H36" s="147">
        <f t="shared" si="31"/>
        <v>24082.911252400005</v>
      </c>
      <c r="I36" s="147">
        <f t="shared" si="31"/>
        <v>22422.020821200003</v>
      </c>
      <c r="J36" s="147">
        <f>J33+J34-J35</f>
        <v>20761.130390000002</v>
      </c>
    </row>
    <row r="37" spans="1:10" ht="12.75" hidden="1" outlineLevel="1">
      <c r="A37" s="71" t="str">
        <f>Инв!A8</f>
        <v>Оборудование</v>
      </c>
      <c r="C37" s="138"/>
      <c r="D37" s="138"/>
      <c r="E37" s="138"/>
      <c r="F37" s="138"/>
      <c r="G37" s="138"/>
      <c r="H37" s="138"/>
      <c r="I37" s="138"/>
      <c r="J37" s="138"/>
    </row>
    <row r="38" spans="1:10" ht="12.75" hidden="1" outlineLevel="1">
      <c r="A38" s="73" t="s">
        <v>80</v>
      </c>
      <c r="B38" s="170">
        <f>1/15</f>
        <v>0.06666666666666667</v>
      </c>
      <c r="C38" s="73"/>
      <c r="D38" s="73"/>
      <c r="E38" s="73"/>
      <c r="F38" s="73"/>
      <c r="G38" s="73"/>
      <c r="H38" s="73"/>
      <c r="I38" s="73"/>
      <c r="J38" s="73"/>
    </row>
    <row r="39" spans="1:10" ht="12.75" hidden="1" outlineLevel="1">
      <c r="A39" s="73" t="s">
        <v>81</v>
      </c>
      <c r="B39" s="169"/>
      <c r="C39" s="147"/>
      <c r="D39" s="147">
        <f aca="true" t="shared" si="32" ref="D39:J39">C42</f>
        <v>34759.786666666674</v>
      </c>
      <c r="E39" s="147">
        <f t="shared" si="32"/>
        <v>32362.560000000005</v>
      </c>
      <c r="F39" s="147">
        <f t="shared" si="32"/>
        <v>29965.333333333336</v>
      </c>
      <c r="G39" s="147">
        <f t="shared" si="32"/>
        <v>27568.106666666667</v>
      </c>
      <c r="H39" s="147">
        <f t="shared" si="32"/>
        <v>25170.879999999997</v>
      </c>
      <c r="I39" s="147">
        <f t="shared" si="32"/>
        <v>22773.65333333333</v>
      </c>
      <c r="J39" s="147">
        <f t="shared" si="32"/>
        <v>20376.42666666666</v>
      </c>
    </row>
    <row r="40" spans="1:10" ht="12.75" hidden="1" outlineLevel="1">
      <c r="A40" s="73" t="s">
        <v>82</v>
      </c>
      <c r="B40" s="169"/>
      <c r="C40" s="147">
        <f>Инв!C20</f>
        <v>35958.40000000001</v>
      </c>
      <c r="D40" s="147"/>
      <c r="E40" s="147"/>
      <c r="F40" s="147"/>
      <c r="G40" s="147"/>
      <c r="H40" s="147"/>
      <c r="I40" s="147"/>
      <c r="J40" s="147"/>
    </row>
    <row r="41" spans="1:10" ht="12.75" hidden="1" outlineLevel="1">
      <c r="A41" s="149" t="s">
        <v>83</v>
      </c>
      <c r="B41" s="149"/>
      <c r="C41" s="148">
        <f>$C40*$B38/12*6</f>
        <v>1198.6133333333337</v>
      </c>
      <c r="D41" s="148">
        <f aca="true" t="shared" si="33" ref="D41:J41">$C40*$B38</f>
        <v>2397.2266666666674</v>
      </c>
      <c r="E41" s="148">
        <f t="shared" si="33"/>
        <v>2397.2266666666674</v>
      </c>
      <c r="F41" s="148">
        <f t="shared" si="33"/>
        <v>2397.2266666666674</v>
      </c>
      <c r="G41" s="148">
        <f t="shared" si="33"/>
        <v>2397.2266666666674</v>
      </c>
      <c r="H41" s="148">
        <f t="shared" si="33"/>
        <v>2397.2266666666674</v>
      </c>
      <c r="I41" s="148">
        <f t="shared" si="33"/>
        <v>2397.2266666666674</v>
      </c>
      <c r="J41" s="148">
        <f t="shared" si="33"/>
        <v>2397.2266666666674</v>
      </c>
    </row>
    <row r="42" spans="1:10" ht="12.75" hidden="1" outlineLevel="1">
      <c r="A42" s="73" t="s">
        <v>84</v>
      </c>
      <c r="B42" s="169"/>
      <c r="C42" s="147">
        <f aca="true" t="shared" si="34" ref="C42:I42">C39+C40-C41</f>
        <v>34759.786666666674</v>
      </c>
      <c r="D42" s="147">
        <f t="shared" si="34"/>
        <v>32362.560000000005</v>
      </c>
      <c r="E42" s="147">
        <f t="shared" si="34"/>
        <v>29965.333333333336</v>
      </c>
      <c r="F42" s="147">
        <f t="shared" si="34"/>
        <v>27568.106666666667</v>
      </c>
      <c r="G42" s="147">
        <f t="shared" si="34"/>
        <v>25170.879999999997</v>
      </c>
      <c r="H42" s="147">
        <f t="shared" si="34"/>
        <v>22773.65333333333</v>
      </c>
      <c r="I42" s="147">
        <f t="shared" si="34"/>
        <v>20376.42666666666</v>
      </c>
      <c r="J42" s="147">
        <f>J39+J40-J41</f>
        <v>17979.19999999999</v>
      </c>
    </row>
    <row r="43" spans="1:10" ht="12.75" hidden="1" outlineLevel="1">
      <c r="A43" s="71" t="str">
        <f>Инв!A12</f>
        <v>Прочие</v>
      </c>
      <c r="C43" s="138"/>
      <c r="D43" s="138"/>
      <c r="E43" s="138"/>
      <c r="F43" s="138"/>
      <c r="G43" s="138"/>
      <c r="H43" s="138"/>
      <c r="I43" s="138"/>
      <c r="J43" s="138"/>
    </row>
    <row r="44" spans="1:10" ht="12.75" hidden="1" outlineLevel="1">
      <c r="A44" s="73" t="s">
        <v>80</v>
      </c>
      <c r="B44" s="170">
        <f>1/10</f>
        <v>0.1</v>
      </c>
      <c r="C44" s="73"/>
      <c r="D44" s="73"/>
      <c r="E44" s="73"/>
      <c r="F44" s="73"/>
      <c r="G44" s="73"/>
      <c r="H44" s="73"/>
      <c r="I44" s="73"/>
      <c r="J44" s="73"/>
    </row>
    <row r="45" spans="1:10" ht="12.75" hidden="1" outlineLevel="1">
      <c r="A45" s="73" t="s">
        <v>81</v>
      </c>
      <c r="B45" s="169"/>
      <c r="C45" s="147"/>
      <c r="D45" s="147">
        <f aca="true" t="shared" si="35" ref="D45:J45">C48</f>
        <v>6570.2</v>
      </c>
      <c r="E45" s="147">
        <f t="shared" si="35"/>
        <v>5878.599999999999</v>
      </c>
      <c r="F45" s="147">
        <f t="shared" si="35"/>
        <v>5186.999999999999</v>
      </c>
      <c r="G45" s="147">
        <f t="shared" si="35"/>
        <v>4495.399999999999</v>
      </c>
      <c r="H45" s="147">
        <f t="shared" si="35"/>
        <v>3803.799999999999</v>
      </c>
      <c r="I45" s="147">
        <f t="shared" si="35"/>
        <v>3112.199999999999</v>
      </c>
      <c r="J45" s="147">
        <f t="shared" si="35"/>
        <v>2420.599999999999</v>
      </c>
    </row>
    <row r="46" spans="1:10" ht="12.75" hidden="1" outlineLevel="1">
      <c r="A46" s="73" t="s">
        <v>82</v>
      </c>
      <c r="B46" s="169"/>
      <c r="C46" s="147">
        <f>Инв!C21</f>
        <v>6916</v>
      </c>
      <c r="D46" s="147"/>
      <c r="E46" s="147"/>
      <c r="F46" s="147"/>
      <c r="G46" s="147"/>
      <c r="H46" s="147"/>
      <c r="I46" s="147"/>
      <c r="J46" s="147"/>
    </row>
    <row r="47" spans="1:10" ht="12.75" hidden="1" outlineLevel="1">
      <c r="A47" s="149" t="s">
        <v>83</v>
      </c>
      <c r="B47" s="149"/>
      <c r="C47" s="148">
        <f>$C46*$B44/12*6</f>
        <v>345.8</v>
      </c>
      <c r="D47" s="148">
        <f>$C46*$B44</f>
        <v>691.6</v>
      </c>
      <c r="E47" s="148">
        <f aca="true" t="shared" si="36" ref="E47:J47">$C46*$B44</f>
        <v>691.6</v>
      </c>
      <c r="F47" s="148">
        <f t="shared" si="36"/>
        <v>691.6</v>
      </c>
      <c r="G47" s="148">
        <f t="shared" si="36"/>
        <v>691.6</v>
      </c>
      <c r="H47" s="148">
        <f t="shared" si="36"/>
        <v>691.6</v>
      </c>
      <c r="I47" s="148">
        <f t="shared" si="36"/>
        <v>691.6</v>
      </c>
      <c r="J47" s="148">
        <f t="shared" si="36"/>
        <v>691.6</v>
      </c>
    </row>
    <row r="48" spans="1:10" ht="12.75" hidden="1" outlineLevel="1">
      <c r="A48" s="73" t="s">
        <v>84</v>
      </c>
      <c r="B48" s="169"/>
      <c r="C48" s="147">
        <f aca="true" t="shared" si="37" ref="C48:I48">C45+C46-C47</f>
        <v>6570.2</v>
      </c>
      <c r="D48" s="147">
        <f t="shared" si="37"/>
        <v>5878.599999999999</v>
      </c>
      <c r="E48" s="147">
        <f t="shared" si="37"/>
        <v>5186.999999999999</v>
      </c>
      <c r="F48" s="147">
        <f t="shared" si="37"/>
        <v>4495.399999999999</v>
      </c>
      <c r="G48" s="147">
        <f t="shared" si="37"/>
        <v>3803.799999999999</v>
      </c>
      <c r="H48" s="147">
        <f t="shared" si="37"/>
        <v>3112.199999999999</v>
      </c>
      <c r="I48" s="147">
        <f t="shared" si="37"/>
        <v>2420.599999999999</v>
      </c>
      <c r="J48" s="147">
        <f>J45+J46-J47</f>
        <v>1728.999999999999</v>
      </c>
    </row>
    <row r="49" ht="12.75" collapsed="1"/>
  </sheetData>
  <sheetProtection/>
  <printOptions/>
  <pageMargins left="0.2" right="0.2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2013-09-14T08:22:45Z</cp:lastPrinted>
  <dcterms:created xsi:type="dcterms:W3CDTF">2006-03-01T15:11:19Z</dcterms:created>
  <dcterms:modified xsi:type="dcterms:W3CDTF">2013-09-24T07:58:20Z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