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Проект!$A$887:$L$887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Компания!$J:$J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Проект!$F$98:$J$98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Проект!$J:$J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Проект!$F$86:$J$86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Проект!$F$461:$J$495</definedName>
    <definedName name="SENS_Discount" localSheetId="1">Проект!$B$1118</definedName>
    <definedName name="SENS_GenExp" localSheetId="1">Проект!$G$375:$J$383</definedName>
    <definedName name="SENS_Materials" localSheetId="1">Проект!$F$189:$J$191</definedName>
    <definedName name="SENS_Parameter">Анализ!$E$9</definedName>
    <definedName name="SENS_Prices" localSheetId="1">Проект!$F$130:$J$140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Проект!$G$123:$J$125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Сумм!$J:$J</definedName>
    <definedName name="SUMM_PrjList">Сумм!$A$6</definedName>
    <definedName name="Table_1" localSheetId="0">Компания!$A$14:$L$79</definedName>
    <definedName name="Table_1" localSheetId="1">Проект!$A$86:$L$110</definedName>
    <definedName name="Table_1" localSheetId="2">Сумм!$A$11:$L$44</definedName>
    <definedName name="Table_10" localSheetId="1">Проект!$A$322:$L$383</definedName>
    <definedName name="Table_11" localSheetId="1">Проект!$A$386:$L$495</definedName>
    <definedName name="Table_12" localSheetId="1">Проект!$A$498:$L$529</definedName>
    <definedName name="Table_13" localSheetId="1">Проект!$A$532:$L$591</definedName>
    <definedName name="Table_14" localSheetId="1">Проект!$A$594:$L$607</definedName>
    <definedName name="Table_15" localSheetId="1">Проект!$A$610:$L$640</definedName>
    <definedName name="Table_16" localSheetId="1">Проект!$A$643:$L$667</definedName>
    <definedName name="Table_17" localSheetId="1">Проект!$A$670:$L$745</definedName>
    <definedName name="Table_18" localSheetId="1">Проект!$A$748:$L$772</definedName>
    <definedName name="Table_19" localSheetId="1">Проект!$A$825:$L$853</definedName>
    <definedName name="Table_2" localSheetId="0">Компания!$A$82:$L$103</definedName>
    <definedName name="Table_2" localSheetId="1">Проект!$A$113:$L$118</definedName>
    <definedName name="Table_2" localSheetId="2">Сумм!$A$47:$L$94</definedName>
    <definedName name="Table_20" localSheetId="1">Проект!$A$856:$L$887</definedName>
    <definedName name="Table_21" localSheetId="1">Проект!$A$940:$L$978</definedName>
    <definedName name="Table_22" localSheetId="1">Проект!$A$1007:$L$1034</definedName>
    <definedName name="Table_23" localSheetId="1">Проект!$A$1112:$L$1153</definedName>
    <definedName name="Table_24" localSheetId="1">Проект!$A$1181:$L$1203</definedName>
    <definedName name="Table_25" localSheetId="1">Проект!$A$1206:$L$1252</definedName>
    <definedName name="Table_26" localSheetId="1">Проект!$A$1255:$L$1281</definedName>
    <definedName name="Table_3" localSheetId="0">Компания!$A$106:$L$131</definedName>
    <definedName name="Table_3" localSheetId="1">Проект!$A$121:$L$125</definedName>
    <definedName name="Table_3" localSheetId="2">Сумм!$A$147:$L$197</definedName>
    <definedName name="Table_4" localSheetId="0">Компания!$A$134:$L$153</definedName>
    <definedName name="Table_4" localSheetId="1">Проект!$A$128:$L$140</definedName>
    <definedName name="Table_4" localSheetId="2">Сумм!$A$250:$L$317</definedName>
    <definedName name="Table_5" localSheetId="0">Компания!$A$156:$L$176</definedName>
    <definedName name="Table_5" localSheetId="1">Проект!$A$143:$L$184</definedName>
    <definedName name="Table_5" localSheetId="2">Сумм!$A$346:$L$373</definedName>
    <definedName name="Table_6" localSheetId="0">Компания!$A$179:$L$201</definedName>
    <definedName name="Table_6" localSheetId="1">Проект!$A$187:$L$191</definedName>
    <definedName name="Table_6" localSheetId="2">Сумм!$A$451:$L$490</definedName>
    <definedName name="Table_7" localSheetId="0">Компания!$A$204:$L$225</definedName>
    <definedName name="Table_7" localSheetId="1">Проект!$A$194:$L$198</definedName>
    <definedName name="Table_7" localSheetId="2">Сумм!$A$518:$L$540</definedName>
    <definedName name="Table_8" localSheetId="0">Компания!$A$228:$L$259</definedName>
    <definedName name="Table_8" localSheetId="1">Проект!$A$201:$L$274</definedName>
    <definedName name="Table_8" localSheetId="2">Сумм!$A$543:$L$568</definedName>
    <definedName name="Table_9" localSheetId="0">Компания!$A$262:$L$301</definedName>
    <definedName name="Table_9" localSheetId="1">Проект!$A$277:$L$319</definedName>
    <definedName name="TotalInvestments" localSheetId="1">Проект!$L$645</definedName>
    <definedName name="TotalProfit" localSheetId="1">Проект!$L$769</definedName>
    <definedName name="TotalProfit" localSheetId="2">Сумм!$L$87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5725"/>
</workbook>
</file>

<file path=xl/calcChain.xml><?xml version="1.0" encoding="utf-8"?>
<calcChain xmlns="http://schemas.openxmlformats.org/spreadsheetml/2006/main">
  <c r="A1" i="1"/>
  <c r="D252"/>
  <c r="A252"/>
  <c r="D251"/>
  <c r="A251"/>
  <c r="D250"/>
  <c r="A250"/>
  <c r="D249"/>
  <c r="A249"/>
  <c r="D248"/>
  <c r="B248"/>
  <c r="A248"/>
  <c r="D247"/>
  <c r="A247"/>
  <c r="D246"/>
  <c r="C246"/>
  <c r="B246"/>
  <c r="A246"/>
  <c r="D245"/>
  <c r="C245"/>
  <c r="B245"/>
  <c r="B244" s="1"/>
  <c r="A245"/>
  <c r="D244"/>
  <c r="A244"/>
  <c r="C243"/>
  <c r="B243"/>
  <c r="A243"/>
  <c r="D242"/>
  <c r="A242"/>
  <c r="D241"/>
  <c r="A241"/>
  <c r="A240"/>
  <c r="D239"/>
  <c r="A239"/>
  <c r="D238"/>
  <c r="B238"/>
  <c r="A238"/>
  <c r="F237"/>
  <c r="D237"/>
  <c r="A237"/>
  <c r="D236"/>
  <c r="A236"/>
  <c r="D235"/>
  <c r="A235"/>
  <c r="D234"/>
  <c r="A234"/>
  <c r="D233"/>
  <c r="A233"/>
  <c r="D232"/>
  <c r="A232"/>
  <c r="C231"/>
  <c r="A231"/>
  <c r="C230"/>
  <c r="A230"/>
  <c r="C229"/>
  <c r="A229"/>
  <c r="D228"/>
  <c r="A228"/>
  <c r="A190"/>
  <c r="D170"/>
  <c r="A170"/>
  <c r="D169"/>
  <c r="A169"/>
  <c r="D168"/>
  <c r="A168"/>
  <c r="D167"/>
  <c r="A167"/>
  <c r="D166"/>
  <c r="A166"/>
  <c r="D165"/>
  <c r="A165"/>
  <c r="D164"/>
  <c r="C164"/>
  <c r="B164"/>
  <c r="A164"/>
  <c r="D163"/>
  <c r="C163"/>
  <c r="B163"/>
  <c r="B162" s="1"/>
  <c r="A163"/>
  <c r="D162"/>
  <c r="A162"/>
  <c r="C161"/>
  <c r="B161"/>
  <c r="A161"/>
  <c r="D160"/>
  <c r="A160"/>
  <c r="D159"/>
  <c r="A159"/>
  <c r="D158"/>
  <c r="A158"/>
  <c r="B139"/>
  <c r="A139"/>
  <c r="A138"/>
  <c r="A137"/>
  <c r="G136"/>
  <c r="C136"/>
  <c r="B136"/>
  <c r="A136"/>
  <c r="A135"/>
  <c r="J124"/>
  <c r="I124"/>
  <c r="H124"/>
  <c r="G124"/>
  <c r="G235" s="1"/>
  <c r="C124"/>
  <c r="A124"/>
  <c r="A197" s="1"/>
  <c r="J301" i="3"/>
  <c r="J269"/>
  <c r="J38"/>
  <c r="J37"/>
  <c r="J297" i="2"/>
  <c r="J290"/>
  <c r="J300" i="3" s="1"/>
  <c r="J252" i="2"/>
  <c r="J251"/>
  <c r="J249"/>
  <c r="J245"/>
  <c r="J200"/>
  <c r="J174"/>
  <c r="J158"/>
  <c r="J278" s="1"/>
  <c r="J1236" i="1"/>
  <c r="J1231"/>
  <c r="J878"/>
  <c r="J184" i="3" s="1"/>
  <c r="J183" s="1"/>
  <c r="J865" i="1"/>
  <c r="J164" i="3" s="1"/>
  <c r="J163" s="1"/>
  <c r="J695" i="1"/>
  <c r="J29" i="3" s="1"/>
  <c r="J28" s="1"/>
  <c r="J655" i="1"/>
  <c r="J596"/>
  <c r="J877" s="1"/>
  <c r="J429"/>
  <c r="J416"/>
  <c r="J406"/>
  <c r="J123"/>
  <c r="J118" s="1"/>
  <c r="J284" s="1"/>
  <c r="D627"/>
  <c r="D626"/>
  <c r="D625"/>
  <c r="D624"/>
  <c r="D623"/>
  <c r="D622"/>
  <c r="D621"/>
  <c r="D620"/>
  <c r="D619"/>
  <c r="D618"/>
  <c r="D10"/>
  <c r="G98" s="1"/>
  <c r="G97"/>
  <c r="H97"/>
  <c r="I97"/>
  <c r="J97" s="1"/>
  <c r="G27"/>
  <c r="H27"/>
  <c r="I27" s="1"/>
  <c r="F622"/>
  <c r="G622" s="1"/>
  <c r="F621"/>
  <c r="G621" s="1"/>
  <c r="G615"/>
  <c r="H615" s="1"/>
  <c r="I615" s="1"/>
  <c r="J615" s="1"/>
  <c r="G626"/>
  <c r="H626"/>
  <c r="I626" s="1"/>
  <c r="F197" i="2"/>
  <c r="G197"/>
  <c r="H197" s="1"/>
  <c r="I197" s="1"/>
  <c r="F191"/>
  <c r="G191"/>
  <c r="H191" s="1"/>
  <c r="I191" s="1"/>
  <c r="D157" i="1"/>
  <c r="D156"/>
  <c r="D155"/>
  <c r="D154"/>
  <c r="D153"/>
  <c r="D152"/>
  <c r="D151"/>
  <c r="D150"/>
  <c r="D149"/>
  <c r="D147"/>
  <c r="D146"/>
  <c r="D145"/>
  <c r="G91"/>
  <c r="G92"/>
  <c r="H94" s="1"/>
  <c r="H91"/>
  <c r="H92" s="1"/>
  <c r="B134"/>
  <c r="G131" s="1"/>
  <c r="B150"/>
  <c r="B151"/>
  <c r="B149" s="1"/>
  <c r="C150"/>
  <c r="E150"/>
  <c r="C151"/>
  <c r="E151"/>
  <c r="G29"/>
  <c r="G82" i="2" s="1"/>
  <c r="F82" s="1"/>
  <c r="G112"/>
  <c r="G101" i="1"/>
  <c r="G102"/>
  <c r="H110" i="2"/>
  <c r="H112"/>
  <c r="H101" i="1"/>
  <c r="H102"/>
  <c r="I110" i="2"/>
  <c r="J110" s="1"/>
  <c r="I112"/>
  <c r="J112" s="1"/>
  <c r="I101" i="1"/>
  <c r="J101" s="1"/>
  <c r="J102" s="1"/>
  <c r="I102"/>
  <c r="J104" s="1"/>
  <c r="B115" i="2"/>
  <c r="D227" i="1"/>
  <c r="D226"/>
  <c r="D225"/>
  <c r="D224"/>
  <c r="D223"/>
  <c r="D222"/>
  <c r="D221"/>
  <c r="D220"/>
  <c r="D219"/>
  <c r="D217"/>
  <c r="D216"/>
  <c r="D214"/>
  <c r="D213"/>
  <c r="D212"/>
  <c r="D211"/>
  <c r="D210"/>
  <c r="D209"/>
  <c r="D208"/>
  <c r="D207"/>
  <c r="D203"/>
  <c r="B223"/>
  <c r="B544"/>
  <c r="B229" s="1"/>
  <c r="G123"/>
  <c r="H123"/>
  <c r="I123"/>
  <c r="B213"/>
  <c r="B538"/>
  <c r="B240" s="1"/>
  <c r="B220"/>
  <c r="B221"/>
  <c r="B219" s="1"/>
  <c r="C220"/>
  <c r="E220" s="1"/>
  <c r="C221"/>
  <c r="E221" s="1"/>
  <c r="G118" i="2"/>
  <c r="H117"/>
  <c r="H119"/>
  <c r="I117"/>
  <c r="J117" s="1"/>
  <c r="I119"/>
  <c r="J119" s="1"/>
  <c r="B131"/>
  <c r="F92" i="1"/>
  <c r="G94" s="1"/>
  <c r="G197" s="1"/>
  <c r="I290"/>
  <c r="J290" s="1"/>
  <c r="I296"/>
  <c r="J296" s="1"/>
  <c r="G302"/>
  <c r="H302"/>
  <c r="I302" s="1"/>
  <c r="J302" s="1"/>
  <c r="G303"/>
  <c r="H303" s="1"/>
  <c r="D341"/>
  <c r="D340"/>
  <c r="D331"/>
  <c r="D330"/>
  <c r="D349"/>
  <c r="D348"/>
  <c r="D357"/>
  <c r="D356"/>
  <c r="D410"/>
  <c r="D389"/>
  <c r="B407"/>
  <c r="J407" s="1"/>
  <c r="B430"/>
  <c r="J430" s="1"/>
  <c r="B831"/>
  <c r="J831" s="1"/>
  <c r="J832" s="1"/>
  <c r="B839"/>
  <c r="J839" s="1"/>
  <c r="B331"/>
  <c r="B341"/>
  <c r="B349"/>
  <c r="B510"/>
  <c r="E504"/>
  <c r="F505"/>
  <c r="F504"/>
  <c r="F506" s="1"/>
  <c r="G507" s="1"/>
  <c r="B518"/>
  <c r="B402"/>
  <c r="J390" s="1"/>
  <c r="J402" s="1"/>
  <c r="G390"/>
  <c r="I390"/>
  <c r="B425"/>
  <c r="J411" s="1"/>
  <c r="J425" s="1"/>
  <c r="D433"/>
  <c r="B446"/>
  <c r="J434" s="1"/>
  <c r="J446" s="1"/>
  <c r="G701"/>
  <c r="H701"/>
  <c r="I701" s="1"/>
  <c r="J701" s="1"/>
  <c r="G704"/>
  <c r="H704" s="1"/>
  <c r="I704" s="1"/>
  <c r="J704" s="1"/>
  <c r="G707"/>
  <c r="H707"/>
  <c r="I707" s="1"/>
  <c r="G708"/>
  <c r="H708" s="1"/>
  <c r="G712"/>
  <c r="H712"/>
  <c r="I712" s="1"/>
  <c r="J712" s="1"/>
  <c r="G716"/>
  <c r="H716" s="1"/>
  <c r="G399"/>
  <c r="G422"/>
  <c r="F461"/>
  <c r="F473"/>
  <c r="G454"/>
  <c r="F514"/>
  <c r="G514"/>
  <c r="H514"/>
  <c r="G724"/>
  <c r="H724"/>
  <c r="I724" s="1"/>
  <c r="J724" s="1"/>
  <c r="G729"/>
  <c r="H729" s="1"/>
  <c r="H29"/>
  <c r="I29" s="1"/>
  <c r="G443"/>
  <c r="F150"/>
  <c r="F151"/>
  <c r="F152" s="1"/>
  <c r="F153" s="1"/>
  <c r="F157"/>
  <c r="F155"/>
  <c r="G210"/>
  <c r="F212"/>
  <c r="F860"/>
  <c r="F861"/>
  <c r="F480"/>
  <c r="F674" s="1"/>
  <c r="F472"/>
  <c r="F485"/>
  <c r="F684" s="1"/>
  <c r="F685"/>
  <c r="F688"/>
  <c r="F518"/>
  <c r="F638"/>
  <c r="F635" s="1"/>
  <c r="F637" s="1"/>
  <c r="F636"/>
  <c r="F631"/>
  <c r="F863" s="1"/>
  <c r="F864"/>
  <c r="F865"/>
  <c r="F869"/>
  <c r="F522"/>
  <c r="F486"/>
  <c r="F871" s="1"/>
  <c r="F872"/>
  <c r="F596"/>
  <c r="F877" s="1"/>
  <c r="F878"/>
  <c r="F629"/>
  <c r="F879"/>
  <c r="F630"/>
  <c r="F880" s="1"/>
  <c r="G118"/>
  <c r="G284" s="1"/>
  <c r="G283" s="1"/>
  <c r="G307" s="1"/>
  <c r="G289"/>
  <c r="G308" s="1"/>
  <c r="G295"/>
  <c r="G309" s="1"/>
  <c r="G315" s="1"/>
  <c r="G301"/>
  <c r="G310" s="1"/>
  <c r="G316" s="1"/>
  <c r="G416"/>
  <c r="G480" s="1"/>
  <c r="G674" s="1"/>
  <c r="G573" s="1"/>
  <c r="G407"/>
  <c r="G472"/>
  <c r="G430"/>
  <c r="G485"/>
  <c r="G831"/>
  <c r="G832" s="1"/>
  <c r="G839"/>
  <c r="G840" s="1"/>
  <c r="G331"/>
  <c r="G341"/>
  <c r="G349"/>
  <c r="G357"/>
  <c r="G518"/>
  <c r="G706"/>
  <c r="G714"/>
  <c r="G516"/>
  <c r="G528" s="1"/>
  <c r="F467"/>
  <c r="F479"/>
  <c r="F516"/>
  <c r="F528" s="1"/>
  <c r="F955" s="1"/>
  <c r="F278" i="3" s="1"/>
  <c r="G726" i="1"/>
  <c r="G517"/>
  <c r="G529" s="1"/>
  <c r="G406"/>
  <c r="G471" s="1"/>
  <c r="G429"/>
  <c r="G484" s="1"/>
  <c r="G837"/>
  <c r="G741"/>
  <c r="G734"/>
  <c r="G865"/>
  <c r="G522"/>
  <c r="E156"/>
  <c r="E154"/>
  <c r="G470"/>
  <c r="G483"/>
  <c r="G873" s="1"/>
  <c r="G177" i="3" s="1"/>
  <c r="G176" s="1"/>
  <c r="G596" i="1"/>
  <c r="G877"/>
  <c r="G878"/>
  <c r="H118"/>
  <c r="H283"/>
  <c r="H307" s="1"/>
  <c r="H289"/>
  <c r="H308" s="1"/>
  <c r="H295"/>
  <c r="H309" s="1"/>
  <c r="H315" s="1"/>
  <c r="H416"/>
  <c r="H480" s="1"/>
  <c r="H674" s="1"/>
  <c r="H573" s="1"/>
  <c r="H407"/>
  <c r="H472" s="1"/>
  <c r="H684" s="1"/>
  <c r="H430"/>
  <c r="H485"/>
  <c r="H831"/>
  <c r="H832" s="1"/>
  <c r="H839"/>
  <c r="H840" s="1"/>
  <c r="H341"/>
  <c r="H518"/>
  <c r="B403"/>
  <c r="G402"/>
  <c r="I402"/>
  <c r="B426"/>
  <c r="B447"/>
  <c r="H516"/>
  <c r="H528" s="1"/>
  <c r="H517"/>
  <c r="H529"/>
  <c r="H406"/>
  <c r="H471" s="1"/>
  <c r="H429"/>
  <c r="H484" s="1"/>
  <c r="H837"/>
  <c r="I837" s="1"/>
  <c r="J837" s="1"/>
  <c r="G106"/>
  <c r="H106"/>
  <c r="H109" s="1"/>
  <c r="H734"/>
  <c r="H865"/>
  <c r="H522"/>
  <c r="H470"/>
  <c r="H483"/>
  <c r="H596"/>
  <c r="H877" s="1"/>
  <c r="H878"/>
  <c r="I118"/>
  <c r="I284" s="1"/>
  <c r="I416"/>
  <c r="I480" s="1"/>
  <c r="I674" s="1"/>
  <c r="I573" s="1"/>
  <c r="I407"/>
  <c r="I472" s="1"/>
  <c r="I430"/>
  <c r="I485" s="1"/>
  <c r="I831"/>
  <c r="I832" s="1"/>
  <c r="I839"/>
  <c r="I840" s="1"/>
  <c r="I517"/>
  <c r="I529" s="1"/>
  <c r="I406"/>
  <c r="I471"/>
  <c r="I429"/>
  <c r="I484"/>
  <c r="I106"/>
  <c r="I734"/>
  <c r="J734" s="1"/>
  <c r="I865"/>
  <c r="I470"/>
  <c r="I483"/>
  <c r="I596"/>
  <c r="I877" s="1"/>
  <c r="I878"/>
  <c r="F167" i="2"/>
  <c r="F158"/>
  <c r="G162"/>
  <c r="G163"/>
  <c r="G164" s="1"/>
  <c r="G165" s="1"/>
  <c r="G158"/>
  <c r="H162"/>
  <c r="H163"/>
  <c r="H158"/>
  <c r="I162"/>
  <c r="J162" s="1"/>
  <c r="I158"/>
  <c r="B169"/>
  <c r="F168"/>
  <c r="B224"/>
  <c r="B176"/>
  <c r="B520" i="3"/>
  <c r="B521"/>
  <c r="F521" s="1"/>
  <c r="G521" s="1"/>
  <c r="F186" i="2"/>
  <c r="G186"/>
  <c r="H186" s="1"/>
  <c r="I186"/>
  <c r="J186" s="1"/>
  <c r="J295" s="1"/>
  <c r="F296"/>
  <c r="G198"/>
  <c r="G192"/>
  <c r="G174"/>
  <c r="H198"/>
  <c r="H192"/>
  <c r="H219" s="1"/>
  <c r="H235" s="1"/>
  <c r="H174"/>
  <c r="I198"/>
  <c r="I192"/>
  <c r="I219"/>
  <c r="I235" s="1"/>
  <c r="I174"/>
  <c r="B456" i="1"/>
  <c r="F259" i="2"/>
  <c r="F137"/>
  <c r="F138"/>
  <c r="F139"/>
  <c r="F140"/>
  <c r="F142"/>
  <c r="F144"/>
  <c r="F153" s="1"/>
  <c r="F146"/>
  <c r="F148"/>
  <c r="F149"/>
  <c r="F151"/>
  <c r="G245"/>
  <c r="G249"/>
  <c r="G251"/>
  <c r="G252"/>
  <c r="H245"/>
  <c r="H249"/>
  <c r="H251"/>
  <c r="H252"/>
  <c r="I245"/>
  <c r="I249"/>
  <c r="I251"/>
  <c r="I252"/>
  <c r="F456" i="3"/>
  <c r="G456"/>
  <c r="G457" s="1"/>
  <c r="G458" s="1"/>
  <c r="F154"/>
  <c r="F156"/>
  <c r="F34"/>
  <c r="F160"/>
  <c r="F162"/>
  <c r="F164"/>
  <c r="F163"/>
  <c r="E468"/>
  <c r="J468" s="1"/>
  <c r="E466"/>
  <c r="J466" s="1"/>
  <c r="E465"/>
  <c r="J465" s="1"/>
  <c r="E464"/>
  <c r="J464" s="1"/>
  <c r="E462"/>
  <c r="F169"/>
  <c r="F168" s="1"/>
  <c r="F242" i="2"/>
  <c r="F173" i="3"/>
  <c r="F172" s="1"/>
  <c r="F175"/>
  <c r="F244" i="2"/>
  <c r="F174" i="3"/>
  <c r="F177"/>
  <c r="F245" i="2"/>
  <c r="F176" i="3" s="1"/>
  <c r="G164"/>
  <c r="G163" s="1"/>
  <c r="H164"/>
  <c r="H163" s="1"/>
  <c r="L163" s="1"/>
  <c r="I164"/>
  <c r="I163" s="1"/>
  <c r="F182"/>
  <c r="F249" i="2"/>
  <c r="F181" i="3" s="1"/>
  <c r="F184"/>
  <c r="F183" s="1"/>
  <c r="F186"/>
  <c r="F251" i="2"/>
  <c r="F185" i="3"/>
  <c r="F252" i="2"/>
  <c r="F192" i="3"/>
  <c r="F44"/>
  <c r="F43" s="1"/>
  <c r="F191" s="1"/>
  <c r="F528" s="1"/>
  <c r="G182"/>
  <c r="G184"/>
  <c r="G183" s="1"/>
  <c r="H182"/>
  <c r="H184"/>
  <c r="H183" s="1"/>
  <c r="I182"/>
  <c r="I184"/>
  <c r="I183" s="1"/>
  <c r="E469"/>
  <c r="G468" i="1"/>
  <c r="I468"/>
  <c r="B457"/>
  <c r="F271" i="2"/>
  <c r="G271" s="1"/>
  <c r="H271" s="1"/>
  <c r="I271" s="1"/>
  <c r="J271" s="1"/>
  <c r="F272"/>
  <c r="G272" s="1"/>
  <c r="H272" s="1"/>
  <c r="I272" s="1"/>
  <c r="J272" s="1"/>
  <c r="J268" i="3" s="1"/>
  <c r="F84"/>
  <c r="F86"/>
  <c r="F90"/>
  <c r="F89" s="1"/>
  <c r="C1211" i="1"/>
  <c r="B1211" s="1"/>
  <c r="B1246"/>
  <c r="G1247" s="1"/>
  <c r="H1247" s="1"/>
  <c r="I1247" s="1"/>
  <c r="J1247" s="1"/>
  <c r="B1210"/>
  <c r="B1212"/>
  <c r="B1213"/>
  <c r="B1214"/>
  <c r="B1215"/>
  <c r="B1216"/>
  <c r="B1217"/>
  <c r="B1218"/>
  <c r="B1219"/>
  <c r="B1184"/>
  <c r="F1184" s="1"/>
  <c r="G1184" s="1"/>
  <c r="F1118"/>
  <c r="G1118"/>
  <c r="G1119" s="1"/>
  <c r="G1120" s="1"/>
  <c r="E1132"/>
  <c r="E1131"/>
  <c r="E1130"/>
  <c r="J1130" s="1"/>
  <c r="E1128"/>
  <c r="J1128" s="1"/>
  <c r="E1127"/>
  <c r="J1127" s="1"/>
  <c r="E1126"/>
  <c r="J1126" s="1"/>
  <c r="E1124"/>
  <c r="F1124"/>
  <c r="F850"/>
  <c r="G850"/>
  <c r="H850" s="1"/>
  <c r="I850" s="1"/>
  <c r="J850" s="1"/>
  <c r="G730"/>
  <c r="H730"/>
  <c r="I730" s="1"/>
  <c r="J730" s="1"/>
  <c r="G725"/>
  <c r="H725" s="1"/>
  <c r="I725" s="1"/>
  <c r="J725" s="1"/>
  <c r="G717"/>
  <c r="H717"/>
  <c r="I717" s="1"/>
  <c r="J717" s="1"/>
  <c r="G713"/>
  <c r="H713" s="1"/>
  <c r="I713" s="1"/>
  <c r="J713" s="1"/>
  <c r="G709"/>
  <c r="H709"/>
  <c r="I709" s="1"/>
  <c r="J709" s="1"/>
  <c r="G705"/>
  <c r="H705" s="1"/>
  <c r="I705" s="1"/>
  <c r="J705" s="1"/>
  <c r="G702"/>
  <c r="H702"/>
  <c r="I702" s="1"/>
  <c r="J702" s="1"/>
  <c r="G110"/>
  <c r="H110" s="1"/>
  <c r="I110" s="1"/>
  <c r="J110" s="1"/>
  <c r="G103"/>
  <c r="H103"/>
  <c r="I103" s="1"/>
  <c r="J103" s="1"/>
  <c r="G93"/>
  <c r="H93" s="1"/>
  <c r="B11"/>
  <c r="C252" s="1"/>
  <c r="F1126"/>
  <c r="G109"/>
  <c r="F1236"/>
  <c r="G1236"/>
  <c r="H1236"/>
  <c r="I1236"/>
  <c r="L1236"/>
  <c r="F1231"/>
  <c r="G1231"/>
  <c r="L1231" s="1"/>
  <c r="H1231"/>
  <c r="I1231"/>
  <c r="A1228"/>
  <c r="C1227"/>
  <c r="B1227"/>
  <c r="G973"/>
  <c r="G309" i="3" s="1"/>
  <c r="G308" s="1"/>
  <c r="G295" i="2"/>
  <c r="H973" i="1"/>
  <c r="H309" i="3" s="1"/>
  <c r="H308" s="1"/>
  <c r="H295" i="2"/>
  <c r="I973" i="1"/>
  <c r="I309" i="3" s="1"/>
  <c r="I308" s="1"/>
  <c r="I295" i="2"/>
  <c r="G975" i="1"/>
  <c r="G313" i="3" s="1"/>
  <c r="G312" s="1"/>
  <c r="G297" i="2"/>
  <c r="H975" i="1"/>
  <c r="H313" i="3" s="1"/>
  <c r="H312" s="1"/>
  <c r="H297" i="2"/>
  <c r="I975" i="1"/>
  <c r="I313" i="3" s="1"/>
  <c r="I312" s="1"/>
  <c r="I297" i="2"/>
  <c r="F975" i="1"/>
  <c r="F313" i="3" s="1"/>
  <c r="F312" s="1"/>
  <c r="F297" i="2"/>
  <c r="F974" i="1"/>
  <c r="F311" i="3"/>
  <c r="F310" s="1"/>
  <c r="F973" i="1"/>
  <c r="F309" i="3" s="1"/>
  <c r="F295" i="2"/>
  <c r="G293"/>
  <c r="H293"/>
  <c r="I293"/>
  <c r="F971" i="1"/>
  <c r="F306" i="3" s="1"/>
  <c r="F293" i="2"/>
  <c r="F305" i="3" s="1"/>
  <c r="G289" i="2"/>
  <c r="H289"/>
  <c r="I289"/>
  <c r="G301" i="3"/>
  <c r="G290" i="2"/>
  <c r="H301" i="3"/>
  <c r="H290" i="2"/>
  <c r="H300" i="3"/>
  <c r="I301"/>
  <c r="I290" i="2"/>
  <c r="I300" i="3" s="1"/>
  <c r="F301"/>
  <c r="F290" i="2"/>
  <c r="F300" i="3"/>
  <c r="F967" i="1"/>
  <c r="F299" i="3" s="1"/>
  <c r="F298" s="1"/>
  <c r="F289" i="2"/>
  <c r="F154" i="1"/>
  <c r="F288" i="2"/>
  <c r="F965" i="1"/>
  <c r="F295" i="3" s="1"/>
  <c r="F294" s="1"/>
  <c r="F287" i="2"/>
  <c r="F964" i="1"/>
  <c r="F293" i="3" s="1"/>
  <c r="F292" s="1"/>
  <c r="F286" i="2"/>
  <c r="F284"/>
  <c r="F283" s="1"/>
  <c r="G278"/>
  <c r="H278"/>
  <c r="I278"/>
  <c r="F278"/>
  <c r="F277"/>
  <c r="F954" i="1"/>
  <c r="G695"/>
  <c r="H695"/>
  <c r="I695"/>
  <c r="G269" i="3"/>
  <c r="G268" s="1"/>
  <c r="H269"/>
  <c r="H268" s="1"/>
  <c r="I269"/>
  <c r="I268" s="1"/>
  <c r="F269"/>
  <c r="F268" s="1"/>
  <c r="F492" i="1"/>
  <c r="F949" s="1"/>
  <c r="F267" i="3" s="1"/>
  <c r="F266" s="1"/>
  <c r="F270" i="2"/>
  <c r="F947" i="1"/>
  <c r="F263" i="3" s="1"/>
  <c r="F269" i="2"/>
  <c r="F946" i="1"/>
  <c r="F261" i="3" s="1"/>
  <c r="F268" i="2"/>
  <c r="F945" i="1"/>
  <c r="F259" i="3" s="1"/>
  <c r="F267" i="2"/>
  <c r="F266"/>
  <c r="F156" i="1"/>
  <c r="F265" i="2"/>
  <c r="F264"/>
  <c r="F82" i="3"/>
  <c r="F80"/>
  <c r="F79" s="1"/>
  <c r="F78"/>
  <c r="F76"/>
  <c r="F74"/>
  <c r="F73"/>
  <c r="F72"/>
  <c r="F70"/>
  <c r="F68"/>
  <c r="F66"/>
  <c r="F64"/>
  <c r="F62"/>
  <c r="F60"/>
  <c r="F58"/>
  <c r="F56"/>
  <c r="F54"/>
  <c r="F52"/>
  <c r="F50"/>
  <c r="L254" i="2"/>
  <c r="L252"/>
  <c r="L251"/>
  <c r="L249"/>
  <c r="L245"/>
  <c r="L243"/>
  <c r="L241"/>
  <c r="L237"/>
  <c r="L221"/>
  <c r="L218"/>
  <c r="G1274" i="1"/>
  <c r="H1274"/>
  <c r="I1274"/>
  <c r="F1274"/>
  <c r="C374"/>
  <c r="A374"/>
  <c r="C338"/>
  <c r="A338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4"/>
  <c r="F553"/>
  <c r="L184"/>
  <c r="L183"/>
  <c r="L164"/>
  <c r="F92"/>
  <c r="F88"/>
  <c r="F42"/>
  <c r="F41" s="1"/>
  <c r="F40"/>
  <c r="F39" s="1"/>
  <c r="F38"/>
  <c r="G38"/>
  <c r="H38"/>
  <c r="H37" s="1"/>
  <c r="I38"/>
  <c r="I37" s="1"/>
  <c r="F37"/>
  <c r="F36"/>
  <c r="F35" s="1"/>
  <c r="G29"/>
  <c r="G28" s="1"/>
  <c r="H29"/>
  <c r="H28" s="1"/>
  <c r="I29"/>
  <c r="I28"/>
  <c r="B19" i="1"/>
  <c r="C317" i="3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B12" i="1"/>
  <c r="L32"/>
  <c r="H30"/>
  <c r="G30"/>
  <c r="A525" i="3"/>
  <c r="G1232" i="1"/>
  <c r="G1233"/>
  <c r="G1234"/>
  <c r="G1237"/>
  <c r="G1238"/>
  <c r="G1239"/>
  <c r="F1237"/>
  <c r="F1238"/>
  <c r="F1239"/>
  <c r="F1232"/>
  <c r="F1233"/>
  <c r="F1234"/>
  <c r="A1249"/>
  <c r="A1248"/>
  <c r="A1188"/>
  <c r="F1193"/>
  <c r="F976"/>
  <c r="F1191"/>
  <c r="A543" i="3"/>
  <c r="A104" i="1"/>
  <c r="A94"/>
  <c r="A103"/>
  <c r="A93"/>
  <c r="A471" i="3"/>
  <c r="A1134" i="1"/>
  <c r="A317"/>
  <c r="A316"/>
  <c r="A315"/>
  <c r="A314"/>
  <c r="A313"/>
  <c r="A312"/>
  <c r="H28"/>
  <c r="H32" s="1"/>
  <c r="I28"/>
  <c r="I32" s="1"/>
  <c r="G28"/>
  <c r="G32" s="1"/>
  <c r="F634"/>
  <c r="F633"/>
  <c r="F632"/>
  <c r="C633"/>
  <c r="C634"/>
  <c r="A634"/>
  <c r="A346"/>
  <c r="A345"/>
  <c r="A354"/>
  <c r="A353"/>
  <c r="A336"/>
  <c r="A335"/>
  <c r="A328"/>
  <c r="A327"/>
  <c r="G469" i="3"/>
  <c r="H469"/>
  <c r="I469"/>
  <c r="G1132" i="1"/>
  <c r="H1132"/>
  <c r="I1132"/>
  <c r="A638"/>
  <c r="A633"/>
  <c r="A627"/>
  <c r="A626"/>
  <c r="A625"/>
  <c r="A624"/>
  <c r="C614"/>
  <c r="C619"/>
  <c r="A619"/>
  <c r="C627"/>
  <c r="C625"/>
  <c r="C624"/>
  <c r="L410"/>
  <c r="C455" i="3"/>
  <c r="C469" s="1"/>
  <c r="B469"/>
  <c r="A469"/>
  <c r="A1132" i="1"/>
  <c r="C454" i="3"/>
  <c r="A454"/>
  <c r="F1131" i="1"/>
  <c r="B1132"/>
  <c r="B459"/>
  <c r="A1116"/>
  <c r="A1115"/>
  <c r="C1116"/>
  <c r="C1115"/>
  <c r="C741"/>
  <c r="C742"/>
  <c r="C743"/>
  <c r="A743"/>
  <c r="A742"/>
  <c r="A741"/>
  <c r="C354"/>
  <c r="C353"/>
  <c r="C346"/>
  <c r="C345"/>
  <c r="C363"/>
  <c r="C364"/>
  <c r="C365"/>
  <c r="C366"/>
  <c r="C367"/>
  <c r="C368"/>
  <c r="C369"/>
  <c r="C370"/>
  <c r="A372"/>
  <c r="A373"/>
  <c r="A370"/>
  <c r="A369"/>
  <c r="A368"/>
  <c r="A367"/>
  <c r="A366"/>
  <c r="A365"/>
  <c r="A364"/>
  <c r="A363"/>
  <c r="G345"/>
  <c r="G346"/>
  <c r="G353"/>
  <c r="G354"/>
  <c r="A371"/>
  <c r="A362"/>
  <c r="C362"/>
  <c r="H345"/>
  <c r="H346"/>
  <c r="C327"/>
  <c r="C328"/>
  <c r="C336"/>
  <c r="C359"/>
  <c r="C372"/>
  <c r="C373"/>
  <c r="C300"/>
  <c r="B300"/>
  <c r="C294"/>
  <c r="B294"/>
  <c r="C288"/>
  <c r="B288"/>
  <c r="C281"/>
  <c r="A281"/>
  <c r="F102"/>
  <c r="G104" s="1"/>
  <c r="H104"/>
  <c r="I104"/>
  <c r="A98"/>
  <c r="A7" i="3"/>
  <c r="A44" s="1"/>
  <c r="A42"/>
  <c r="A38"/>
  <c r="A34"/>
  <c r="A29"/>
  <c r="A25"/>
  <c r="A21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465"/>
  <c r="F466"/>
  <c r="F464"/>
  <c r="F468"/>
  <c r="G465"/>
  <c r="G466"/>
  <c r="G464"/>
  <c r="G468"/>
  <c r="H465"/>
  <c r="H466"/>
  <c r="H464"/>
  <c r="H468"/>
  <c r="I465"/>
  <c r="I466"/>
  <c r="I464"/>
  <c r="I468"/>
  <c r="A476"/>
  <c r="A1139" i="1"/>
  <c r="B490" i="3"/>
  <c r="B489"/>
  <c r="B1153" i="1"/>
  <c r="B1152"/>
  <c r="G87" i="2"/>
  <c r="G90" s="1"/>
  <c r="F87"/>
  <c r="F90" s="1"/>
  <c r="F99" s="1"/>
  <c r="F103" s="1"/>
  <c r="A1" i="4"/>
  <c r="A1" i="3"/>
  <c r="A1" i="2"/>
  <c r="C685" i="1"/>
  <c r="A685"/>
  <c r="A845"/>
  <c r="A844"/>
  <c r="A843"/>
  <c r="A842"/>
  <c r="C843"/>
  <c r="C844"/>
  <c r="C845"/>
  <c r="C842"/>
  <c r="F266"/>
  <c r="A1131"/>
  <c r="G1126"/>
  <c r="G1130"/>
  <c r="H1126"/>
  <c r="H1130"/>
  <c r="I1126"/>
  <c r="I1130"/>
  <c r="F1130"/>
  <c r="B1131"/>
  <c r="C458"/>
  <c r="C457"/>
  <c r="A457"/>
  <c r="A459"/>
  <c r="A458"/>
  <c r="A456"/>
  <c r="C459"/>
  <c r="C456"/>
  <c r="F466"/>
  <c r="A482" i="3"/>
  <c r="A1145" i="1"/>
  <c r="B432"/>
  <c r="B409"/>
  <c r="B388"/>
  <c r="B188"/>
  <c r="H84" i="2"/>
  <c r="G84"/>
  <c r="F84"/>
  <c r="G48"/>
  <c r="G16"/>
  <c r="G108"/>
  <c r="B108"/>
  <c r="A108"/>
  <c r="F94" i="3"/>
  <c r="C13"/>
  <c r="H82" i="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F298"/>
  <c r="F291"/>
  <c r="F300" s="1"/>
  <c r="F273"/>
  <c r="F247"/>
  <c r="G64"/>
  <c r="C250"/>
  <c r="A250"/>
  <c r="A183" i="3"/>
  <c r="A312"/>
  <c r="A300"/>
  <c r="C297" i="2"/>
  <c r="A297"/>
  <c r="C290"/>
  <c r="A290"/>
  <c r="C968" i="1"/>
  <c r="A968"/>
  <c r="C975"/>
  <c r="A975"/>
  <c r="L878"/>
  <c r="C878"/>
  <c r="A878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G200"/>
  <c r="L200"/>
  <c r="L196"/>
  <c r="L195"/>
  <c r="L190"/>
  <c r="L189"/>
  <c r="L185"/>
  <c r="F165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659" i="1"/>
  <c r="A652"/>
  <c r="A645"/>
  <c r="A657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667" i="1"/>
  <c r="C666"/>
  <c r="A666"/>
  <c r="A9" i="4"/>
  <c r="F9"/>
  <c r="G9" s="1"/>
  <c r="H9" s="1"/>
  <c r="I9" s="1"/>
  <c r="J9" s="1"/>
  <c r="K9" s="1"/>
  <c r="L9" s="1"/>
  <c r="A337" i="1"/>
  <c r="A326"/>
  <c r="C306"/>
  <c r="A306"/>
  <c r="C337"/>
  <c r="C335"/>
  <c r="C326"/>
  <c r="C123"/>
  <c r="C196" s="1"/>
  <c r="B560"/>
  <c r="B548"/>
  <c r="F478"/>
  <c r="A455"/>
  <c r="A454"/>
  <c r="A453"/>
  <c r="A452"/>
  <c r="A451"/>
  <c r="A450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C128"/>
  <c r="C129"/>
  <c r="G14"/>
  <c r="G26"/>
  <c r="G45"/>
  <c r="G46"/>
  <c r="G59"/>
  <c r="G78"/>
  <c r="G79" s="1"/>
  <c r="C115"/>
  <c r="C131"/>
  <c r="C124"/>
  <c r="C125"/>
  <c r="C126"/>
  <c r="C127"/>
  <c r="C130"/>
  <c r="C123"/>
  <c r="C121"/>
  <c r="C114"/>
  <c r="L106"/>
  <c r="L156"/>
  <c r="L179"/>
  <c r="L228"/>
  <c r="L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I262"/>
  <c r="H262"/>
  <c r="F86" i="1"/>
  <c r="I228" i="2"/>
  <c r="H228"/>
  <c r="I204"/>
  <c r="H204"/>
  <c r="I179"/>
  <c r="H179"/>
  <c r="C655" i="1"/>
  <c r="L543" i="3"/>
  <c r="B556"/>
  <c r="A568"/>
  <c r="C566"/>
  <c r="A566"/>
  <c r="C565"/>
  <c r="A565"/>
  <c r="C564"/>
  <c r="A564"/>
  <c r="C562"/>
  <c r="A562"/>
  <c r="C559"/>
  <c r="A559"/>
  <c r="A558"/>
  <c r="C557"/>
  <c r="A557"/>
  <c r="A556"/>
  <c r="C553"/>
  <c r="A553"/>
  <c r="C552"/>
  <c r="A552"/>
  <c r="C549"/>
  <c r="A549"/>
  <c r="C548"/>
  <c r="A548"/>
  <c r="C547"/>
  <c r="A547"/>
  <c r="C546"/>
  <c r="A546"/>
  <c r="C545"/>
  <c r="A545"/>
  <c r="I543"/>
  <c r="H543"/>
  <c r="F543"/>
  <c r="C667" i="1"/>
  <c r="F664"/>
  <c r="F661"/>
  <c r="F662"/>
  <c r="G654"/>
  <c r="H654"/>
  <c r="I654"/>
  <c r="G655"/>
  <c r="H655"/>
  <c r="I655"/>
  <c r="L657"/>
  <c r="F656"/>
  <c r="F652" s="1"/>
  <c r="F655"/>
  <c r="L655"/>
  <c r="F654"/>
  <c r="F647"/>
  <c r="F648"/>
  <c r="F645" s="1"/>
  <c r="F649"/>
  <c r="F650"/>
  <c r="C648"/>
  <c r="C649"/>
  <c r="C650"/>
  <c r="C656"/>
  <c r="C657"/>
  <c r="C663"/>
  <c r="C662"/>
  <c r="C664"/>
  <c r="C661"/>
  <c r="C659"/>
  <c r="C654"/>
  <c r="C652"/>
  <c r="C647"/>
  <c r="C645"/>
  <c r="A662"/>
  <c r="A664"/>
  <c r="A663"/>
  <c r="A661"/>
  <c r="A655"/>
  <c r="A656"/>
  <c r="A654"/>
  <c r="A650"/>
  <c r="A649"/>
  <c r="A648"/>
  <c r="A647"/>
  <c r="A605"/>
  <c r="L643"/>
  <c r="I643"/>
  <c r="H643"/>
  <c r="F643"/>
  <c r="L605"/>
  <c r="C607"/>
  <c r="C605"/>
  <c r="C596"/>
  <c r="A9" i="2"/>
  <c r="A492" i="3"/>
  <c r="A425"/>
  <c r="A400"/>
  <c r="A375"/>
  <c r="A224"/>
  <c r="A199"/>
  <c r="A121"/>
  <c r="A96"/>
  <c r="L11"/>
  <c r="L451"/>
  <c r="A318"/>
  <c r="A320"/>
  <c r="C520"/>
  <c r="C540" s="1"/>
  <c r="A540"/>
  <c r="A538"/>
  <c r="A537"/>
  <c r="A536"/>
  <c r="A535"/>
  <c r="A534"/>
  <c r="C533"/>
  <c r="B533"/>
  <c r="A532"/>
  <c r="A530"/>
  <c r="A529"/>
  <c r="A528"/>
  <c r="A527"/>
  <c r="A523"/>
  <c r="A522"/>
  <c r="A521"/>
  <c r="A520"/>
  <c r="A518"/>
  <c r="I518"/>
  <c r="H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I451"/>
  <c r="H451"/>
  <c r="F451"/>
  <c r="C373"/>
  <c r="A373"/>
  <c r="C372"/>
  <c r="A372"/>
  <c r="A371"/>
  <c r="C370"/>
  <c r="A370"/>
  <c r="C369"/>
  <c r="A369"/>
  <c r="C367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I346"/>
  <c r="H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I250"/>
  <c r="H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L147"/>
  <c r="L47"/>
  <c r="A147"/>
  <c r="I147"/>
  <c r="H147"/>
  <c r="F147"/>
  <c r="A39"/>
  <c r="A37"/>
  <c r="A35"/>
  <c r="A43"/>
  <c r="A41"/>
  <c r="A33"/>
  <c r="C14"/>
  <c r="A30"/>
  <c r="A20"/>
  <c r="A18"/>
  <c r="A16"/>
  <c r="A28"/>
  <c r="A26"/>
  <c r="A24"/>
  <c r="A22"/>
  <c r="I11"/>
  <c r="H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I47"/>
  <c r="H47"/>
  <c r="F47"/>
  <c r="A1219" i="1"/>
  <c r="A1218"/>
  <c r="A1221"/>
  <c r="I156" i="2"/>
  <c r="H156"/>
  <c r="I134"/>
  <c r="H134"/>
  <c r="I106"/>
  <c r="H106"/>
  <c r="C640" i="1"/>
  <c r="A607"/>
  <c r="A640"/>
  <c r="B603"/>
  <c r="C851"/>
  <c r="C850"/>
  <c r="C849"/>
  <c r="A850"/>
  <c r="F109"/>
  <c r="C572"/>
  <c r="C573"/>
  <c r="A575"/>
  <c r="A574"/>
  <c r="A573"/>
  <c r="A572"/>
  <c r="A571"/>
  <c r="C575"/>
  <c r="C583"/>
  <c r="A1247"/>
  <c r="A1252"/>
  <c r="A1251"/>
  <c r="A1250"/>
  <c r="A1246"/>
  <c r="A1244"/>
  <c r="A1243"/>
  <c r="A1241"/>
  <c r="A1239"/>
  <c r="A1238"/>
  <c r="A1237"/>
  <c r="A1236"/>
  <c r="A1235"/>
  <c r="A1234"/>
  <c r="A1233"/>
  <c r="A1232"/>
  <c r="A1231"/>
  <c r="A1230"/>
  <c r="A1226"/>
  <c r="A1224"/>
  <c r="A1223"/>
  <c r="A1217"/>
  <c r="A1216"/>
  <c r="A1215"/>
  <c r="A1214"/>
  <c r="A1213"/>
  <c r="A1212"/>
  <c r="A1211"/>
  <c r="A1210"/>
  <c r="C1209"/>
  <c r="B1209"/>
  <c r="A1208"/>
  <c r="C1252"/>
  <c r="C1251"/>
  <c r="C1244"/>
  <c r="C1243"/>
  <c r="C1237"/>
  <c r="C1238"/>
  <c r="C1239"/>
  <c r="C1232"/>
  <c r="C1233"/>
  <c r="C1234"/>
  <c r="C1236"/>
  <c r="C1231"/>
  <c r="C1224"/>
  <c r="C1223"/>
  <c r="A1280"/>
  <c r="A1278"/>
  <c r="A1277"/>
  <c r="A1276"/>
  <c r="A1274"/>
  <c r="A1271"/>
  <c r="A1270"/>
  <c r="A1269"/>
  <c r="A1268"/>
  <c r="A1265"/>
  <c r="A1264"/>
  <c r="A1261"/>
  <c r="A1260"/>
  <c r="A1259"/>
  <c r="A1258"/>
  <c r="A1257"/>
  <c r="A1255"/>
  <c r="A1203"/>
  <c r="A1201"/>
  <c r="A1200"/>
  <c r="A1199"/>
  <c r="A1198"/>
  <c r="A1197"/>
  <c r="C1196"/>
  <c r="B1196"/>
  <c r="A1195"/>
  <c r="A1193"/>
  <c r="A1192"/>
  <c r="A1191"/>
  <c r="A1190"/>
  <c r="A1186"/>
  <c r="A1185"/>
  <c r="A1184"/>
  <c r="A1183"/>
  <c r="A1155"/>
  <c r="A1153"/>
  <c r="A1152"/>
  <c r="F1127"/>
  <c r="F1128"/>
  <c r="G1127"/>
  <c r="G1128"/>
  <c r="H1127"/>
  <c r="H1128"/>
  <c r="I1127"/>
  <c r="I1128"/>
  <c r="A1151"/>
  <c r="A1149"/>
  <c r="A1148"/>
  <c r="A1147"/>
  <c r="A1144"/>
  <c r="A1143"/>
  <c r="A1142"/>
  <c r="A1140"/>
  <c r="A1138"/>
  <c r="A1136"/>
  <c r="A1135"/>
  <c r="B1130"/>
  <c r="A1130"/>
  <c r="B1129"/>
  <c r="A1129"/>
  <c r="B1128"/>
  <c r="A1128"/>
  <c r="B1127"/>
  <c r="A1127"/>
  <c r="B1126"/>
  <c r="A1126"/>
  <c r="B1125"/>
  <c r="A1125"/>
  <c r="B1124"/>
  <c r="A1124"/>
  <c r="B1123"/>
  <c r="A1123"/>
  <c r="B1122"/>
  <c r="A1122"/>
  <c r="A1120"/>
  <c r="A1119"/>
  <c r="A1118"/>
  <c r="A1117"/>
  <c r="C1114"/>
  <c r="A1114"/>
  <c r="A1112"/>
  <c r="A1086"/>
  <c r="A1061"/>
  <c r="A1036"/>
  <c r="C1034"/>
  <c r="A1034"/>
  <c r="C1033"/>
  <c r="A1033"/>
  <c r="A1032"/>
  <c r="C1031"/>
  <c r="A1031"/>
  <c r="C1030"/>
  <c r="A1030"/>
  <c r="A1028"/>
  <c r="C1027"/>
  <c r="A1027"/>
  <c r="C1026"/>
  <c r="A1026"/>
  <c r="C1025"/>
  <c r="A1025"/>
  <c r="C1023"/>
  <c r="A1023"/>
  <c r="C1022"/>
  <c r="A1022"/>
  <c r="C1020"/>
  <c r="A1020"/>
  <c r="C1019"/>
  <c r="A1019"/>
  <c r="C1018"/>
  <c r="A1018"/>
  <c r="A1016"/>
  <c r="A1015"/>
  <c r="A1013"/>
  <c r="A1012"/>
  <c r="A1011"/>
  <c r="A1010"/>
  <c r="A1009"/>
  <c r="A1007"/>
  <c r="A981"/>
  <c r="A979"/>
  <c r="A978"/>
  <c r="A976"/>
  <c r="A974"/>
  <c r="A973"/>
  <c r="A971"/>
  <c r="A969"/>
  <c r="A967"/>
  <c r="A966"/>
  <c r="A965"/>
  <c r="A964"/>
  <c r="A963"/>
  <c r="A962"/>
  <c r="A961"/>
  <c r="A959"/>
  <c r="A957"/>
  <c r="A956"/>
  <c r="A955"/>
  <c r="A954"/>
  <c r="A953"/>
  <c r="A951"/>
  <c r="A950"/>
  <c r="A949"/>
  <c r="A948"/>
  <c r="A947"/>
  <c r="A946"/>
  <c r="A945"/>
  <c r="A944"/>
  <c r="A943"/>
  <c r="A942"/>
  <c r="A940"/>
  <c r="A887"/>
  <c r="A886"/>
  <c r="A884"/>
  <c r="A882"/>
  <c r="A881"/>
  <c r="A880"/>
  <c r="A879"/>
  <c r="A877"/>
  <c r="A875"/>
  <c r="A873"/>
  <c r="A872"/>
  <c r="A871"/>
  <c r="A870"/>
  <c r="A869"/>
  <c r="A867"/>
  <c r="A865"/>
  <c r="A864"/>
  <c r="A863"/>
  <c r="A862"/>
  <c r="A861"/>
  <c r="A860"/>
  <c r="A859"/>
  <c r="A858"/>
  <c r="A856"/>
  <c r="A853"/>
  <c r="A852"/>
  <c r="A851"/>
  <c r="A849"/>
  <c r="A847"/>
  <c r="A840"/>
  <c r="A839"/>
  <c r="A838"/>
  <c r="A837"/>
  <c r="A836"/>
  <c r="A834"/>
  <c r="A832"/>
  <c r="A831"/>
  <c r="A830"/>
  <c r="A829"/>
  <c r="A827"/>
  <c r="A799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8"/>
  <c r="A745"/>
  <c r="A740"/>
  <c r="A739"/>
  <c r="A738"/>
  <c r="A737"/>
  <c r="A736"/>
  <c r="C735"/>
  <c r="A735"/>
  <c r="A734"/>
  <c r="A732"/>
  <c r="C730"/>
  <c r="A730"/>
  <c r="A729"/>
  <c r="A728"/>
  <c r="A726"/>
  <c r="C725"/>
  <c r="A725"/>
  <c r="A724"/>
  <c r="A723"/>
  <c r="A722"/>
  <c r="A721"/>
  <c r="A719"/>
  <c r="C717"/>
  <c r="A717"/>
  <c r="A716"/>
  <c r="A715"/>
  <c r="C713"/>
  <c r="A713"/>
  <c r="A712"/>
  <c r="A711"/>
  <c r="A710"/>
  <c r="C709"/>
  <c r="A709"/>
  <c r="A708"/>
  <c r="A707"/>
  <c r="A706"/>
  <c r="C705"/>
  <c r="A705"/>
  <c r="A704"/>
  <c r="A703"/>
  <c r="C702"/>
  <c r="A702"/>
  <c r="A701"/>
  <c r="A700"/>
  <c r="A699"/>
  <c r="A697"/>
  <c r="A695"/>
  <c r="A694"/>
  <c r="A693"/>
  <c r="A692"/>
  <c r="A691"/>
  <c r="A690"/>
  <c r="A689"/>
  <c r="A688"/>
  <c r="A687"/>
  <c r="A686"/>
  <c r="A684"/>
  <c r="A683"/>
  <c r="A682"/>
  <c r="C681"/>
  <c r="A681"/>
  <c r="C680"/>
  <c r="A680"/>
  <c r="C679"/>
  <c r="A679"/>
  <c r="A678"/>
  <c r="A676"/>
  <c r="A674"/>
  <c r="A673"/>
  <c r="B672"/>
  <c r="A670"/>
  <c r="A637"/>
  <c r="A636"/>
  <c r="A635"/>
  <c r="A632"/>
  <c r="A631"/>
  <c r="A630"/>
  <c r="A629"/>
  <c r="A623"/>
  <c r="A622"/>
  <c r="A621"/>
  <c r="A620"/>
  <c r="A618"/>
  <c r="A616"/>
  <c r="A615"/>
  <c r="A614"/>
  <c r="A613"/>
  <c r="A610"/>
  <c r="A603"/>
  <c r="B597"/>
  <c r="A596"/>
  <c r="A591"/>
  <c r="A590"/>
  <c r="A589"/>
  <c r="A588"/>
  <c r="A587"/>
  <c r="A586"/>
  <c r="A584"/>
  <c r="A583"/>
  <c r="A582"/>
  <c r="A581"/>
  <c r="A579"/>
  <c r="A578"/>
  <c r="A577"/>
  <c r="A570"/>
  <c r="A568"/>
  <c r="A567"/>
  <c r="A566"/>
  <c r="A565"/>
  <c r="A564"/>
  <c r="A563"/>
  <c r="A562"/>
  <c r="A561"/>
  <c r="A560"/>
  <c r="C559"/>
  <c r="B559"/>
  <c r="A559"/>
  <c r="A558"/>
  <c r="A556"/>
  <c r="A555"/>
  <c r="A554"/>
  <c r="A553"/>
  <c r="A552"/>
  <c r="A551"/>
  <c r="A550"/>
  <c r="A549"/>
  <c r="A548"/>
  <c r="C547"/>
  <c r="B547"/>
  <c r="A547"/>
  <c r="A546"/>
  <c r="A544"/>
  <c r="A543"/>
  <c r="A542"/>
  <c r="A541"/>
  <c r="A540"/>
  <c r="A539"/>
  <c r="A538"/>
  <c r="A537"/>
  <c r="A536"/>
  <c r="A535"/>
  <c r="A534"/>
  <c r="A310"/>
  <c r="A309"/>
  <c r="A308"/>
  <c r="A307"/>
  <c r="B20"/>
  <c r="B18"/>
  <c r="B10"/>
  <c r="B8"/>
  <c r="C737"/>
  <c r="C738"/>
  <c r="C739"/>
  <c r="C740"/>
  <c r="C536"/>
  <c r="C584"/>
  <c r="C579"/>
  <c r="C544"/>
  <c r="C543"/>
  <c r="C542"/>
  <c r="C540"/>
  <c r="C538"/>
  <c r="C537"/>
  <c r="L1255"/>
  <c r="L1206"/>
  <c r="L1181"/>
  <c r="L1112"/>
  <c r="L856"/>
  <c r="L825"/>
  <c r="L748"/>
  <c r="L670"/>
  <c r="C613"/>
  <c r="L610"/>
  <c r="L594"/>
  <c r="L532"/>
  <c r="A529"/>
  <c r="A528"/>
  <c r="A527"/>
  <c r="A526"/>
  <c r="A525"/>
  <c r="A524"/>
  <c r="A523"/>
  <c r="A522"/>
  <c r="A521"/>
  <c r="A520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C501"/>
  <c r="A501"/>
  <c r="L498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48"/>
  <c r="A447"/>
  <c r="A446"/>
  <c r="A445"/>
  <c r="A444"/>
  <c r="C443"/>
  <c r="A443"/>
  <c r="A442"/>
  <c r="A441"/>
  <c r="A440"/>
  <c r="A439"/>
  <c r="A438"/>
  <c r="C437"/>
  <c r="A437"/>
  <c r="A436"/>
  <c r="A435"/>
  <c r="A434"/>
  <c r="A432"/>
  <c r="A430"/>
  <c r="A429"/>
  <c r="A428"/>
  <c r="A427"/>
  <c r="A426"/>
  <c r="A425"/>
  <c r="A424"/>
  <c r="A423"/>
  <c r="C422"/>
  <c r="A422"/>
  <c r="A421"/>
  <c r="A420"/>
  <c r="A419"/>
  <c r="A418"/>
  <c r="A417"/>
  <c r="A416"/>
  <c r="C415"/>
  <c r="A415"/>
  <c r="C414"/>
  <c r="A414"/>
  <c r="A413"/>
  <c r="A412"/>
  <c r="A411"/>
  <c r="A409"/>
  <c r="A407"/>
  <c r="A406"/>
  <c r="A405"/>
  <c r="A404"/>
  <c r="A403"/>
  <c r="A402"/>
  <c r="A401"/>
  <c r="A400"/>
  <c r="C399"/>
  <c r="A399"/>
  <c r="A398"/>
  <c r="A397"/>
  <c r="A396"/>
  <c r="A395"/>
  <c r="A394"/>
  <c r="C393"/>
  <c r="A393"/>
  <c r="A392"/>
  <c r="A391"/>
  <c r="A390"/>
  <c r="A388"/>
  <c r="L386"/>
  <c r="A386"/>
  <c r="A383"/>
  <c r="A382"/>
  <c r="A381"/>
  <c r="A380"/>
  <c r="A379"/>
  <c r="A378"/>
  <c r="A377"/>
  <c r="A376"/>
  <c r="A375"/>
  <c r="A360"/>
  <c r="A359"/>
  <c r="A357"/>
  <c r="B355"/>
  <c r="A351"/>
  <c r="A349"/>
  <c r="B347"/>
  <c r="A343"/>
  <c r="A341"/>
  <c r="B339"/>
  <c r="A333"/>
  <c r="A331"/>
  <c r="B329"/>
  <c r="A324"/>
  <c r="L322"/>
  <c r="A322"/>
  <c r="C319"/>
  <c r="A319"/>
  <c r="A305"/>
  <c r="A303"/>
  <c r="C302"/>
  <c r="A302"/>
  <c r="A299"/>
  <c r="A297"/>
  <c r="C296"/>
  <c r="A296"/>
  <c r="A293"/>
  <c r="A291"/>
  <c r="C290"/>
  <c r="A290"/>
  <c r="A287"/>
  <c r="A285"/>
  <c r="C284"/>
  <c r="A284"/>
  <c r="C282"/>
  <c r="B282"/>
  <c r="A279"/>
  <c r="L277"/>
  <c r="A277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27"/>
  <c r="A226"/>
  <c r="A225"/>
  <c r="A224"/>
  <c r="A223"/>
  <c r="A222"/>
  <c r="A221"/>
  <c r="A220"/>
  <c r="A219"/>
  <c r="C218"/>
  <c r="B218"/>
  <c r="A218"/>
  <c r="A217"/>
  <c r="A216"/>
  <c r="A215"/>
  <c r="A214"/>
  <c r="A213"/>
  <c r="A212"/>
  <c r="A211"/>
  <c r="A210"/>
  <c r="A209"/>
  <c r="A208"/>
  <c r="A207"/>
  <c r="A206"/>
  <c r="A205"/>
  <c r="A204"/>
  <c r="L201"/>
  <c r="A201"/>
  <c r="L194"/>
  <c r="L187"/>
  <c r="A187"/>
  <c r="A184"/>
  <c r="A183"/>
  <c r="A182"/>
  <c r="A181"/>
  <c r="A180"/>
  <c r="A179"/>
  <c r="A178"/>
  <c r="A177"/>
  <c r="A176"/>
  <c r="A175"/>
  <c r="A174"/>
  <c r="A173"/>
  <c r="A172"/>
  <c r="A157"/>
  <c r="A156"/>
  <c r="A155"/>
  <c r="A154"/>
  <c r="A153"/>
  <c r="A152"/>
  <c r="A151"/>
  <c r="A150"/>
  <c r="A149"/>
  <c r="C148"/>
  <c r="B148"/>
  <c r="A148"/>
  <c r="A147"/>
  <c r="A146"/>
  <c r="L143"/>
  <c r="A143"/>
  <c r="A134"/>
  <c r="A133"/>
  <c r="A132"/>
  <c r="C131"/>
  <c r="B131"/>
  <c r="A131"/>
  <c r="B129"/>
  <c r="A128"/>
  <c r="L121"/>
  <c r="A121"/>
  <c r="A118"/>
  <c r="B114"/>
  <c r="L113"/>
  <c r="A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20"/>
  <c r="A19"/>
  <c r="A18"/>
  <c r="B17"/>
  <c r="A17"/>
  <c r="A12"/>
  <c r="A11"/>
  <c r="A10"/>
  <c r="E9"/>
  <c r="B9"/>
  <c r="A9"/>
  <c r="A8"/>
  <c r="A7"/>
  <c r="A4"/>
  <c r="A2"/>
  <c r="F1278"/>
  <c r="F1276"/>
  <c r="F1265"/>
  <c r="B1268"/>
  <c r="C1278"/>
  <c r="C1277"/>
  <c r="C1276"/>
  <c r="C1274"/>
  <c r="C1265"/>
  <c r="C1264"/>
  <c r="C1258"/>
  <c r="C1259"/>
  <c r="C1260"/>
  <c r="C1261"/>
  <c r="C1257"/>
  <c r="C1183"/>
  <c r="C1193" s="1"/>
  <c r="C1190"/>
  <c r="C1203"/>
  <c r="I1181"/>
  <c r="H1181"/>
  <c r="F1181"/>
  <c r="C1028"/>
  <c r="C503"/>
  <c r="C863"/>
  <c r="F512"/>
  <c r="G513"/>
  <c r="H513"/>
  <c r="I513"/>
  <c r="G515"/>
  <c r="H515"/>
  <c r="F513"/>
  <c r="F507"/>
  <c r="C630"/>
  <c r="C635"/>
  <c r="C636"/>
  <c r="C637"/>
  <c r="C631"/>
  <c r="C632"/>
  <c r="C629"/>
  <c r="C623"/>
  <c r="C621"/>
  <c r="C620"/>
  <c r="C618"/>
  <c r="L619"/>
  <c r="L618"/>
  <c r="C616"/>
  <c r="C689"/>
  <c r="C756"/>
  <c r="G526"/>
  <c r="H526"/>
  <c r="I526"/>
  <c r="G527"/>
  <c r="H527"/>
  <c r="F529"/>
  <c r="F515"/>
  <c r="F527"/>
  <c r="F526"/>
  <c r="F525"/>
  <c r="C521"/>
  <c r="C522"/>
  <c r="C523"/>
  <c r="C524"/>
  <c r="C525"/>
  <c r="C526"/>
  <c r="C527"/>
  <c r="C528"/>
  <c r="C529"/>
  <c r="C520"/>
  <c r="C511"/>
  <c r="C512"/>
  <c r="C513"/>
  <c r="C514"/>
  <c r="C515"/>
  <c r="C516"/>
  <c r="C517"/>
  <c r="C518"/>
  <c r="C510"/>
  <c r="C509"/>
  <c r="C508"/>
  <c r="C504"/>
  <c r="L596"/>
  <c r="L601"/>
  <c r="B601"/>
  <c r="L600"/>
  <c r="B600"/>
  <c r="L599"/>
  <c r="B599"/>
  <c r="L598"/>
  <c r="B598"/>
  <c r="L603"/>
  <c r="C736"/>
  <c r="C726"/>
  <c r="C721"/>
  <c r="C715"/>
  <c r="C710"/>
  <c r="C706"/>
  <c r="C699"/>
  <c r="C686"/>
  <c r="C687"/>
  <c r="C688"/>
  <c r="C690"/>
  <c r="C691"/>
  <c r="C692"/>
  <c r="C693"/>
  <c r="C694"/>
  <c r="C695"/>
  <c r="C684"/>
  <c r="C683"/>
  <c r="C682"/>
  <c r="C591"/>
  <c r="C590"/>
  <c r="C589"/>
  <c r="C588"/>
  <c r="C587"/>
  <c r="C586"/>
  <c r="C582"/>
  <c r="C578"/>
  <c r="C574"/>
  <c r="C571"/>
  <c r="C564"/>
  <c r="C565"/>
  <c r="C566"/>
  <c r="C567"/>
  <c r="C568"/>
  <c r="C563"/>
  <c r="C553"/>
  <c r="C554"/>
  <c r="C555"/>
  <c r="C556"/>
  <c r="C552"/>
  <c r="C551"/>
  <c r="C541"/>
  <c r="C539"/>
  <c r="C535"/>
  <c r="G462"/>
  <c r="I462"/>
  <c r="F491"/>
  <c r="F490"/>
  <c r="F484"/>
  <c r="F483"/>
  <c r="F477"/>
  <c r="F471"/>
  <c r="F470"/>
  <c r="F465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61"/>
  <c r="C375"/>
  <c r="C376"/>
  <c r="C377"/>
  <c r="C378"/>
  <c r="C379"/>
  <c r="C380"/>
  <c r="C381"/>
  <c r="C382"/>
  <c r="C383"/>
  <c r="C371"/>
  <c r="C307"/>
  <c r="C308"/>
  <c r="C309"/>
  <c r="C310"/>
  <c r="C305"/>
  <c r="C274"/>
  <c r="C273"/>
  <c r="C272"/>
  <c r="C271"/>
  <c r="C270"/>
  <c r="C269"/>
  <c r="C268"/>
  <c r="C267"/>
  <c r="C266"/>
  <c r="C264"/>
  <c r="C263"/>
  <c r="C262"/>
  <c r="C261"/>
  <c r="C260"/>
  <c r="C259"/>
  <c r="C258"/>
  <c r="C257"/>
  <c r="C256"/>
  <c r="C255"/>
  <c r="C254"/>
  <c r="I825"/>
  <c r="H825"/>
  <c r="F825"/>
  <c r="C177"/>
  <c r="C178"/>
  <c r="C179"/>
  <c r="C180"/>
  <c r="C181"/>
  <c r="C182"/>
  <c r="C183"/>
  <c r="C184"/>
  <c r="C176"/>
  <c r="C173"/>
  <c r="C174"/>
  <c r="C172"/>
  <c r="C840"/>
  <c r="C839"/>
  <c r="L838"/>
  <c r="C838"/>
  <c r="C836"/>
  <c r="C830"/>
  <c r="C831"/>
  <c r="C832"/>
  <c r="C829"/>
  <c r="L830"/>
  <c r="C943"/>
  <c r="C944"/>
  <c r="C945"/>
  <c r="C946"/>
  <c r="C947"/>
  <c r="C948"/>
  <c r="C949"/>
  <c r="C950"/>
  <c r="C951"/>
  <c r="C953"/>
  <c r="C954"/>
  <c r="C955"/>
  <c r="C956"/>
  <c r="C957"/>
  <c r="C959"/>
  <c r="C961"/>
  <c r="C962"/>
  <c r="C963"/>
  <c r="C964"/>
  <c r="C965"/>
  <c r="C966"/>
  <c r="C967"/>
  <c r="C969"/>
  <c r="C971"/>
  <c r="C973"/>
  <c r="C974"/>
  <c r="C976"/>
  <c r="C978"/>
  <c r="C942"/>
  <c r="C875"/>
  <c r="C859"/>
  <c r="C860"/>
  <c r="C861"/>
  <c r="C862"/>
  <c r="C864"/>
  <c r="C865"/>
  <c r="C867"/>
  <c r="C869"/>
  <c r="C870"/>
  <c r="C871"/>
  <c r="C872"/>
  <c r="C873"/>
  <c r="C877"/>
  <c r="C879"/>
  <c r="C880"/>
  <c r="C881"/>
  <c r="C882"/>
  <c r="C884"/>
  <c r="C886"/>
  <c r="C887"/>
  <c r="C858"/>
  <c r="C751"/>
  <c r="C752"/>
  <c r="C753"/>
  <c r="C754"/>
  <c r="C755"/>
  <c r="C757"/>
  <c r="C758"/>
  <c r="C759"/>
  <c r="C760"/>
  <c r="C761"/>
  <c r="C762"/>
  <c r="C763"/>
  <c r="C764"/>
  <c r="C765"/>
  <c r="C766"/>
  <c r="C767"/>
  <c r="C768"/>
  <c r="C769"/>
  <c r="C770"/>
  <c r="C771"/>
  <c r="C772"/>
  <c r="C750"/>
  <c r="C707"/>
  <c r="L703"/>
  <c r="L700"/>
  <c r="L865"/>
  <c r="L877"/>
  <c r="L883"/>
  <c r="F495"/>
  <c r="L433"/>
  <c r="L389"/>
  <c r="L406"/>
  <c r="L405"/>
  <c r="L429"/>
  <c r="L428"/>
  <c r="L416"/>
  <c r="C448"/>
  <c r="C447"/>
  <c r="C446"/>
  <c r="C445"/>
  <c r="C444"/>
  <c r="C441"/>
  <c r="C440"/>
  <c r="C439"/>
  <c r="C438"/>
  <c r="C436"/>
  <c r="C435"/>
  <c r="C434"/>
  <c r="C433"/>
  <c r="C407"/>
  <c r="C406"/>
  <c r="C405"/>
  <c r="C404"/>
  <c r="C403"/>
  <c r="C402"/>
  <c r="C401"/>
  <c r="C400"/>
  <c r="C397"/>
  <c r="C396"/>
  <c r="C395"/>
  <c r="C394"/>
  <c r="C392"/>
  <c r="C391"/>
  <c r="C390"/>
  <c r="C389"/>
  <c r="C410"/>
  <c r="C430"/>
  <c r="C429"/>
  <c r="C428"/>
  <c r="C423"/>
  <c r="C425"/>
  <c r="C427"/>
  <c r="C411"/>
  <c r="C426"/>
  <c r="C418"/>
  <c r="C419"/>
  <c r="C420"/>
  <c r="C424"/>
  <c r="C417"/>
  <c r="C412"/>
  <c r="C413"/>
  <c r="C356"/>
  <c r="C348"/>
  <c r="C340"/>
  <c r="C330"/>
  <c r="H319"/>
  <c r="I319"/>
  <c r="G319"/>
  <c r="C303"/>
  <c r="C297"/>
  <c r="C291"/>
  <c r="H1255"/>
  <c r="I1255"/>
  <c r="F1255"/>
  <c r="H1206"/>
  <c r="I1206"/>
  <c r="F1206"/>
  <c r="H1112"/>
  <c r="I1112"/>
  <c r="F1112"/>
  <c r="H1007"/>
  <c r="I1007"/>
  <c r="F1007"/>
  <c r="H940"/>
  <c r="I940"/>
  <c r="F940"/>
  <c r="H856"/>
  <c r="I856"/>
  <c r="F856"/>
  <c r="H748"/>
  <c r="I748"/>
  <c r="F748"/>
  <c r="H670"/>
  <c r="I670"/>
  <c r="F670"/>
  <c r="H610"/>
  <c r="I610"/>
  <c r="F610"/>
  <c r="H594"/>
  <c r="I594"/>
  <c r="F594"/>
  <c r="H532"/>
  <c r="I532"/>
  <c r="F532"/>
  <c r="H498"/>
  <c r="I498"/>
  <c r="F498"/>
  <c r="H386"/>
  <c r="I386"/>
  <c r="F386"/>
  <c r="H322"/>
  <c r="I322"/>
  <c r="F322"/>
  <c r="H277"/>
  <c r="I277"/>
  <c r="F277"/>
  <c r="H201"/>
  <c r="I201"/>
  <c r="F201"/>
  <c r="H194"/>
  <c r="I194"/>
  <c r="F194"/>
  <c r="H187"/>
  <c r="I187"/>
  <c r="F187"/>
  <c r="C285"/>
  <c r="C223"/>
  <c r="C217"/>
  <c r="C216"/>
  <c r="C215"/>
  <c r="C213"/>
  <c r="C204"/>
  <c r="C227"/>
  <c r="C226"/>
  <c r="C225"/>
  <c r="C224"/>
  <c r="C222"/>
  <c r="C214"/>
  <c r="C212"/>
  <c r="C211"/>
  <c r="C210"/>
  <c r="C209"/>
  <c r="C208"/>
  <c r="C207"/>
  <c r="C203"/>
  <c r="C189"/>
  <c r="C157"/>
  <c r="C156"/>
  <c r="C155"/>
  <c r="C154"/>
  <c r="C153"/>
  <c r="C152"/>
  <c r="C147"/>
  <c r="C146"/>
  <c r="C145"/>
  <c r="C130"/>
  <c r="C206"/>
  <c r="C205"/>
  <c r="A123"/>
  <c r="A196"/>
  <c r="A203"/>
  <c r="A189"/>
  <c r="A145"/>
  <c r="A130"/>
  <c r="H143"/>
  <c r="I143"/>
  <c r="H128"/>
  <c r="I128"/>
  <c r="H121"/>
  <c r="I121"/>
  <c r="F143"/>
  <c r="F128"/>
  <c r="F121"/>
  <c r="H113"/>
  <c r="I113"/>
  <c r="F113"/>
  <c r="D7"/>
  <c r="B462" i="3"/>
  <c r="G258" i="1"/>
  <c r="G752" s="1"/>
  <c r="G54" i="3" s="1"/>
  <c r="L407" i="1"/>
  <c r="L430"/>
  <c r="L831"/>
  <c r="L839"/>
  <c r="L832"/>
  <c r="L123"/>
  <c r="A7" i="4"/>
  <c r="J29" i="1" l="1"/>
  <c r="I30"/>
  <c r="E224"/>
  <c r="F224" s="1"/>
  <c r="F220"/>
  <c r="F225" s="1"/>
  <c r="H98" i="2"/>
  <c r="H93"/>
  <c r="F219" s="1"/>
  <c r="H87"/>
  <c r="H92"/>
  <c r="H100"/>
  <c r="H96"/>
  <c r="H102"/>
  <c r="F224" s="1"/>
  <c r="H91"/>
  <c r="H94"/>
  <c r="H101"/>
  <c r="G176"/>
  <c r="G182" s="1"/>
  <c r="G242" s="1"/>
  <c r="F188" i="3"/>
  <c r="F1277" i="1"/>
  <c r="F221"/>
  <c r="E226"/>
  <c r="F226" s="1"/>
  <c r="G363"/>
  <c r="C527" i="3"/>
  <c r="C528"/>
  <c r="C529"/>
  <c r="C530"/>
  <c r="F187"/>
  <c r="F565" s="1"/>
  <c r="G685" i="1"/>
  <c r="C1192"/>
  <c r="A19" i="3"/>
  <c r="A23"/>
  <c r="A27"/>
  <c r="A31"/>
  <c r="A36"/>
  <c r="A40"/>
  <c r="L38"/>
  <c r="G300"/>
  <c r="F308"/>
  <c r="F315" s="1"/>
  <c r="C1117" i="1"/>
  <c r="I181" i="3"/>
  <c r="H181"/>
  <c r="G181"/>
  <c r="G219" i="2"/>
  <c r="G235" s="1"/>
  <c r="I685" i="1"/>
  <c r="G684"/>
  <c r="H390"/>
  <c r="F390"/>
  <c r="B204"/>
  <c r="G99" i="2"/>
  <c r="H90"/>
  <c r="F276" i="3"/>
  <c r="F275" s="1"/>
  <c r="F953" i="1"/>
  <c r="G1185"/>
  <c r="G1186" s="1"/>
  <c r="H1184"/>
  <c r="F33" i="3"/>
  <c r="F85" s="1"/>
  <c r="C1191" i="1"/>
  <c r="G37" i="3"/>
  <c r="L37" s="1"/>
  <c r="F258"/>
  <c r="F260"/>
  <c r="F262"/>
  <c r="F562"/>
  <c r="F277"/>
  <c r="F275" i="2"/>
  <c r="G522" i="3"/>
  <c r="G523" s="1"/>
  <c r="H521"/>
  <c r="I562"/>
  <c r="H562"/>
  <c r="G562"/>
  <c r="J106" i="1"/>
  <c r="J109" s="1"/>
  <c r="I109"/>
  <c r="I684"/>
  <c r="I873"/>
  <c r="I177" i="3" s="1"/>
  <c r="I176" s="1"/>
  <c r="H314" i="1"/>
  <c r="H336" s="1"/>
  <c r="H335"/>
  <c r="G314"/>
  <c r="G336" s="1"/>
  <c r="G335"/>
  <c r="I716"/>
  <c r="H714"/>
  <c r="J707"/>
  <c r="H86" i="2"/>
  <c r="H89"/>
  <c r="H85"/>
  <c r="F114" s="1"/>
  <c r="H88"/>
  <c r="H95"/>
  <c r="H97"/>
  <c r="H111"/>
  <c r="I94" i="1"/>
  <c r="H118" i="2"/>
  <c r="H621" i="1"/>
  <c r="H624"/>
  <c r="J27"/>
  <c r="I514"/>
  <c r="I829"/>
  <c r="I764" s="1"/>
  <c r="I78" i="3" s="1"/>
  <c r="G505" i="1"/>
  <c r="I729"/>
  <c r="H726"/>
  <c r="H706"/>
  <c r="I708"/>
  <c r="J708" s="1"/>
  <c r="H301"/>
  <c r="H310" s="1"/>
  <c r="I303"/>
  <c r="H190"/>
  <c r="H330"/>
  <c r="H189"/>
  <c r="H348"/>
  <c r="H356"/>
  <c r="J626"/>
  <c r="L626"/>
  <c r="G627" s="1"/>
  <c r="G620" s="1"/>
  <c r="G631" s="1"/>
  <c r="H622"/>
  <c r="G623"/>
  <c r="H98"/>
  <c r="G375"/>
  <c r="G636"/>
  <c r="G967" s="1"/>
  <c r="G299" i="3" s="1"/>
  <c r="G298" s="1"/>
  <c r="G632" i="1"/>
  <c r="G738" s="1"/>
  <c r="G36" i="3" s="1"/>
  <c r="G35" s="1"/>
  <c r="G629" i="1"/>
  <c r="G630"/>
  <c r="G461"/>
  <c r="G473"/>
  <c r="G648" s="1"/>
  <c r="G634"/>
  <c r="G378"/>
  <c r="G377"/>
  <c r="G380"/>
  <c r="G486"/>
  <c r="H1118"/>
  <c r="H456" i="3"/>
  <c r="H164" i="2"/>
  <c r="G167"/>
  <c r="H829" i="1"/>
  <c r="H764" s="1"/>
  <c r="H78" i="3" s="1"/>
  <c r="H685" i="1"/>
  <c r="G829"/>
  <c r="G764" s="1"/>
  <c r="G78" i="3" s="1"/>
  <c r="H873" i="1"/>
  <c r="H177" i="3" s="1"/>
  <c r="H176" s="1"/>
  <c r="I434" i="1"/>
  <c r="H434"/>
  <c r="G434"/>
  <c r="F434"/>
  <c r="I411"/>
  <c r="H411"/>
  <c r="G411"/>
  <c r="F411"/>
  <c r="G196"/>
  <c r="B215"/>
  <c r="G111" i="2"/>
  <c r="I91" i="1"/>
  <c r="G624"/>
  <c r="G232"/>
  <c r="H197"/>
  <c r="H235"/>
  <c r="I190"/>
  <c r="L124"/>
  <c r="C135"/>
  <c r="H135"/>
  <c r="G137"/>
  <c r="G139" s="1"/>
  <c r="C158"/>
  <c r="C159"/>
  <c r="C160"/>
  <c r="E163"/>
  <c r="F163" s="1"/>
  <c r="E164"/>
  <c r="F164" s="1"/>
  <c r="F178" s="1"/>
  <c r="C165"/>
  <c r="C166"/>
  <c r="C167"/>
  <c r="C168"/>
  <c r="C169"/>
  <c r="C170"/>
  <c r="C190"/>
  <c r="C197"/>
  <c r="C228"/>
  <c r="G229"/>
  <c r="H229"/>
  <c r="I229"/>
  <c r="J229"/>
  <c r="G231"/>
  <c r="C232"/>
  <c r="C233"/>
  <c r="C234"/>
  <c r="C235"/>
  <c r="C236"/>
  <c r="C237"/>
  <c r="C238"/>
  <c r="C239"/>
  <c r="C240"/>
  <c r="C241"/>
  <c r="C242"/>
  <c r="E245"/>
  <c r="F245" s="1"/>
  <c r="E246"/>
  <c r="F246" s="1"/>
  <c r="F268" s="1"/>
  <c r="C247"/>
  <c r="C248"/>
  <c r="C249"/>
  <c r="C250"/>
  <c r="C251"/>
  <c r="J30"/>
  <c r="G132"/>
  <c r="G134" s="1"/>
  <c r="G133"/>
  <c r="J513"/>
  <c r="J526" s="1"/>
  <c r="J512"/>
  <c r="J525" s="1"/>
  <c r="J28"/>
  <c r="J319"/>
  <c r="J236" i="2"/>
  <c r="J220"/>
  <c r="J517" i="1"/>
  <c r="J493"/>
  <c r="J487"/>
  <c r="J840"/>
  <c r="L840" s="1"/>
  <c r="J472"/>
  <c r="J471"/>
  <c r="J470"/>
  <c r="J468"/>
  <c r="J462"/>
  <c r="J485"/>
  <c r="L485" s="1"/>
  <c r="J484"/>
  <c r="L484" s="1"/>
  <c r="J483"/>
  <c r="L483" s="1"/>
  <c r="J481"/>
  <c r="J480"/>
  <c r="J474"/>
  <c r="J192" i="2"/>
  <c r="L192" s="1"/>
  <c r="J191"/>
  <c r="J289" s="1"/>
  <c r="J198"/>
  <c r="J197"/>
  <c r="J293" s="1"/>
  <c r="J182" i="3"/>
  <c r="J1274" i="1"/>
  <c r="L1274" s="1"/>
  <c r="J1132"/>
  <c r="J469" i="3"/>
  <c r="J222" i="2"/>
  <c r="J975" i="1"/>
  <c r="J313" i="3" s="1"/>
  <c r="J312" s="1"/>
  <c r="J973" i="1"/>
  <c r="J706"/>
  <c r="J685"/>
  <c r="L685" s="1"/>
  <c r="H130"/>
  <c r="J204"/>
  <c r="J654"/>
  <c r="G204" l="1"/>
  <c r="G206" s="1"/>
  <c r="H204"/>
  <c r="I204"/>
  <c r="H402"/>
  <c r="H468" s="1"/>
  <c r="H462"/>
  <c r="F222"/>
  <c r="F223" s="1"/>
  <c r="F227"/>
  <c r="F394"/>
  <c r="G394" s="1"/>
  <c r="H394" s="1"/>
  <c r="I394" s="1"/>
  <c r="J394" s="1"/>
  <c r="B393" s="1"/>
  <c r="F402"/>
  <c r="F462"/>
  <c r="L462" s="1"/>
  <c r="L390"/>
  <c r="B392" s="1"/>
  <c r="C1135"/>
  <c r="C1132"/>
  <c r="C1131"/>
  <c r="C1269"/>
  <c r="C1136"/>
  <c r="C1130"/>
  <c r="C1128"/>
  <c r="C1126"/>
  <c r="C1124"/>
  <c r="C1142"/>
  <c r="C1134"/>
  <c r="C1129"/>
  <c r="C1127"/>
  <c r="C1125"/>
  <c r="C1123"/>
  <c r="F235" i="2"/>
  <c r="F159" i="3" s="1"/>
  <c r="F75"/>
  <c r="G159" i="1"/>
  <c r="G863"/>
  <c r="G662"/>
  <c r="G625"/>
  <c r="J91"/>
  <c r="J92" s="1"/>
  <c r="I92"/>
  <c r="G474"/>
  <c r="G425"/>
  <c r="G481" s="1"/>
  <c r="I425"/>
  <c r="I481" s="1"/>
  <c r="I474"/>
  <c r="G446"/>
  <c r="G493" s="1"/>
  <c r="G487"/>
  <c r="I446"/>
  <c r="I493" s="1"/>
  <c r="I487"/>
  <c r="H165" i="2"/>
  <c r="H1119" i="1"/>
  <c r="H1120" s="1"/>
  <c r="I1118"/>
  <c r="G869"/>
  <c r="G647"/>
  <c r="G495"/>
  <c r="G879"/>
  <c r="G656"/>
  <c r="G652" s="1"/>
  <c r="I622"/>
  <c r="H623"/>
  <c r="I356"/>
  <c r="H357"/>
  <c r="I189"/>
  <c r="H210"/>
  <c r="H316"/>
  <c r="H354" s="1"/>
  <c r="H353"/>
  <c r="J729"/>
  <c r="J726" s="1"/>
  <c r="I726"/>
  <c r="I621"/>
  <c r="I624"/>
  <c r="I340"/>
  <c r="I285"/>
  <c r="I291"/>
  <c r="I297"/>
  <c r="I222" i="2"/>
  <c r="F222"/>
  <c r="F81" i="3" s="1"/>
  <c r="G222" i="2"/>
  <c r="H222"/>
  <c r="H522" i="3"/>
  <c r="I521"/>
  <c r="F279" i="2"/>
  <c r="F281" s="1"/>
  <c r="F301" s="1"/>
  <c r="L222"/>
  <c r="G146" i="1"/>
  <c r="G633"/>
  <c r="I706"/>
  <c r="G208"/>
  <c r="H196"/>
  <c r="G207"/>
  <c r="F425"/>
  <c r="F417"/>
  <c r="G417" s="1"/>
  <c r="H417" s="1"/>
  <c r="I417" s="1"/>
  <c r="J417" s="1"/>
  <c r="B414" s="1"/>
  <c r="F474"/>
  <c r="L411"/>
  <c r="B413" s="1"/>
  <c r="H425"/>
  <c r="H481" s="1"/>
  <c r="H474"/>
  <c r="F438"/>
  <c r="G438" s="1"/>
  <c r="H438" s="1"/>
  <c r="I438" s="1"/>
  <c r="J438" s="1"/>
  <c r="B437" s="1"/>
  <c r="F446"/>
  <c r="F487"/>
  <c r="L434"/>
  <c r="B436" s="1"/>
  <c r="H446"/>
  <c r="H493" s="1"/>
  <c r="H487"/>
  <c r="H167" i="2"/>
  <c r="G169"/>
  <c r="G128" s="1"/>
  <c r="G213" s="1"/>
  <c r="G168"/>
  <c r="G277" s="1"/>
  <c r="G275" s="1"/>
  <c r="G279" s="1"/>
  <c r="H457" i="3"/>
  <c r="H458" s="1"/>
  <c r="I456"/>
  <c r="G871" i="1"/>
  <c r="G173" i="3" s="1"/>
  <c r="G172" s="1"/>
  <c r="G649" i="1"/>
  <c r="G880"/>
  <c r="G661"/>
  <c r="I98"/>
  <c r="H461"/>
  <c r="H473"/>
  <c r="H648" s="1"/>
  <c r="H375"/>
  <c r="H636"/>
  <c r="H967" s="1"/>
  <c r="H299" i="3" s="1"/>
  <c r="H298" s="1"/>
  <c r="H486" i="1"/>
  <c r="H378"/>
  <c r="H633"/>
  <c r="H632"/>
  <c r="H738" s="1"/>
  <c r="H36" i="3" s="1"/>
  <c r="H35" s="1"/>
  <c r="H629" i="1"/>
  <c r="H630"/>
  <c r="H1232"/>
  <c r="H1234"/>
  <c r="H1238"/>
  <c r="H634"/>
  <c r="H1233"/>
  <c r="H1237"/>
  <c r="H1239"/>
  <c r="I348"/>
  <c r="H349"/>
  <c r="H380" s="1"/>
  <c r="I330"/>
  <c r="H331"/>
  <c r="H377" s="1"/>
  <c r="I301"/>
  <c r="I310" s="1"/>
  <c r="G504"/>
  <c r="G506" s="1"/>
  <c r="I518"/>
  <c r="I516"/>
  <c r="I528" s="1"/>
  <c r="I522"/>
  <c r="I515"/>
  <c r="I527" s="1"/>
  <c r="G220" i="2"/>
  <c r="G77" i="3" s="1"/>
  <c r="H220" i="2"/>
  <c r="H77" i="3" s="1"/>
  <c r="G236" i="2"/>
  <c r="F236"/>
  <c r="F161" i="3" s="1"/>
  <c r="I220" i="2"/>
  <c r="I77" i="3" s="1"/>
  <c r="H236" i="2"/>
  <c r="I236"/>
  <c r="F220"/>
  <c r="F77" i="3" s="1"/>
  <c r="G114" i="2"/>
  <c r="F115"/>
  <c r="F230" s="1"/>
  <c r="F206"/>
  <c r="B140"/>
  <c r="J716" i="1"/>
  <c r="J714" s="1"/>
  <c r="I714"/>
  <c r="L714" s="1"/>
  <c r="H1185"/>
  <c r="H1186" s="1"/>
  <c r="I1184"/>
  <c r="F274" i="3"/>
  <c r="F273" s="1"/>
  <c r="H99" i="2"/>
  <c r="G103"/>
  <c r="H103" s="1"/>
  <c r="L487" i="1"/>
  <c r="G138"/>
  <c r="G160" s="1"/>
  <c r="H258"/>
  <c r="H752" s="1"/>
  <c r="H54" i="3" s="1"/>
  <c r="G379" i="1"/>
  <c r="G376"/>
  <c r="L726"/>
  <c r="F121" i="2"/>
  <c r="H523" i="3"/>
  <c r="F250" i="1"/>
  <c r="F247"/>
  <c r="F267"/>
  <c r="G236"/>
  <c r="G230"/>
  <c r="F168"/>
  <c r="F165"/>
  <c r="F177"/>
  <c r="G162"/>
  <c r="H136"/>
  <c r="I135"/>
  <c r="I235"/>
  <c r="H363"/>
  <c r="H232"/>
  <c r="I197"/>
  <c r="G255"/>
  <c r="E251"/>
  <c r="F251" s="1"/>
  <c r="F273" s="1"/>
  <c r="F564" s="1"/>
  <c r="F252"/>
  <c r="E249"/>
  <c r="F249" s="1"/>
  <c r="F271" s="1"/>
  <c r="F567" s="1"/>
  <c r="E169"/>
  <c r="F169" s="1"/>
  <c r="F183" s="1"/>
  <c r="F552" s="1"/>
  <c r="F170"/>
  <c r="E167"/>
  <c r="F167" s="1"/>
  <c r="F181" s="1"/>
  <c r="F555" s="1"/>
  <c r="G233"/>
  <c r="G262" i="2"/>
  <c r="G228"/>
  <c r="G204"/>
  <c r="G179"/>
  <c r="G543" i="3"/>
  <c r="G643" i="1"/>
  <c r="G518" i="3"/>
  <c r="G451"/>
  <c r="G346"/>
  <c r="G250"/>
  <c r="G147"/>
  <c r="G11"/>
  <c r="G47"/>
  <c r="G156" i="2"/>
  <c r="G134"/>
  <c r="G106"/>
  <c r="G1181" i="1"/>
  <c r="G825"/>
  <c r="G1255"/>
  <c r="G1206"/>
  <c r="G1112"/>
  <c r="G1007"/>
  <c r="G940"/>
  <c r="G856"/>
  <c r="G748"/>
  <c r="G670"/>
  <c r="G610"/>
  <c r="G594"/>
  <c r="G532"/>
  <c r="G498"/>
  <c r="G386"/>
  <c r="G322"/>
  <c r="G277"/>
  <c r="G201"/>
  <c r="G194"/>
  <c r="G187"/>
  <c r="G143"/>
  <c r="G128"/>
  <c r="G121"/>
  <c r="G113"/>
  <c r="L654"/>
  <c r="H131"/>
  <c r="I130"/>
  <c r="L706"/>
  <c r="J309" i="3"/>
  <c r="J308" s="1"/>
  <c r="J181"/>
  <c r="L182"/>
  <c r="J219" i="2"/>
  <c r="L198"/>
  <c r="L474" i="1"/>
  <c r="J674"/>
  <c r="L480"/>
  <c r="J690"/>
  <c r="J873"/>
  <c r="L470"/>
  <c r="J829"/>
  <c r="L471"/>
  <c r="J684"/>
  <c r="L684" s="1"/>
  <c r="L472"/>
  <c r="J529"/>
  <c r="L529" s="1"/>
  <c r="L517"/>
  <c r="G149"/>
  <c r="G150"/>
  <c r="G151"/>
  <c r="G157" s="1"/>
  <c r="G156"/>
  <c r="G154"/>
  <c r="G173"/>
  <c r="J32"/>
  <c r="G147"/>
  <c r="G395" l="1"/>
  <c r="H395"/>
  <c r="H463" s="1"/>
  <c r="F396"/>
  <c r="F464" s="1"/>
  <c r="H396"/>
  <c r="H464" s="1"/>
  <c r="F404"/>
  <c r="F469" s="1"/>
  <c r="I395"/>
  <c r="I463" s="1"/>
  <c r="G397"/>
  <c r="G465" s="1"/>
  <c r="J396"/>
  <c r="J464" s="1"/>
  <c r="I397"/>
  <c r="I465" s="1"/>
  <c r="I396"/>
  <c r="I464" s="1"/>
  <c r="G396"/>
  <c r="G464" s="1"/>
  <c r="F395"/>
  <c r="F463" s="1"/>
  <c r="H397"/>
  <c r="H465" s="1"/>
  <c r="J397"/>
  <c r="J465" s="1"/>
  <c r="J395"/>
  <c r="J463" s="1"/>
  <c r="G205"/>
  <c r="G211"/>
  <c r="L236" i="2"/>
  <c r="G163" i="1"/>
  <c r="G164"/>
  <c r="F462" i="3"/>
  <c r="F566"/>
  <c r="F468" i="1"/>
  <c r="L468" s="1"/>
  <c r="L402"/>
  <c r="H206"/>
  <c r="H211" s="1"/>
  <c r="F123" i="2"/>
  <c r="F124"/>
  <c r="F126"/>
  <c r="F129"/>
  <c r="F130"/>
  <c r="F125"/>
  <c r="F127"/>
  <c r="B137"/>
  <c r="B139"/>
  <c r="B142"/>
  <c r="B148"/>
  <c r="B138"/>
  <c r="B146"/>
  <c r="F128"/>
  <c r="F213" s="1"/>
  <c r="F63" i="3" s="1"/>
  <c r="B149" i="2"/>
  <c r="G760" i="1"/>
  <c r="G70" i="3" s="1"/>
  <c r="G370" i="1"/>
  <c r="J1184"/>
  <c r="J1185" s="1"/>
  <c r="I1185"/>
  <c r="I1186" s="1"/>
  <c r="I316"/>
  <c r="I354" s="1"/>
  <c r="I353"/>
  <c r="I331"/>
  <c r="I349"/>
  <c r="H880"/>
  <c r="H661"/>
  <c r="H871"/>
  <c r="H173" i="3" s="1"/>
  <c r="H172" s="1"/>
  <c r="H649" i="1"/>
  <c r="H869"/>
  <c r="H647"/>
  <c r="H495"/>
  <c r="J456" i="3"/>
  <c r="J457" s="1"/>
  <c r="I457"/>
  <c r="H169" i="2"/>
  <c r="H128" s="1"/>
  <c r="H213" s="1"/>
  <c r="H168"/>
  <c r="H277" s="1"/>
  <c r="H275" s="1"/>
  <c r="H279" s="1"/>
  <c r="F439" i="1"/>
  <c r="F488" s="1"/>
  <c r="F448"/>
  <c r="F494" s="1"/>
  <c r="H439"/>
  <c r="G440"/>
  <c r="G489" s="1"/>
  <c r="H440"/>
  <c r="H489" s="1"/>
  <c r="I440"/>
  <c r="I489" s="1"/>
  <c r="F440"/>
  <c r="F489" s="1"/>
  <c r="I441"/>
  <c r="I490" s="1"/>
  <c r="H441"/>
  <c r="H490" s="1"/>
  <c r="G441"/>
  <c r="G490" s="1"/>
  <c r="I439"/>
  <c r="G439"/>
  <c r="J441"/>
  <c r="J490" s="1"/>
  <c r="J439"/>
  <c r="J440"/>
  <c r="J489" s="1"/>
  <c r="F481"/>
  <c r="L425"/>
  <c r="I196"/>
  <c r="H207"/>
  <c r="H208"/>
  <c r="I289"/>
  <c r="I341"/>
  <c r="J621"/>
  <c r="J624"/>
  <c r="L624" s="1"/>
  <c r="H213"/>
  <c r="J622"/>
  <c r="I623"/>
  <c r="G186" i="3"/>
  <c r="G185" s="1"/>
  <c r="G564" s="1"/>
  <c r="G1276" i="1"/>
  <c r="J1118"/>
  <c r="J1119" s="1"/>
  <c r="I1119"/>
  <c r="H176" i="2"/>
  <c r="J94" i="1"/>
  <c r="J330" s="1"/>
  <c r="I111" i="2"/>
  <c r="I118"/>
  <c r="I163"/>
  <c r="I164" s="1"/>
  <c r="I93" i="1"/>
  <c r="J93" s="1"/>
  <c r="G160" i="3"/>
  <c r="G159" s="1"/>
  <c r="G1124" i="1"/>
  <c r="G1278"/>
  <c r="H255"/>
  <c r="H376"/>
  <c r="H690"/>
  <c r="H21" i="3" s="1"/>
  <c r="F870" i="1"/>
  <c r="I870"/>
  <c r="I171" i="3" s="1"/>
  <c r="G690" i="1"/>
  <c r="G21" i="3" s="1"/>
  <c r="G20" s="1"/>
  <c r="G755" i="1"/>
  <c r="G60" i="3" s="1"/>
  <c r="G366" i="1"/>
  <c r="F49" i="3"/>
  <c r="H114" i="2"/>
  <c r="G230"/>
  <c r="G140"/>
  <c r="G265" s="1"/>
  <c r="G206"/>
  <c r="G115"/>
  <c r="G147"/>
  <c r="G288" s="1"/>
  <c r="H507" i="1"/>
  <c r="G512"/>
  <c r="G525" s="1"/>
  <c r="H505"/>
  <c r="H879"/>
  <c r="H656"/>
  <c r="H652" s="1"/>
  <c r="I461"/>
  <c r="I473"/>
  <c r="I378"/>
  <c r="I377"/>
  <c r="I380"/>
  <c r="I632"/>
  <c r="I629"/>
  <c r="I630"/>
  <c r="I375"/>
  <c r="I636"/>
  <c r="I967" s="1"/>
  <c r="I299" i="3" s="1"/>
  <c r="I298" s="1"/>
  <c r="I633" i="1"/>
  <c r="I486"/>
  <c r="I1233"/>
  <c r="I1237"/>
  <c r="I1239"/>
  <c r="I1232"/>
  <c r="I1234"/>
  <c r="I1238"/>
  <c r="I634"/>
  <c r="J98"/>
  <c r="G188" i="3"/>
  <c r="G187" s="1"/>
  <c r="G1277" i="1"/>
  <c r="G1033"/>
  <c r="G1280" s="1"/>
  <c r="F493"/>
  <c r="L493" s="1"/>
  <c r="L446"/>
  <c r="F418"/>
  <c r="F475" s="1"/>
  <c r="F427"/>
  <c r="F482" s="1"/>
  <c r="F692" s="1"/>
  <c r="F23" i="3" s="1"/>
  <c r="F22" s="1"/>
  <c r="H419" i="1"/>
  <c r="F419"/>
  <c r="F476" s="1"/>
  <c r="F956" s="1"/>
  <c r="I420"/>
  <c r="I477" s="1"/>
  <c r="H420"/>
  <c r="H477" s="1"/>
  <c r="I418"/>
  <c r="G418"/>
  <c r="G420"/>
  <c r="G477" s="1"/>
  <c r="G419"/>
  <c r="I419"/>
  <c r="H418"/>
  <c r="J419"/>
  <c r="J420"/>
  <c r="J477" s="1"/>
  <c r="J418"/>
  <c r="J521" i="3"/>
  <c r="J522" s="1"/>
  <c r="I522"/>
  <c r="J297" i="1"/>
  <c r="J295" s="1"/>
  <c r="J309" s="1"/>
  <c r="I295"/>
  <c r="J285"/>
  <c r="J283" s="1"/>
  <c r="J307" s="1"/>
  <c r="I283"/>
  <c r="J189"/>
  <c r="I210"/>
  <c r="I357"/>
  <c r="J356"/>
  <c r="G169" i="3"/>
  <c r="G168" s="1"/>
  <c r="J163" i="2"/>
  <c r="J111"/>
  <c r="J118"/>
  <c r="H627" i="1"/>
  <c r="H620" s="1"/>
  <c r="G638"/>
  <c r="G635" s="1"/>
  <c r="G637" s="1"/>
  <c r="I523" i="3"/>
  <c r="L220" i="2"/>
  <c r="H379" i="1"/>
  <c r="I458" i="3"/>
  <c r="J458" s="1"/>
  <c r="H870" i="1"/>
  <c r="H171" i="3" s="1"/>
  <c r="G209" i="1"/>
  <c r="H209" s="1"/>
  <c r="I1120"/>
  <c r="J1120" s="1"/>
  <c r="I690"/>
  <c r="I21" i="3" s="1"/>
  <c r="G870" i="1"/>
  <c r="G171" i="3" s="1"/>
  <c r="G170" s="1"/>
  <c r="G234" i="1"/>
  <c r="G256"/>
  <c r="G170"/>
  <c r="F184"/>
  <c r="F553" s="1"/>
  <c r="F274"/>
  <c r="F565" s="1"/>
  <c r="G753"/>
  <c r="G56" i="3" s="1"/>
  <c r="G364" i="1"/>
  <c r="I232"/>
  <c r="J197"/>
  <c r="H753"/>
  <c r="H56" i="3" s="1"/>
  <c r="H364" i="1"/>
  <c r="I258"/>
  <c r="I136"/>
  <c r="J135"/>
  <c r="J136" s="1"/>
  <c r="H137"/>
  <c r="H159" s="1"/>
  <c r="G165"/>
  <c r="F166"/>
  <c r="F180" s="1"/>
  <c r="F683" s="1"/>
  <c r="F682" s="1"/>
  <c r="F17" i="3" s="1"/>
  <c r="F16" s="1"/>
  <c r="F179" i="1"/>
  <c r="F858" s="1"/>
  <c r="F150" i="3" s="1"/>
  <c r="F149" s="1"/>
  <c r="G168" i="1"/>
  <c r="F182"/>
  <c r="F556" s="1"/>
  <c r="F554" s="1"/>
  <c r="F966" s="1"/>
  <c r="F297" i="3" s="1"/>
  <c r="F296" s="1"/>
  <c r="G238" i="1"/>
  <c r="G259"/>
  <c r="G237"/>
  <c r="F248"/>
  <c r="F270" s="1"/>
  <c r="F687" s="1"/>
  <c r="F269"/>
  <c r="F272"/>
  <c r="F568" s="1"/>
  <c r="F566" s="1"/>
  <c r="F551"/>
  <c r="F943" s="1"/>
  <c r="F255" i="3" s="1"/>
  <c r="F254" s="1"/>
  <c r="F563" i="1"/>
  <c r="F962" s="1"/>
  <c r="F289" i="3" s="1"/>
  <c r="F288" s="1"/>
  <c r="G167" i="1"/>
  <c r="G169"/>
  <c r="G183" s="1"/>
  <c r="G552" s="1"/>
  <c r="H231"/>
  <c r="G174"/>
  <c r="G750" s="1"/>
  <c r="J543" i="3"/>
  <c r="J518"/>
  <c r="J451"/>
  <c r="J346"/>
  <c r="J250"/>
  <c r="J147"/>
  <c r="J47"/>
  <c r="J11"/>
  <c r="J262" i="2"/>
  <c r="J228"/>
  <c r="J204"/>
  <c r="J179"/>
  <c r="J156"/>
  <c r="J134"/>
  <c r="J106"/>
  <c r="J1255" i="1"/>
  <c r="J1206"/>
  <c r="J1181"/>
  <c r="J1112"/>
  <c r="J1007"/>
  <c r="J940"/>
  <c r="J856"/>
  <c r="J825"/>
  <c r="J748"/>
  <c r="J670"/>
  <c r="J643"/>
  <c r="J610"/>
  <c r="J594"/>
  <c r="J532"/>
  <c r="J498"/>
  <c r="J386"/>
  <c r="J322"/>
  <c r="J277"/>
  <c r="J201"/>
  <c r="J194"/>
  <c r="J187"/>
  <c r="J143"/>
  <c r="J128"/>
  <c r="J121"/>
  <c r="J113"/>
  <c r="G711"/>
  <c r="G184"/>
  <c r="G553" s="1"/>
  <c r="G178"/>
  <c r="G155"/>
  <c r="G177"/>
  <c r="G152"/>
  <c r="G176"/>
  <c r="J345"/>
  <c r="J315"/>
  <c r="J764"/>
  <c r="L829"/>
  <c r="J177" i="3"/>
  <c r="L873" i="1"/>
  <c r="J21" i="3"/>
  <c r="J573" i="1"/>
  <c r="L674"/>
  <c r="J235" i="2"/>
  <c r="L235" s="1"/>
  <c r="L219"/>
  <c r="J562" i="3"/>
  <c r="L562" s="1"/>
  <c r="L181"/>
  <c r="J130" i="1"/>
  <c r="J131" s="1"/>
  <c r="I131"/>
  <c r="H132"/>
  <c r="H134" s="1"/>
  <c r="H133"/>
  <c r="G181"/>
  <c r="G555" s="1"/>
  <c r="G213" l="1"/>
  <c r="G214" s="1"/>
  <c r="G212"/>
  <c r="H212" s="1"/>
  <c r="G463"/>
  <c r="G398"/>
  <c r="H146"/>
  <c r="G261"/>
  <c r="J523" i="3"/>
  <c r="H20"/>
  <c r="H214" i="1"/>
  <c r="J1186"/>
  <c r="H205"/>
  <c r="J331"/>
  <c r="L331" s="1"/>
  <c r="L330"/>
  <c r="H215"/>
  <c r="H760"/>
  <c r="H70" i="3" s="1"/>
  <c r="H370" i="1"/>
  <c r="G971"/>
  <c r="G306" i="3" s="1"/>
  <c r="G305" s="1"/>
  <c r="G404" i="1"/>
  <c r="G469" s="1"/>
  <c r="I307"/>
  <c r="L283"/>
  <c r="I309"/>
  <c r="L295"/>
  <c r="F280" i="3"/>
  <c r="F279" s="1"/>
  <c r="F282" s="1"/>
  <c r="F957" i="1"/>
  <c r="G565" i="3"/>
  <c r="G372"/>
  <c r="G568" s="1"/>
  <c r="I879" i="1"/>
  <c r="I656"/>
  <c r="I652" s="1"/>
  <c r="I648"/>
  <c r="H504"/>
  <c r="H506" s="1"/>
  <c r="I114" i="2"/>
  <c r="H206"/>
  <c r="H115"/>
  <c r="H147"/>
  <c r="H288" s="1"/>
  <c r="H230"/>
  <c r="H140"/>
  <c r="H265" s="1"/>
  <c r="G462" i="3"/>
  <c r="G566"/>
  <c r="I165" i="2"/>
  <c r="J164"/>
  <c r="J165" s="1"/>
  <c r="J176" s="1"/>
  <c r="J182" s="1"/>
  <c r="J242" s="1"/>
  <c r="I488" i="1"/>
  <c r="H169" i="3"/>
  <c r="H168" s="1"/>
  <c r="H1264" i="1"/>
  <c r="H188" i="3"/>
  <c r="H187" s="1"/>
  <c r="H565" s="1"/>
  <c r="H1277" i="1"/>
  <c r="G125" i="2"/>
  <c r="F210"/>
  <c r="G129"/>
  <c r="F215"/>
  <c r="F67" i="3" s="1"/>
  <c r="G124" i="2"/>
  <c r="F232"/>
  <c r="F153" i="3" s="1"/>
  <c r="F209" i="2"/>
  <c r="F55" i="3" s="1"/>
  <c r="F859" i="1"/>
  <c r="F152" i="3" s="1"/>
  <c r="G552"/>
  <c r="G427" i="1"/>
  <c r="G482" s="1"/>
  <c r="H182" i="2"/>
  <c r="J340" i="1"/>
  <c r="J291"/>
  <c r="J289" s="1"/>
  <c r="J308" s="1"/>
  <c r="G448"/>
  <c r="G494" s="1"/>
  <c r="H631"/>
  <c r="H625"/>
  <c r="L356"/>
  <c r="J357"/>
  <c r="L357" s="1"/>
  <c r="J210"/>
  <c r="L210" s="1"/>
  <c r="G421"/>
  <c r="J1239"/>
  <c r="L1239" s="1"/>
  <c r="J1237"/>
  <c r="L1237" s="1"/>
  <c r="J1233"/>
  <c r="L1233" s="1"/>
  <c r="J636"/>
  <c r="J967" s="1"/>
  <c r="J299" i="3" s="1"/>
  <c r="J298" s="1"/>
  <c r="J630" i="1"/>
  <c r="J486"/>
  <c r="J461"/>
  <c r="J375"/>
  <c r="J1238"/>
  <c r="L1238" s="1"/>
  <c r="J1234"/>
  <c r="L1234" s="1"/>
  <c r="J1232"/>
  <c r="L1232" s="1"/>
  <c r="J634"/>
  <c r="L634" s="1"/>
  <c r="J629"/>
  <c r="J473"/>
  <c r="J648" s="1"/>
  <c r="L648" s="1"/>
  <c r="J633"/>
  <c r="L633" s="1"/>
  <c r="I871"/>
  <c r="I649"/>
  <c r="L486"/>
  <c r="I376"/>
  <c r="L375"/>
  <c r="I880"/>
  <c r="I661"/>
  <c r="L630"/>
  <c r="I738"/>
  <c r="I379"/>
  <c r="I869"/>
  <c r="I647"/>
  <c r="I495"/>
  <c r="L461"/>
  <c r="H186" i="3"/>
  <c r="H185" s="1"/>
  <c r="H564" s="1"/>
  <c r="H1276" i="1"/>
  <c r="F171" i="3"/>
  <c r="F170" s="1"/>
  <c r="F1148" i="1"/>
  <c r="F1149" s="1"/>
  <c r="F1264"/>
  <c r="F875"/>
  <c r="F1125" s="1"/>
  <c r="H755"/>
  <c r="H60" i="3" s="1"/>
  <c r="H366" i="1"/>
  <c r="J303"/>
  <c r="J301" s="1"/>
  <c r="J190"/>
  <c r="J235" s="1"/>
  <c r="J623"/>
  <c r="L623" s="1"/>
  <c r="I308"/>
  <c r="L289"/>
  <c r="J196"/>
  <c r="I207"/>
  <c r="F690"/>
  <c r="L481"/>
  <c r="J488"/>
  <c r="G488"/>
  <c r="G442"/>
  <c r="H488"/>
  <c r="G127" i="2"/>
  <c r="F212"/>
  <c r="G130"/>
  <c r="F216"/>
  <c r="F69" i="3" s="1"/>
  <c r="G126" i="2"/>
  <c r="F233"/>
  <c r="F155" i="3" s="1"/>
  <c r="F211" i="2"/>
  <c r="F59" i="3" s="1"/>
  <c r="G123" i="2"/>
  <c r="F231"/>
  <c r="F131"/>
  <c r="F208"/>
  <c r="G1264" i="1"/>
  <c r="L307"/>
  <c r="J348"/>
  <c r="H236"/>
  <c r="H233"/>
  <c r="H237"/>
  <c r="G260"/>
  <c r="G166"/>
  <c r="G158"/>
  <c r="H169"/>
  <c r="H167"/>
  <c r="H162"/>
  <c r="H163"/>
  <c r="H168" s="1"/>
  <c r="H164"/>
  <c r="J137"/>
  <c r="J159" s="1"/>
  <c r="I137"/>
  <c r="I159" s="1"/>
  <c r="I752"/>
  <c r="I363"/>
  <c r="J232"/>
  <c r="I255"/>
  <c r="L232"/>
  <c r="G306"/>
  <c r="G281"/>
  <c r="H234"/>
  <c r="G257"/>
  <c r="H230"/>
  <c r="G239"/>
  <c r="H138"/>
  <c r="H160" s="1"/>
  <c r="H139"/>
  <c r="H170"/>
  <c r="G551"/>
  <c r="G943" s="1"/>
  <c r="H149"/>
  <c r="H150"/>
  <c r="H151"/>
  <c r="H156"/>
  <c r="H183" s="1"/>
  <c r="H552" s="1"/>
  <c r="H154"/>
  <c r="H181" s="1"/>
  <c r="H555" s="1"/>
  <c r="H173"/>
  <c r="I132"/>
  <c r="I134" s="1"/>
  <c r="I133"/>
  <c r="J132"/>
  <c r="J146" s="1"/>
  <c r="J20" i="3"/>
  <c r="J176"/>
  <c r="L176" s="1"/>
  <c r="L177"/>
  <c r="J78"/>
  <c r="L764" i="1"/>
  <c r="J346"/>
  <c r="G153"/>
  <c r="G145" s="1"/>
  <c r="G179"/>
  <c r="H155"/>
  <c r="G182"/>
  <c r="G556" s="1"/>
  <c r="G554" s="1"/>
  <c r="G966" s="1"/>
  <c r="G297" i="3" s="1"/>
  <c r="G296" s="1"/>
  <c r="G50"/>
  <c r="G1257" i="1"/>
  <c r="G710"/>
  <c r="G673"/>
  <c r="H147"/>
  <c r="H157"/>
  <c r="G215" l="1"/>
  <c r="G217" s="1"/>
  <c r="G466"/>
  <c r="G400"/>
  <c r="G401" s="1"/>
  <c r="I205"/>
  <c r="J206" s="1"/>
  <c r="L206" s="1"/>
  <c r="I206"/>
  <c r="I146"/>
  <c r="F207" i="2"/>
  <c r="F53" i="3"/>
  <c r="H130" i="2"/>
  <c r="G216"/>
  <c r="G69" i="3" s="1"/>
  <c r="F253" i="2"/>
  <c r="F256" s="1"/>
  <c r="F61" i="3"/>
  <c r="G444" i="1"/>
  <c r="G491"/>
  <c r="F21" i="3"/>
  <c r="F693" i="1"/>
  <c r="F25" i="3" s="1"/>
  <c r="F24" s="1"/>
  <c r="L690" i="1"/>
  <c r="J310"/>
  <c r="L301"/>
  <c r="F179" i="3"/>
  <c r="F463" s="1"/>
  <c r="F552"/>
  <c r="F485"/>
  <c r="F486" s="1"/>
  <c r="I169"/>
  <c r="I1264" i="1"/>
  <c r="I760"/>
  <c r="I370"/>
  <c r="I36" i="3"/>
  <c r="I173"/>
  <c r="J879" i="1"/>
  <c r="J656"/>
  <c r="J647"/>
  <c r="J869"/>
  <c r="J169" i="3" s="1"/>
  <c r="J168" s="1"/>
  <c r="J495" i="1"/>
  <c r="L495" s="1"/>
  <c r="J661"/>
  <c r="L661" s="1"/>
  <c r="J880"/>
  <c r="H638"/>
  <c r="H635" s="1"/>
  <c r="H637" s="1"/>
  <c r="I627"/>
  <c r="I620" s="1"/>
  <c r="J341"/>
  <c r="L340"/>
  <c r="H124" i="2"/>
  <c r="G209"/>
  <c r="G55" i="3" s="1"/>
  <c r="G232" i="2"/>
  <c r="H125"/>
  <c r="G210"/>
  <c r="I206"/>
  <c r="I115"/>
  <c r="I147"/>
  <c r="I288" s="1"/>
  <c r="I230"/>
  <c r="I140"/>
  <c r="I265" s="1"/>
  <c r="J114"/>
  <c r="I186" i="3"/>
  <c r="I1276" i="1"/>
  <c r="L879"/>
  <c r="I315"/>
  <c r="I345"/>
  <c r="L345" s="1"/>
  <c r="L309"/>
  <c r="J205"/>
  <c r="J211"/>
  <c r="F151" i="3"/>
  <c r="L473" i="1"/>
  <c r="L629"/>
  <c r="J349"/>
  <c r="L348"/>
  <c r="H123" i="2"/>
  <c r="G208"/>
  <c r="G131"/>
  <c r="G121"/>
  <c r="G231"/>
  <c r="H126"/>
  <c r="G211"/>
  <c r="G59" i="3" s="1"/>
  <c r="G233" i="2"/>
  <c r="H127"/>
  <c r="G212"/>
  <c r="J207" i="1"/>
  <c r="L207" s="1"/>
  <c r="J208"/>
  <c r="I335"/>
  <c r="I314"/>
  <c r="L308"/>
  <c r="J258"/>
  <c r="L235"/>
  <c r="I188" i="3"/>
  <c r="I1277" i="1"/>
  <c r="L880"/>
  <c r="I755"/>
  <c r="I366"/>
  <c r="J649"/>
  <c r="L649" s="1"/>
  <c r="J871"/>
  <c r="J173" i="3" s="1"/>
  <c r="J172" s="1"/>
  <c r="G423" i="1"/>
  <c r="G478"/>
  <c r="H863"/>
  <c r="H662"/>
  <c r="J314"/>
  <c r="J336" s="1"/>
  <c r="J335"/>
  <c r="H242" i="2"/>
  <c r="G467" i="1"/>
  <c r="G954" s="1"/>
  <c r="G276" i="3" s="1"/>
  <c r="G275" s="1"/>
  <c r="H399" i="1"/>
  <c r="H398"/>
  <c r="H129" i="2"/>
  <c r="G215"/>
  <c r="F57" i="3"/>
  <c r="F234" i="2"/>
  <c r="F239" s="1"/>
  <c r="F258" s="1"/>
  <c r="I176"/>
  <c r="L165"/>
  <c r="I167"/>
  <c r="H512" i="1"/>
  <c r="H525" s="1"/>
  <c r="I505"/>
  <c r="I507"/>
  <c r="B451"/>
  <c r="L647"/>
  <c r="J378"/>
  <c r="J632"/>
  <c r="G692"/>
  <c r="G23" i="3" s="1"/>
  <c r="G22" s="1"/>
  <c r="G240" i="1"/>
  <c r="G242" s="1"/>
  <c r="G262"/>
  <c r="I231"/>
  <c r="H257"/>
  <c r="G305"/>
  <c r="G313"/>
  <c r="G327"/>
  <c r="I753"/>
  <c r="I364"/>
  <c r="I54" i="3"/>
  <c r="I169" i="1"/>
  <c r="I167"/>
  <c r="I162"/>
  <c r="I163"/>
  <c r="L163" s="1"/>
  <c r="I164"/>
  <c r="J169"/>
  <c r="J167"/>
  <c r="J162"/>
  <c r="J163"/>
  <c r="J164"/>
  <c r="H165"/>
  <c r="L162"/>
  <c r="H260"/>
  <c r="H256"/>
  <c r="H238"/>
  <c r="H261" s="1"/>
  <c r="H259"/>
  <c r="I170"/>
  <c r="I168"/>
  <c r="J168" s="1"/>
  <c r="I138"/>
  <c r="I160" s="1"/>
  <c r="I139"/>
  <c r="J138"/>
  <c r="J160" s="1"/>
  <c r="J139"/>
  <c r="L159"/>
  <c r="L164"/>
  <c r="H184"/>
  <c r="H553" s="1"/>
  <c r="H174"/>
  <c r="G572"/>
  <c r="G338"/>
  <c r="G49" i="3"/>
  <c r="H182" i="1"/>
  <c r="H556" s="1"/>
  <c r="G843"/>
  <c r="G172"/>
  <c r="G180"/>
  <c r="J77" i="3"/>
  <c r="L77" s="1"/>
  <c r="L78"/>
  <c r="J156" i="1"/>
  <c r="J183" s="1"/>
  <c r="J552" s="1"/>
  <c r="J154"/>
  <c r="J181" s="1"/>
  <c r="J555" s="1"/>
  <c r="J149"/>
  <c r="J151"/>
  <c r="J178" s="1"/>
  <c r="J150"/>
  <c r="J177" s="1"/>
  <c r="J173"/>
  <c r="I149"/>
  <c r="L149" s="1"/>
  <c r="I150"/>
  <c r="I177" s="1"/>
  <c r="I151"/>
  <c r="I178" s="1"/>
  <c r="I156"/>
  <c r="I183" s="1"/>
  <c r="I552" s="1"/>
  <c r="I154"/>
  <c r="I181" s="1"/>
  <c r="I555" s="1"/>
  <c r="I173"/>
  <c r="H711"/>
  <c r="H750"/>
  <c r="L173"/>
  <c r="H551"/>
  <c r="H943" s="1"/>
  <c r="H178"/>
  <c r="L178" s="1"/>
  <c r="H177"/>
  <c r="L150"/>
  <c r="H152"/>
  <c r="H176"/>
  <c r="G255" i="3"/>
  <c r="G254" s="1"/>
  <c r="G361" s="1"/>
  <c r="G1022" i="1"/>
  <c r="J133"/>
  <c r="J147" s="1"/>
  <c r="J134"/>
  <c r="I147"/>
  <c r="L146"/>
  <c r="H554"/>
  <c r="H966" s="1"/>
  <c r="H297" i="3" s="1"/>
  <c r="H296" s="1"/>
  <c r="G219" i="1" l="1"/>
  <c r="G226"/>
  <c r="G224"/>
  <c r="G216"/>
  <c r="G221"/>
  <c r="G220"/>
  <c r="G225" s="1"/>
  <c r="G227"/>
  <c r="I211"/>
  <c r="I208"/>
  <c r="L177"/>
  <c r="L335"/>
  <c r="L378"/>
  <c r="G450"/>
  <c r="H450"/>
  <c r="H763" s="1"/>
  <c r="H76" i="3" s="1"/>
  <c r="H75" s="1"/>
  <c r="J450" i="1"/>
  <c r="J763" s="1"/>
  <c r="J76" i="3" s="1"/>
  <c r="J75" s="1"/>
  <c r="G453" i="1"/>
  <c r="G452"/>
  <c r="G476" s="1"/>
  <c r="G956" s="1"/>
  <c r="G280" i="3" s="1"/>
  <c r="G279" s="1"/>
  <c r="H452" i="1"/>
  <c r="H476" s="1"/>
  <c r="H956" s="1"/>
  <c r="H280" i="3" s="1"/>
  <c r="H279" s="1"/>
  <c r="I452" i="1"/>
  <c r="I476" s="1"/>
  <c r="I956" s="1"/>
  <c r="I280" i="3" s="1"/>
  <c r="I279" s="1"/>
  <c r="I450" i="1"/>
  <c r="I763" s="1"/>
  <c r="I76" i="3" s="1"/>
  <c r="I75" s="1"/>
  <c r="J452" i="1"/>
  <c r="J476" s="1"/>
  <c r="J956" s="1"/>
  <c r="J280" i="3" s="1"/>
  <c r="J279" s="1"/>
  <c r="I20"/>
  <c r="I129" i="2"/>
  <c r="H215"/>
  <c r="H160" i="3"/>
  <c r="H1124" i="1"/>
  <c r="H1278"/>
  <c r="G337"/>
  <c r="G368" s="1"/>
  <c r="G757"/>
  <c r="G64" i="3" s="1"/>
  <c r="G63" s="1"/>
  <c r="I60"/>
  <c r="I127" i="2"/>
  <c r="H212"/>
  <c r="H253" s="1"/>
  <c r="H256" s="1"/>
  <c r="I123"/>
  <c r="H208"/>
  <c r="H231"/>
  <c r="H131"/>
  <c r="H121"/>
  <c r="L349" i="1"/>
  <c r="J380"/>
  <c r="L380" s="1"/>
  <c r="J213"/>
  <c r="L211"/>
  <c r="I346"/>
  <c r="L346" s="1"/>
  <c r="L315"/>
  <c r="J147" i="2"/>
  <c r="J288" s="1"/>
  <c r="J115"/>
  <c r="L115" s="1"/>
  <c r="J206"/>
  <c r="L206" s="1"/>
  <c r="J140"/>
  <c r="J265" s="1"/>
  <c r="L114"/>
  <c r="I124"/>
  <c r="H209"/>
  <c r="H55" i="3" s="1"/>
  <c r="H232" i="2"/>
  <c r="L341" i="1"/>
  <c r="J377"/>
  <c r="H971"/>
  <c r="H306" i="3" s="1"/>
  <c r="H305" s="1"/>
  <c r="H404" i="1"/>
  <c r="H427"/>
  <c r="H448"/>
  <c r="L656"/>
  <c r="J652"/>
  <c r="L652" s="1"/>
  <c r="I70" i="3"/>
  <c r="J316" i="1"/>
  <c r="J353"/>
  <c r="L353" s="1"/>
  <c r="L310"/>
  <c r="F20" i="3"/>
  <c r="L20" s="1"/>
  <c r="L21"/>
  <c r="L871" i="1"/>
  <c r="G693"/>
  <c r="J738"/>
  <c r="L632"/>
  <c r="I504"/>
  <c r="I506" s="1"/>
  <c r="I169" i="2"/>
  <c r="I168" s="1"/>
  <c r="I277" s="1"/>
  <c r="I275" s="1"/>
  <c r="I279" s="1"/>
  <c r="J167"/>
  <c r="H466" i="1"/>
  <c r="H400"/>
  <c r="H170" i="3"/>
  <c r="H552" s="1"/>
  <c r="G424" i="1"/>
  <c r="I187" i="3"/>
  <c r="L258" i="1"/>
  <c r="J363"/>
  <c r="L363" s="1"/>
  <c r="J752"/>
  <c r="I336"/>
  <c r="L314"/>
  <c r="G253" i="2"/>
  <c r="I126"/>
  <c r="H211"/>
  <c r="H59" i="3" s="1"/>
  <c r="H233" i="2"/>
  <c r="G138"/>
  <c r="G268" s="1"/>
  <c r="G142"/>
  <c r="G270" s="1"/>
  <c r="G146"/>
  <c r="G148"/>
  <c r="G286" s="1"/>
  <c r="G137"/>
  <c r="G139"/>
  <c r="G267" s="1"/>
  <c r="G141"/>
  <c r="G266" s="1"/>
  <c r="G149"/>
  <c r="G287" s="1"/>
  <c r="G207"/>
  <c r="G214" s="1"/>
  <c r="G217" s="1"/>
  <c r="G223" s="1"/>
  <c r="G53" i="3"/>
  <c r="I185"/>
  <c r="I125" i="2"/>
  <c r="H210"/>
  <c r="I631" i="1"/>
  <c r="I625"/>
  <c r="J188" i="3"/>
  <c r="J187" s="1"/>
  <c r="J565" s="1"/>
  <c r="J1277" i="1"/>
  <c r="L1277" s="1"/>
  <c r="J1276"/>
  <c r="L1276" s="1"/>
  <c r="J186" i="3"/>
  <c r="J185" s="1"/>
  <c r="J564" s="1"/>
  <c r="I172"/>
  <c r="L172" s="1"/>
  <c r="L173"/>
  <c r="I35"/>
  <c r="I168"/>
  <c r="L169"/>
  <c r="G445" i="1"/>
  <c r="I130" i="2"/>
  <c r="H216"/>
  <c r="H69" i="3" s="1"/>
  <c r="F51"/>
  <c r="F214" i="2"/>
  <c r="L151" i="1"/>
  <c r="J170"/>
  <c r="I182" i="2"/>
  <c r="L336" i="1"/>
  <c r="J255"/>
  <c r="L869"/>
  <c r="G251"/>
  <c r="G273" s="1"/>
  <c r="G564" s="1"/>
  <c r="G249"/>
  <c r="G271" s="1"/>
  <c r="G567" s="1"/>
  <c r="G244"/>
  <c r="G241"/>
  <c r="G264"/>
  <c r="G245"/>
  <c r="G246"/>
  <c r="G252" s="1"/>
  <c r="L160"/>
  <c r="H306"/>
  <c r="H281"/>
  <c r="H166"/>
  <c r="H158" s="1"/>
  <c r="I56" i="3"/>
  <c r="G312" i="1"/>
  <c r="G699" s="1"/>
  <c r="G328"/>
  <c r="G539" s="1"/>
  <c r="G860"/>
  <c r="G154" i="3" s="1"/>
  <c r="G153" s="1"/>
  <c r="G578" i="1"/>
  <c r="G965" s="1"/>
  <c r="G295" i="3" s="1"/>
  <c r="G294" s="1"/>
  <c r="G1221" i="1"/>
  <c r="I236"/>
  <c r="I233"/>
  <c r="I174"/>
  <c r="I673" s="1"/>
  <c r="I572" s="1"/>
  <c r="J174"/>
  <c r="J673" s="1"/>
  <c r="H239"/>
  <c r="J165"/>
  <c r="I165"/>
  <c r="I230"/>
  <c r="J572"/>
  <c r="H153"/>
  <c r="H145"/>
  <c r="H179"/>
  <c r="H255" i="3"/>
  <c r="H254" s="1"/>
  <c r="H1022" i="1"/>
  <c r="H50" i="3"/>
  <c r="H1257" i="1"/>
  <c r="H710"/>
  <c r="I711"/>
  <c r="I750"/>
  <c r="I152"/>
  <c r="I176"/>
  <c r="J750"/>
  <c r="J711"/>
  <c r="J710" s="1"/>
  <c r="J338" s="1"/>
  <c r="J374" s="1"/>
  <c r="J152"/>
  <c r="J176"/>
  <c r="G683"/>
  <c r="G541"/>
  <c r="G945" s="1"/>
  <c r="G259" i="3" s="1"/>
  <c r="G258" s="1"/>
  <c r="G359" i="1"/>
  <c r="G545" i="3"/>
  <c r="G374" i="1"/>
  <c r="H673"/>
  <c r="L174"/>
  <c r="G858"/>
  <c r="I155"/>
  <c r="L147"/>
  <c r="I157"/>
  <c r="I209" l="1"/>
  <c r="J209" s="1"/>
  <c r="L208"/>
  <c r="L176"/>
  <c r="H453"/>
  <c r="G222"/>
  <c r="I213"/>
  <c r="I212"/>
  <c r="J212" s="1"/>
  <c r="H217"/>
  <c r="H475"/>
  <c r="I453"/>
  <c r="F217" i="2"/>
  <c r="F65" i="3"/>
  <c r="I216" i="2"/>
  <c r="I69" i="3" s="1"/>
  <c r="J130" i="2"/>
  <c r="L168" i="3"/>
  <c r="I863" i="1"/>
  <c r="I662"/>
  <c r="I210" i="2"/>
  <c r="J125"/>
  <c r="I564" i="3"/>
  <c r="L185"/>
  <c r="J54"/>
  <c r="L54" s="1"/>
  <c r="L752" i="1"/>
  <c r="I565" i="3"/>
  <c r="L187"/>
  <c r="H401" i="1"/>
  <c r="I512"/>
  <c r="I525" s="1"/>
  <c r="J507"/>
  <c r="L507" s="1"/>
  <c r="J505"/>
  <c r="J354"/>
  <c r="L354" s="1"/>
  <c r="L316"/>
  <c r="H482"/>
  <c r="H207" i="2"/>
  <c r="H214" s="1"/>
  <c r="H217" s="1"/>
  <c r="H223" s="1"/>
  <c r="H53" i="3"/>
  <c r="I212" i="2"/>
  <c r="J127"/>
  <c r="H159" i="3"/>
  <c r="L565"/>
  <c r="J753" i="1"/>
  <c r="L255"/>
  <c r="J364"/>
  <c r="L364" s="1"/>
  <c r="I242" i="2"/>
  <c r="L182"/>
  <c r="H443" i="1"/>
  <c r="G492"/>
  <c r="G949" s="1"/>
  <c r="G267" i="3" s="1"/>
  <c r="G266" s="1"/>
  <c r="H442" i="1"/>
  <c r="I638"/>
  <c r="I635" s="1"/>
  <c r="I637" s="1"/>
  <c r="J627"/>
  <c r="G225" i="2"/>
  <c r="G296" s="1"/>
  <c r="G224"/>
  <c r="G234" s="1"/>
  <c r="G239" s="1"/>
  <c r="G144"/>
  <c r="G269"/>
  <c r="G151"/>
  <c r="G284"/>
  <c r="G283" s="1"/>
  <c r="G291" s="1"/>
  <c r="I211"/>
  <c r="I59" i="3" s="1"/>
  <c r="I233" i="2"/>
  <c r="J126"/>
  <c r="G256"/>
  <c r="H422" i="1"/>
  <c r="H421"/>
  <c r="J169" i="2"/>
  <c r="J128" s="1"/>
  <c r="J213" s="1"/>
  <c r="I128"/>
  <c r="I121" s="1"/>
  <c r="J36" i="3"/>
  <c r="L738" i="1"/>
  <c r="G948"/>
  <c r="G265" i="3" s="1"/>
  <c r="G264" s="1"/>
  <c r="G25"/>
  <c r="G24" s="1"/>
  <c r="H494" i="1"/>
  <c r="H469"/>
  <c r="L377"/>
  <c r="J376"/>
  <c r="I209" i="2"/>
  <c r="I232"/>
  <c r="J124"/>
  <c r="L124" s="1"/>
  <c r="H137"/>
  <c r="H139"/>
  <c r="H267" s="1"/>
  <c r="H141"/>
  <c r="H266" s="1"/>
  <c r="H149"/>
  <c r="H287" s="1"/>
  <c r="H138"/>
  <c r="H268" s="1"/>
  <c r="H142"/>
  <c r="H270" s="1"/>
  <c r="H146"/>
  <c r="H148"/>
  <c r="H286" s="1"/>
  <c r="I231"/>
  <c r="I208"/>
  <c r="I131"/>
  <c r="J123"/>
  <c r="I215"/>
  <c r="J129"/>
  <c r="G455" i="1"/>
  <c r="G479" s="1"/>
  <c r="G475"/>
  <c r="H454"/>
  <c r="H478" s="1"/>
  <c r="G763"/>
  <c r="L450"/>
  <c r="G317"/>
  <c r="G373" s="1"/>
  <c r="L564" i="3"/>
  <c r="L186"/>
  <c r="L188"/>
  <c r="J230" i="2"/>
  <c r="L230" s="1"/>
  <c r="J379" i="1"/>
  <c r="J231"/>
  <c r="I166"/>
  <c r="I158"/>
  <c r="J166"/>
  <c r="J158"/>
  <c r="H240"/>
  <c r="H242" s="1"/>
  <c r="H262"/>
  <c r="I256"/>
  <c r="I234"/>
  <c r="I238"/>
  <c r="I261" s="1"/>
  <c r="I259"/>
  <c r="I237"/>
  <c r="G754"/>
  <c r="G365"/>
  <c r="I55" i="3"/>
  <c r="H305" i="1"/>
  <c r="H313"/>
  <c r="H327"/>
  <c r="G274"/>
  <c r="G565" s="1"/>
  <c r="G268"/>
  <c r="G267"/>
  <c r="G250"/>
  <c r="G263"/>
  <c r="G535" s="1"/>
  <c r="G947" s="1"/>
  <c r="G263" i="3" s="1"/>
  <c r="G262" s="1"/>
  <c r="G247" i="1"/>
  <c r="G266"/>
  <c r="L165"/>
  <c r="L158"/>
  <c r="L166"/>
  <c r="G563"/>
  <c r="G962" s="1"/>
  <c r="G289" i="3" s="1"/>
  <c r="G288" s="1"/>
  <c r="J157" i="1"/>
  <c r="J184" s="1"/>
  <c r="J553" s="1"/>
  <c r="J551" s="1"/>
  <c r="J943" s="1"/>
  <c r="I184"/>
  <c r="I553" s="1"/>
  <c r="I551" s="1"/>
  <c r="I943" s="1"/>
  <c r="J155"/>
  <c r="J182" s="1"/>
  <c r="J556" s="1"/>
  <c r="J554" s="1"/>
  <c r="J966" s="1"/>
  <c r="J297" i="3" s="1"/>
  <c r="J296" s="1"/>
  <c r="I182" i="1"/>
  <c r="I556" s="1"/>
  <c r="I554" s="1"/>
  <c r="I966" s="1"/>
  <c r="I297" i="3" s="1"/>
  <c r="I296" s="1"/>
  <c r="G150"/>
  <c r="H572" i="1"/>
  <c r="L673"/>
  <c r="G381"/>
  <c r="G360"/>
  <c r="G946"/>
  <c r="G261" i="3" s="1"/>
  <c r="G260" s="1"/>
  <c r="G682" i="1"/>
  <c r="J153"/>
  <c r="J180" s="1"/>
  <c r="J683" s="1"/>
  <c r="J682" s="1"/>
  <c r="J179"/>
  <c r="J858" s="1"/>
  <c r="J50" i="3"/>
  <c r="J49" s="1"/>
  <c r="J1257" i="1"/>
  <c r="I153"/>
  <c r="I180" s="1"/>
  <c r="I683" s="1"/>
  <c r="I682" s="1"/>
  <c r="I179"/>
  <c r="I858" s="1"/>
  <c r="I50" i="3"/>
  <c r="I49" s="1"/>
  <c r="I1257" i="1"/>
  <c r="L1257" s="1"/>
  <c r="I710"/>
  <c r="H338"/>
  <c r="L710"/>
  <c r="H49" i="3"/>
  <c r="H361" s="1"/>
  <c r="H843" i="1"/>
  <c r="L179"/>
  <c r="H172"/>
  <c r="H180"/>
  <c r="L711"/>
  <c r="L750"/>
  <c r="L152"/>
  <c r="I214" l="1"/>
  <c r="J214"/>
  <c r="J215" s="1"/>
  <c r="H216"/>
  <c r="H219"/>
  <c r="H224"/>
  <c r="H226"/>
  <c r="H221"/>
  <c r="H227" s="1"/>
  <c r="H220"/>
  <c r="H225" s="1"/>
  <c r="G223"/>
  <c r="G203" s="1"/>
  <c r="J145"/>
  <c r="J172" s="1"/>
  <c r="L169" i="2"/>
  <c r="J168"/>
  <c r="J277" s="1"/>
  <c r="J275" s="1"/>
  <c r="J279" s="1"/>
  <c r="J370" i="1"/>
  <c r="L370" s="1"/>
  <c r="J760"/>
  <c r="L379"/>
  <c r="G76" i="3"/>
  <c r="L763" i="1"/>
  <c r="G1034"/>
  <c r="J215" i="2"/>
  <c r="L215" s="1"/>
  <c r="L129"/>
  <c r="J231"/>
  <c r="L231" s="1"/>
  <c r="J131"/>
  <c r="L131" s="1"/>
  <c r="J208"/>
  <c r="J121"/>
  <c r="L123"/>
  <c r="H151"/>
  <c r="H284"/>
  <c r="H283" s="1"/>
  <c r="H291" s="1"/>
  <c r="H144"/>
  <c r="H153" s="1"/>
  <c r="H269"/>
  <c r="J232"/>
  <c r="L232" s="1"/>
  <c r="J209"/>
  <c r="L209" s="1"/>
  <c r="H692" i="1"/>
  <c r="J35" i="3"/>
  <c r="L35" s="1"/>
  <c r="L36"/>
  <c r="I213" i="2"/>
  <c r="L213" s="1"/>
  <c r="L128"/>
  <c r="L627" i="1"/>
  <c r="J620"/>
  <c r="H491"/>
  <c r="H444"/>
  <c r="I170" i="3"/>
  <c r="L242" i="2"/>
  <c r="J212"/>
  <c r="J253" s="1"/>
  <c r="J256" s="1"/>
  <c r="L127"/>
  <c r="L505" i="1"/>
  <c r="J504"/>
  <c r="J506" s="1"/>
  <c r="J514" s="1"/>
  <c r="J216" i="2"/>
  <c r="L130"/>
  <c r="H455" i="1"/>
  <c r="G955"/>
  <c r="G722"/>
  <c r="G721" s="1"/>
  <c r="I137" i="2"/>
  <c r="I139"/>
  <c r="I267" s="1"/>
  <c r="I141"/>
  <c r="I266" s="1"/>
  <c r="I149"/>
  <c r="I287" s="1"/>
  <c r="I138"/>
  <c r="I268" s="1"/>
  <c r="I142"/>
  <c r="I270" s="1"/>
  <c r="I146"/>
  <c r="I148"/>
  <c r="I286" s="1"/>
  <c r="L121"/>
  <c r="I207"/>
  <c r="L208"/>
  <c r="I53" i="3"/>
  <c r="J755" i="1"/>
  <c r="J366"/>
  <c r="L366" s="1"/>
  <c r="L376"/>
  <c r="H423"/>
  <c r="J211" i="2"/>
  <c r="J233"/>
  <c r="L233" s="1"/>
  <c r="L126"/>
  <c r="G298"/>
  <c r="G300" s="1"/>
  <c r="I971" i="1"/>
  <c r="I306" i="3" s="1"/>
  <c r="I305" s="1"/>
  <c r="I404" i="1"/>
  <c r="I427"/>
  <c r="I448"/>
  <c r="J56" i="3"/>
  <c r="L753" i="1"/>
  <c r="H462" i="3"/>
  <c r="H566"/>
  <c r="I253" i="2"/>
  <c r="L212"/>
  <c r="H224"/>
  <c r="H234" s="1"/>
  <c r="H239" s="1"/>
  <c r="I399" i="1"/>
  <c r="H467"/>
  <c r="H954" s="1"/>
  <c r="H276" i="3" s="1"/>
  <c r="H275" s="1"/>
  <c r="I398" i="1"/>
  <c r="J210" i="2"/>
  <c r="L210" s="1"/>
  <c r="L125"/>
  <c r="I160" i="3"/>
  <c r="I1124" i="1"/>
  <c r="I1278"/>
  <c r="F223" i="2"/>
  <c r="F71" i="3"/>
  <c r="F530" s="1"/>
  <c r="I475" i="1"/>
  <c r="J453"/>
  <c r="J475" s="1"/>
  <c r="L153"/>
  <c r="I843"/>
  <c r="J843" s="1"/>
  <c r="L843" s="1"/>
  <c r="L50" i="3"/>
  <c r="I145" i="1"/>
  <c r="G153" i="2"/>
  <c r="G181" s="1"/>
  <c r="B508" i="1"/>
  <c r="H251"/>
  <c r="H273" s="1"/>
  <c r="H564" s="1"/>
  <c r="H249"/>
  <c r="H271" s="1"/>
  <c r="H567" s="1"/>
  <c r="H244"/>
  <c r="H264"/>
  <c r="H245"/>
  <c r="H246"/>
  <c r="H252" s="1"/>
  <c r="H241"/>
  <c r="G248"/>
  <c r="G228" s="1"/>
  <c r="G269"/>
  <c r="H250"/>
  <c r="G272"/>
  <c r="G568" s="1"/>
  <c r="G566" s="1"/>
  <c r="H312"/>
  <c r="H328"/>
  <c r="H539" s="1"/>
  <c r="H860"/>
  <c r="H317"/>
  <c r="H373" s="1"/>
  <c r="H578"/>
  <c r="H965" s="1"/>
  <c r="H295" i="3" s="1"/>
  <c r="H294" s="1"/>
  <c r="H1221" i="1"/>
  <c r="G58" i="3"/>
  <c r="G57" s="1"/>
  <c r="I260" i="1"/>
  <c r="I257"/>
  <c r="I306"/>
  <c r="I281"/>
  <c r="J236"/>
  <c r="J233"/>
  <c r="L231"/>
  <c r="G845"/>
  <c r="I239"/>
  <c r="J230"/>
  <c r="H683"/>
  <c r="L180"/>
  <c r="H359"/>
  <c r="H541"/>
  <c r="H945" s="1"/>
  <c r="H259" i="3" s="1"/>
  <c r="H258" s="1"/>
  <c r="H545"/>
  <c r="L49"/>
  <c r="H374" i="1"/>
  <c r="I338"/>
  <c r="I374" s="1"/>
  <c r="I545" i="3"/>
  <c r="I150"/>
  <c r="I149" s="1"/>
  <c r="I17"/>
  <c r="I16" s="1"/>
  <c r="J545"/>
  <c r="J150"/>
  <c r="J149" s="1"/>
  <c r="J359" i="1"/>
  <c r="J17" i="3"/>
  <c r="J16" s="1"/>
  <c r="G17"/>
  <c r="G383" i="1"/>
  <c r="G861"/>
  <c r="G382"/>
  <c r="G149" i="3"/>
  <c r="I255"/>
  <c r="I254" s="1"/>
  <c r="I361" s="1"/>
  <c r="I1022" i="1"/>
  <c r="J255" i="3"/>
  <c r="J254" s="1"/>
  <c r="J361" s="1"/>
  <c r="J1022" i="1"/>
  <c r="H858"/>
  <c r="H222" l="1"/>
  <c r="I215"/>
  <c r="I217" s="1"/>
  <c r="L214"/>
  <c r="I216"/>
  <c r="J508"/>
  <c r="G508"/>
  <c r="I508"/>
  <c r="F508"/>
  <c r="H508"/>
  <c r="I466"/>
  <c r="I400"/>
  <c r="I256" i="2"/>
  <c r="L253"/>
  <c r="I494" i="1"/>
  <c r="I469"/>
  <c r="L211" i="2"/>
  <c r="I214"/>
  <c r="G575" i="1"/>
  <c r="G762"/>
  <c r="G74" i="3" s="1"/>
  <c r="I454" i="1"/>
  <c r="L514"/>
  <c r="J515"/>
  <c r="J527" s="1"/>
  <c r="J518"/>
  <c r="L518" s="1"/>
  <c r="J516"/>
  <c r="J528" s="1"/>
  <c r="J522"/>
  <c r="L620"/>
  <c r="J631"/>
  <c r="J625"/>
  <c r="J638" s="1"/>
  <c r="J635" s="1"/>
  <c r="J637" s="1"/>
  <c r="J53" i="3"/>
  <c r="J207" i="2"/>
  <c r="J214" s="1"/>
  <c r="J217" s="1"/>
  <c r="H225"/>
  <c r="H296" s="1"/>
  <c r="L53" i="3"/>
  <c r="G244" i="2"/>
  <c r="G247" s="1"/>
  <c r="G258" s="1"/>
  <c r="G259" s="1"/>
  <c r="G183"/>
  <c r="I172" i="1"/>
  <c r="L145"/>
  <c r="F83" i="3"/>
  <c r="F87" s="1"/>
  <c r="F91" s="1"/>
  <c r="F93" s="1"/>
  <c r="F225" i="2"/>
  <c r="I159" i="3"/>
  <c r="J55"/>
  <c r="L55" s="1"/>
  <c r="L56"/>
  <c r="I482" i="1"/>
  <c r="H424"/>
  <c r="J60" i="3"/>
  <c r="L60" s="1"/>
  <c r="L755" i="1"/>
  <c r="I151" i="2"/>
  <c r="I284"/>
  <c r="I283" s="1"/>
  <c r="I291" s="1"/>
  <c r="I144"/>
  <c r="I153" s="1"/>
  <c r="I181" s="1"/>
  <c r="I269"/>
  <c r="G953" i="1"/>
  <c r="G278" i="3"/>
  <c r="G277" s="1"/>
  <c r="L216" i="2"/>
  <c r="I552" i="3"/>
  <c r="H445" i="1"/>
  <c r="H337"/>
  <c r="H368" s="1"/>
  <c r="H757"/>
  <c r="H64" i="3" s="1"/>
  <c r="H23"/>
  <c r="H693" i="1"/>
  <c r="J149" i="2"/>
  <c r="J287" s="1"/>
  <c r="J146"/>
  <c r="J141"/>
  <c r="J266" s="1"/>
  <c r="J138"/>
  <c r="J268" s="1"/>
  <c r="J148"/>
  <c r="J286" s="1"/>
  <c r="J142"/>
  <c r="J270" s="1"/>
  <c r="J139"/>
  <c r="J267" s="1"/>
  <c r="J137"/>
  <c r="L76" i="3"/>
  <c r="G75"/>
  <c r="J70"/>
  <c r="L70" s="1"/>
  <c r="L760" i="1"/>
  <c r="L256" i="2"/>
  <c r="H181"/>
  <c r="I240" i="1"/>
  <c r="I242" s="1"/>
  <c r="I262"/>
  <c r="J256"/>
  <c r="L233"/>
  <c r="J238"/>
  <c r="J261" s="1"/>
  <c r="J259"/>
  <c r="L259" s="1"/>
  <c r="L236"/>
  <c r="I305"/>
  <c r="I313"/>
  <c r="I327"/>
  <c r="H154" i="3"/>
  <c r="H699" i="1"/>
  <c r="H272"/>
  <c r="H568" s="1"/>
  <c r="G844"/>
  <c r="G842" s="1"/>
  <c r="G765" s="1"/>
  <c r="G80" i="3" s="1"/>
  <c r="G254" i="1"/>
  <c r="G270"/>
  <c r="G687" s="1"/>
  <c r="H263"/>
  <c r="H535" s="1"/>
  <c r="H947" s="1"/>
  <c r="H263" i="3" s="1"/>
  <c r="H262" s="1"/>
  <c r="H274" i="1"/>
  <c r="H565" s="1"/>
  <c r="H268"/>
  <c r="H267"/>
  <c r="H845"/>
  <c r="H247"/>
  <c r="H266"/>
  <c r="J234"/>
  <c r="J257" s="1"/>
  <c r="J237"/>
  <c r="J260" s="1"/>
  <c r="H566"/>
  <c r="H563"/>
  <c r="H962" s="1"/>
  <c r="H150" i="3"/>
  <c r="L858" i="1"/>
  <c r="J223" i="2"/>
  <c r="G79" i="3"/>
  <c r="G759" i="1"/>
  <c r="G369"/>
  <c r="G362"/>
  <c r="G156" i="3"/>
  <c r="G688" i="1"/>
  <c r="G16" i="3"/>
  <c r="J360" i="1"/>
  <c r="J383" s="1"/>
  <c r="J688" s="1"/>
  <c r="J381"/>
  <c r="H946"/>
  <c r="H261" i="3" s="1"/>
  <c r="H260" s="1"/>
  <c r="H381" i="1"/>
  <c r="H360"/>
  <c r="H682"/>
  <c r="L683"/>
  <c r="G73" i="3"/>
  <c r="H63"/>
  <c r="L338" i="1"/>
  <c r="L374"/>
  <c r="L545" i="3"/>
  <c r="I219" i="1" l="1"/>
  <c r="I224"/>
  <c r="I220"/>
  <c r="I226"/>
  <c r="I221"/>
  <c r="I227" s="1"/>
  <c r="H203"/>
  <c r="H223"/>
  <c r="J217"/>
  <c r="H948"/>
  <c r="H265" i="3" s="1"/>
  <c r="H264" s="1"/>
  <c r="H25"/>
  <c r="I443" i="1"/>
  <c r="H492"/>
  <c r="H949" s="1"/>
  <c r="H267" i="3" s="1"/>
  <c r="H266" s="1"/>
  <c r="I442" i="1"/>
  <c r="I422"/>
  <c r="I421"/>
  <c r="J863"/>
  <c r="J662"/>
  <c r="L662" s="1"/>
  <c r="L631"/>
  <c r="L522"/>
  <c r="J870"/>
  <c r="I478"/>
  <c r="I455"/>
  <c r="I217" i="2"/>
  <c r="L214"/>
  <c r="I692" i="1"/>
  <c r="H510"/>
  <c r="H523" s="1"/>
  <c r="H689" s="1"/>
  <c r="H520"/>
  <c r="I520"/>
  <c r="I510"/>
  <c r="I523" s="1"/>
  <c r="I689" s="1"/>
  <c r="J520"/>
  <c r="J510"/>
  <c r="J523" s="1"/>
  <c r="J689" s="1"/>
  <c r="J69" i="3"/>
  <c r="L69" s="1"/>
  <c r="H244" i="2"/>
  <c r="H247" s="1"/>
  <c r="H258" s="1"/>
  <c r="H183"/>
  <c r="G373" i="3"/>
  <c r="L75"/>
  <c r="J269" i="2"/>
  <c r="J144"/>
  <c r="J284"/>
  <c r="J283" s="1"/>
  <c r="J291" s="1"/>
  <c r="J151"/>
  <c r="H22" i="3"/>
  <c r="G274"/>
  <c r="G273" s="1"/>
  <c r="G282" s="1"/>
  <c r="G359" s="1"/>
  <c r="G957" i="1"/>
  <c r="G1020" s="1"/>
  <c r="I244" i="2"/>
  <c r="I247" s="1"/>
  <c r="I183"/>
  <c r="I462" i="3"/>
  <c r="I566"/>
  <c r="L172" i="1"/>
  <c r="I359"/>
  <c r="G264" i="2"/>
  <c r="G273" s="1"/>
  <c r="G281" s="1"/>
  <c r="G301" s="1"/>
  <c r="H259"/>
  <c r="H298"/>
  <c r="H300" s="1"/>
  <c r="J404" i="1"/>
  <c r="J971"/>
  <c r="J306" i="3" s="1"/>
  <c r="J305" s="1"/>
  <c r="J427" i="1"/>
  <c r="J448"/>
  <c r="I401"/>
  <c r="F510"/>
  <c r="F523" s="1"/>
  <c r="F689" s="1"/>
  <c r="F520"/>
  <c r="G520"/>
  <c r="L508"/>
  <c r="G510"/>
  <c r="H479"/>
  <c r="L207" i="2"/>
  <c r="J59" i="3"/>
  <c r="L59" s="1"/>
  <c r="I251" i="1"/>
  <c r="I273" s="1"/>
  <c r="I564" s="1"/>
  <c r="I249"/>
  <c r="I271" s="1"/>
  <c r="I567" s="1"/>
  <c r="I244"/>
  <c r="I264"/>
  <c r="I245"/>
  <c r="I246"/>
  <c r="I241"/>
  <c r="I252"/>
  <c r="H289" i="3"/>
  <c r="H288" s="1"/>
  <c r="H248" i="1"/>
  <c r="H228" s="1"/>
  <c r="H269"/>
  <c r="H754"/>
  <c r="H365"/>
  <c r="H153" i="3"/>
  <c r="I312" i="1"/>
  <c r="I317" s="1"/>
  <c r="I328"/>
  <c r="I541" s="1"/>
  <c r="I945" s="1"/>
  <c r="I259" i="3" s="1"/>
  <c r="I258" s="1"/>
  <c r="I860" i="1"/>
  <c r="I578"/>
  <c r="I965" s="1"/>
  <c r="I295" i="3" s="1"/>
  <c r="I294" s="1"/>
  <c r="I1221" i="1"/>
  <c r="J306"/>
  <c r="J281"/>
  <c r="L281" s="1"/>
  <c r="L256"/>
  <c r="G859"/>
  <c r="G152" i="3" s="1"/>
  <c r="G151" s="1"/>
  <c r="G326" i="1"/>
  <c r="G372" s="1"/>
  <c r="G371" s="1"/>
  <c r="G582" s="1"/>
  <c r="G586" s="1"/>
  <c r="J239"/>
  <c r="H17" i="3"/>
  <c r="L682" i="1"/>
  <c r="H383"/>
  <c r="H861"/>
  <c r="H382"/>
  <c r="J382"/>
  <c r="J861"/>
  <c r="J156" i="3" s="1"/>
  <c r="J155" s="1"/>
  <c r="G155"/>
  <c r="G68"/>
  <c r="J224" i="2"/>
  <c r="H149" i="3"/>
  <c r="L150"/>
  <c r="J226" i="1" l="1"/>
  <c r="J221"/>
  <c r="L221" s="1"/>
  <c r="J219"/>
  <c r="J224"/>
  <c r="J220"/>
  <c r="I225"/>
  <c r="J225" s="1"/>
  <c r="L220"/>
  <c r="I222"/>
  <c r="L219"/>
  <c r="J216"/>
  <c r="L217"/>
  <c r="L510"/>
  <c r="G523"/>
  <c r="G756"/>
  <c r="L520"/>
  <c r="G367"/>
  <c r="F686"/>
  <c r="F19" i="3" s="1"/>
  <c r="F18" s="1"/>
  <c r="F694" i="1"/>
  <c r="J482"/>
  <c r="L482" s="1"/>
  <c r="L427"/>
  <c r="J469"/>
  <c r="L404"/>
  <c r="J756"/>
  <c r="J62" i="3" s="1"/>
  <c r="J61" s="1"/>
  <c r="J367" i="1"/>
  <c r="H367"/>
  <c r="H756"/>
  <c r="H62" i="3" s="1"/>
  <c r="H61" s="1"/>
  <c r="I23"/>
  <c r="I693" i="1"/>
  <c r="I223" i="2"/>
  <c r="L217"/>
  <c r="I423" i="1"/>
  <c r="I491"/>
  <c r="I757" s="1"/>
  <c r="I64" i="3" s="1"/>
  <c r="I63" s="1"/>
  <c r="I444" i="1"/>
  <c r="J153" i="2"/>
  <c r="J181" s="1"/>
  <c r="H955" i="1"/>
  <c r="H722"/>
  <c r="H721" s="1"/>
  <c r="J399"/>
  <c r="L399" s="1"/>
  <c r="I467"/>
  <c r="J398"/>
  <c r="J494"/>
  <c r="L494" s="1"/>
  <c r="L448"/>
  <c r="H264" i="2"/>
  <c r="H273" s="1"/>
  <c r="H281" s="1"/>
  <c r="H301" s="1"/>
  <c r="I360" i="1"/>
  <c r="L359"/>
  <c r="I381"/>
  <c r="I367"/>
  <c r="I756"/>
  <c r="I62" i="3" s="1"/>
  <c r="I61" s="1"/>
  <c r="J454" i="1"/>
  <c r="L870"/>
  <c r="J171" i="3"/>
  <c r="J1264" i="1"/>
  <c r="L1264" s="1"/>
  <c r="J1278"/>
  <c r="L1278" s="1"/>
  <c r="J1124"/>
  <c r="J160" i="3"/>
  <c r="L863" i="1"/>
  <c r="H24" i="3"/>
  <c r="G509" i="1"/>
  <c r="F509"/>
  <c r="J509"/>
  <c r="J521" s="1"/>
  <c r="I509"/>
  <c r="I521" s="1"/>
  <c r="H509"/>
  <c r="H521" s="1"/>
  <c r="J240"/>
  <c r="J242" s="1"/>
  <c r="J262"/>
  <c r="L262" s="1"/>
  <c r="L239"/>
  <c r="J327"/>
  <c r="J313"/>
  <c r="J305"/>
  <c r="L306"/>
  <c r="I373"/>
  <c r="I154" i="3"/>
  <c r="I699" i="1"/>
  <c r="H58" i="3"/>
  <c r="H751" i="1"/>
  <c r="H844"/>
  <c r="H254"/>
  <c r="H270"/>
  <c r="I274"/>
  <c r="I565" s="1"/>
  <c r="I263"/>
  <c r="I535" s="1"/>
  <c r="I947" s="1"/>
  <c r="I263" i="3" s="1"/>
  <c r="I262" s="1"/>
  <c r="I268" i="1"/>
  <c r="I267"/>
  <c r="I250"/>
  <c r="I845"/>
  <c r="I247"/>
  <c r="I266"/>
  <c r="I539"/>
  <c r="I946" s="1"/>
  <c r="I261" i="3" s="1"/>
  <c r="I260" s="1"/>
  <c r="I563" i="1"/>
  <c r="I962" s="1"/>
  <c r="L149" i="3"/>
  <c r="J234" i="2"/>
  <c r="G67" i="3"/>
  <c r="J759" i="1"/>
  <c r="J68" i="3" s="1"/>
  <c r="J67" s="1"/>
  <c r="J369" i="1"/>
  <c r="H759"/>
  <c r="H369"/>
  <c r="H362"/>
  <c r="H156" i="3"/>
  <c r="H688" i="1"/>
  <c r="H16" i="3"/>
  <c r="L16" s="1"/>
  <c r="L17"/>
  <c r="J225" i="2"/>
  <c r="I223" i="1" l="1"/>
  <c r="I203" s="1"/>
  <c r="J227"/>
  <c r="J222"/>
  <c r="I663"/>
  <c r="I881"/>
  <c r="J511"/>
  <c r="J524" s="1"/>
  <c r="J963" s="1"/>
  <c r="J291" i="3" s="1"/>
  <c r="J290" s="1"/>
  <c r="G511" i="1"/>
  <c r="G524" s="1"/>
  <c r="I511"/>
  <c r="I524" s="1"/>
  <c r="I963" s="1"/>
  <c r="I291" i="3" s="1"/>
  <c r="I290" s="1"/>
  <c r="F521" i="1"/>
  <c r="H511"/>
  <c r="H524" s="1"/>
  <c r="F511"/>
  <c r="F524" s="1"/>
  <c r="J455"/>
  <c r="L454"/>
  <c r="J466"/>
  <c r="L398"/>
  <c r="J400"/>
  <c r="J401" s="1"/>
  <c r="J467" s="1"/>
  <c r="H953"/>
  <c r="H278" i="3"/>
  <c r="H277" s="1"/>
  <c r="J244" i="2"/>
  <c r="L181"/>
  <c r="J183"/>
  <c r="L183" s="1"/>
  <c r="I424" i="1"/>
  <c r="I948"/>
  <c r="I265" i="3" s="1"/>
  <c r="I264" s="1"/>
  <c r="I25"/>
  <c r="F691" i="1"/>
  <c r="F27" i="3"/>
  <c r="F26" s="1"/>
  <c r="F695" i="1"/>
  <c r="L756"/>
  <c r="G62" i="3"/>
  <c r="G751" i="1"/>
  <c r="I337"/>
  <c r="L367"/>
  <c r="H663"/>
  <c r="H881"/>
  <c r="J881"/>
  <c r="J663"/>
  <c r="G521"/>
  <c r="L509"/>
  <c r="J159" i="3"/>
  <c r="L160"/>
  <c r="L171"/>
  <c r="J170"/>
  <c r="L381" i="1"/>
  <c r="I861"/>
  <c r="I383"/>
  <c r="L360"/>
  <c r="I954"/>
  <c r="H575"/>
  <c r="H762"/>
  <c r="H74" i="3" s="1"/>
  <c r="H73" s="1"/>
  <c r="I445" i="1"/>
  <c r="I224" i="2"/>
  <c r="I225" s="1"/>
  <c r="L223"/>
  <c r="I22" i="3"/>
  <c r="J692" i="1"/>
  <c r="L469"/>
  <c r="L523"/>
  <c r="G689"/>
  <c r="J251"/>
  <c r="J273" s="1"/>
  <c r="J564" s="1"/>
  <c r="J249"/>
  <c r="J271" s="1"/>
  <c r="J567" s="1"/>
  <c r="J244"/>
  <c r="J245"/>
  <c r="J246"/>
  <c r="J264"/>
  <c r="L242"/>
  <c r="J252"/>
  <c r="J274" s="1"/>
  <c r="J565" s="1"/>
  <c r="J241"/>
  <c r="J263" s="1"/>
  <c r="J535" s="1"/>
  <c r="J947" s="1"/>
  <c r="J263" i="3" s="1"/>
  <c r="J262" s="1"/>
  <c r="I289"/>
  <c r="I288" s="1"/>
  <c r="I961" i="1"/>
  <c r="I248"/>
  <c r="I228" s="1"/>
  <c r="I269"/>
  <c r="J250"/>
  <c r="J272" s="1"/>
  <c r="J568" s="1"/>
  <c r="I272"/>
  <c r="I568" s="1"/>
  <c r="I566" s="1"/>
  <c r="I944" s="1"/>
  <c r="I257" i="3" s="1"/>
  <c r="I256" s="1"/>
  <c r="H687" i="1"/>
  <c r="H842"/>
  <c r="H52" i="3"/>
  <c r="H51" s="1"/>
  <c r="H758" i="1"/>
  <c r="H66" i="3" s="1"/>
  <c r="H65" s="1"/>
  <c r="H1012" i="1"/>
  <c r="H57" i="3"/>
  <c r="I754" i="1"/>
  <c r="I365"/>
  <c r="I153" i="3"/>
  <c r="J1221" i="1"/>
  <c r="L1221" s="1"/>
  <c r="J860"/>
  <c r="J578"/>
  <c r="J965" s="1"/>
  <c r="J295" i="3" s="1"/>
  <c r="J294" s="1"/>
  <c r="L305" i="1"/>
  <c r="J328"/>
  <c r="L328" s="1"/>
  <c r="J312"/>
  <c r="L313"/>
  <c r="L327"/>
  <c r="J541"/>
  <c r="J945" s="1"/>
  <c r="J259" i="3" s="1"/>
  <c r="J258" s="1"/>
  <c r="H859" i="1"/>
  <c r="H326"/>
  <c r="H686"/>
  <c r="H694"/>
  <c r="H155" i="3"/>
  <c r="H68"/>
  <c r="J239" i="2"/>
  <c r="J223" i="1" l="1"/>
  <c r="L223" s="1"/>
  <c r="H761"/>
  <c r="L222"/>
  <c r="I296" i="2"/>
  <c r="L225"/>
  <c r="J23" i="3"/>
  <c r="J693" i="1"/>
  <c r="L692"/>
  <c r="J443"/>
  <c r="L443" s="1"/>
  <c r="I492"/>
  <c r="I949" s="1"/>
  <c r="I267" i="3" s="1"/>
  <c r="I266" s="1"/>
  <c r="J442" i="1"/>
  <c r="I156" i="3"/>
  <c r="L861" i="1"/>
  <c r="J566" i="3"/>
  <c r="L566" s="1"/>
  <c r="J462"/>
  <c r="L159"/>
  <c r="G663" i="1"/>
  <c r="G881"/>
  <c r="L521"/>
  <c r="J1129"/>
  <c r="J190" i="3"/>
  <c r="J189" s="1"/>
  <c r="J467" s="1"/>
  <c r="I368" i="1"/>
  <c r="G1012"/>
  <c r="G758"/>
  <c r="G52" i="3"/>
  <c r="G51" s="1"/>
  <c r="G351" s="1"/>
  <c r="I24"/>
  <c r="J422" i="1"/>
  <c r="L422" s="1"/>
  <c r="J421"/>
  <c r="I479"/>
  <c r="L244" i="2"/>
  <c r="J247"/>
  <c r="L247" s="1"/>
  <c r="H957" i="1"/>
  <c r="H1020" s="1"/>
  <c r="H274" i="3"/>
  <c r="H273" s="1"/>
  <c r="H282" s="1"/>
  <c r="H359" s="1"/>
  <c r="H963" i="1"/>
  <c r="H944"/>
  <c r="H257" i="3" s="1"/>
  <c r="H256" s="1"/>
  <c r="J539" i="1"/>
  <c r="J946" s="1"/>
  <c r="J261" i="3" s="1"/>
  <c r="J260" s="1"/>
  <c r="L689" i="1"/>
  <c r="G694"/>
  <c r="G686"/>
  <c r="G19" i="3" s="1"/>
  <c r="G18" s="1"/>
  <c r="I234" i="2"/>
  <c r="L224"/>
  <c r="I276" i="3"/>
  <c r="I275" s="1"/>
  <c r="I688" i="1"/>
  <c r="L688" s="1"/>
  <c r="L383"/>
  <c r="J552" i="3"/>
  <c r="L552" s="1"/>
  <c r="L170"/>
  <c r="H1129" i="1"/>
  <c r="H190" i="3"/>
  <c r="H189" s="1"/>
  <c r="H467" s="1"/>
  <c r="G61"/>
  <c r="L61" s="1"/>
  <c r="L62"/>
  <c r="F29"/>
  <c r="F948" i="1"/>
  <c r="F265" i="3" s="1"/>
  <c r="F264" s="1"/>
  <c r="F745" i="1"/>
  <c r="F862" s="1"/>
  <c r="F1224"/>
  <c r="F1244" s="1"/>
  <c r="F1249" s="1"/>
  <c r="F31" i="3"/>
  <c r="F30" s="1"/>
  <c r="F1223" i="1"/>
  <c r="F1243" s="1"/>
  <c r="F1248" s="1"/>
  <c r="J954"/>
  <c r="L466"/>
  <c r="F963"/>
  <c r="F944"/>
  <c r="F257" i="3" s="1"/>
  <c r="F256" s="1"/>
  <c r="F663" i="1"/>
  <c r="F881"/>
  <c r="G963"/>
  <c r="G944"/>
  <c r="G257" i="3" s="1"/>
  <c r="G256" s="1"/>
  <c r="I1129" i="1"/>
  <c r="I190" i="3"/>
  <c r="I189" s="1"/>
  <c r="I467" s="1"/>
  <c r="I382" i="1"/>
  <c r="H372"/>
  <c r="H152" i="3"/>
  <c r="J699" i="1"/>
  <c r="L312"/>
  <c r="J154" i="3"/>
  <c r="L860" i="1"/>
  <c r="I58" i="3"/>
  <c r="I751" i="1"/>
  <c r="H351" i="3"/>
  <c r="H765" i="1"/>
  <c r="I844"/>
  <c r="I254"/>
  <c r="I270"/>
  <c r="I287" i="3"/>
  <c r="I286" s="1"/>
  <c r="I1023" i="1"/>
  <c r="L264"/>
  <c r="J845"/>
  <c r="J268"/>
  <c r="L268" s="1"/>
  <c r="L246"/>
  <c r="J267"/>
  <c r="L267" s="1"/>
  <c r="L245"/>
  <c r="J247"/>
  <c r="J266"/>
  <c r="L266" s="1"/>
  <c r="L244"/>
  <c r="J317"/>
  <c r="J566"/>
  <c r="J944" s="1"/>
  <c r="J257" i="3" s="1"/>
  <c r="J256" s="1"/>
  <c r="J563" i="1"/>
  <c r="J962" s="1"/>
  <c r="J258" i="2"/>
  <c r="H72" i="3"/>
  <c r="H1193" i="1"/>
  <c r="H67" i="3"/>
  <c r="H691" i="1"/>
  <c r="H27" i="3"/>
  <c r="H19"/>
  <c r="J203" i="1" l="1"/>
  <c r="L203" s="1"/>
  <c r="F884"/>
  <c r="F1129"/>
  <c r="F190" i="3"/>
  <c r="L881" i="1"/>
  <c r="J276" i="3"/>
  <c r="J275" s="1"/>
  <c r="F867" i="1"/>
  <c r="F158" i="3"/>
  <c r="F157" s="1"/>
  <c r="F166" s="1"/>
  <c r="F28"/>
  <c r="L28" s="1"/>
  <c r="L29"/>
  <c r="I239" i="2"/>
  <c r="L234"/>
  <c r="G691" i="1"/>
  <c r="G27" i="3"/>
  <c r="G26" s="1"/>
  <c r="H291"/>
  <c r="H290" s="1"/>
  <c r="H961" i="1"/>
  <c r="L421"/>
  <c r="J423"/>
  <c r="J424" s="1"/>
  <c r="J479" s="1"/>
  <c r="J478"/>
  <c r="G190" i="3"/>
  <c r="G189" s="1"/>
  <c r="G467" s="1"/>
  <c r="G1129" i="1"/>
  <c r="I155" i="3"/>
  <c r="L155" s="1"/>
  <c r="L156"/>
  <c r="J22"/>
  <c r="L22" s="1"/>
  <c r="L23"/>
  <c r="I298" i="2"/>
  <c r="I300" s="1"/>
  <c r="J296"/>
  <c r="J298" s="1"/>
  <c r="J300" s="1"/>
  <c r="I759" i="1"/>
  <c r="L382"/>
  <c r="I369"/>
  <c r="L369" s="1"/>
  <c r="G291" i="3"/>
  <c r="G290" s="1"/>
  <c r="G961" i="1"/>
  <c r="F659"/>
  <c r="L663"/>
  <c r="F291" i="3"/>
  <c r="F290" s="1"/>
  <c r="F961" i="1"/>
  <c r="I955"/>
  <c r="I722"/>
  <c r="I721" s="1"/>
  <c r="G66" i="3"/>
  <c r="G65" s="1"/>
  <c r="G761" i="1"/>
  <c r="J491"/>
  <c r="L491" s="1"/>
  <c r="L442"/>
  <c r="J444"/>
  <c r="J445" s="1"/>
  <c r="J492" s="1"/>
  <c r="J949" s="1"/>
  <c r="J267" i="3" s="1"/>
  <c r="J266" s="1"/>
  <c r="J948" i="1"/>
  <c r="J265" i="3" s="1"/>
  <c r="J264" s="1"/>
  <c r="J25"/>
  <c r="I362" i="1"/>
  <c r="J289" i="3"/>
  <c r="J288" s="1"/>
  <c r="J961" i="1"/>
  <c r="J373"/>
  <c r="L373" s="1"/>
  <c r="L317"/>
  <c r="J248"/>
  <c r="J228" s="1"/>
  <c r="J269"/>
  <c r="L247"/>
  <c r="I687"/>
  <c r="I842"/>
  <c r="H80" i="3"/>
  <c r="I52"/>
  <c r="I51" s="1"/>
  <c r="I351" s="1"/>
  <c r="I758" i="1"/>
  <c r="I1012"/>
  <c r="I57" i="3"/>
  <c r="J153"/>
  <c r="L153" s="1"/>
  <c r="L154"/>
  <c r="J754" i="1"/>
  <c r="J365"/>
  <c r="L365" s="1"/>
  <c r="L699"/>
  <c r="H151" i="3"/>
  <c r="H371" i="1"/>
  <c r="I362" i="3"/>
  <c r="I859" i="1"/>
  <c r="I326"/>
  <c r="H18" i="3"/>
  <c r="H26"/>
  <c r="H571" i="1"/>
  <c r="H31" i="3"/>
  <c r="H71"/>
  <c r="J24" l="1"/>
  <c r="L24" s="1"/>
  <c r="L25"/>
  <c r="G1193" i="1"/>
  <c r="G72" i="3"/>
  <c r="G71" s="1"/>
  <c r="G530" s="1"/>
  <c r="I575" i="1"/>
  <c r="I762"/>
  <c r="F287" i="3"/>
  <c r="F286" s="1"/>
  <c r="F303" s="1"/>
  <c r="F317" s="1"/>
  <c r="F969" i="1"/>
  <c r="F978" s="1"/>
  <c r="G287" i="3"/>
  <c r="G286" s="1"/>
  <c r="G362" s="1"/>
  <c r="G1023" i="1"/>
  <c r="I68" i="3"/>
  <c r="L759" i="1"/>
  <c r="L478"/>
  <c r="J337"/>
  <c r="J757"/>
  <c r="G31" i="3"/>
  <c r="G30" s="1"/>
  <c r="G571" i="1"/>
  <c r="I258" i="2"/>
  <c r="L239"/>
  <c r="F1123" i="1"/>
  <c r="F1134" s="1"/>
  <c r="F886"/>
  <c r="F887" s="1"/>
  <c r="F1190"/>
  <c r="F189" i="3"/>
  <c r="L190"/>
  <c r="I278"/>
  <c r="I277" s="1"/>
  <c r="I953" i="1"/>
  <c r="J955"/>
  <c r="J722"/>
  <c r="J721" s="1"/>
  <c r="L721" s="1"/>
  <c r="H1023"/>
  <c r="H287" i="3"/>
  <c r="H286" s="1"/>
  <c r="H362" s="1"/>
  <c r="F461"/>
  <c r="F527"/>
  <c r="I372" i="1"/>
  <c r="I152" i="3"/>
  <c r="H582" i="1"/>
  <c r="H586" s="1"/>
  <c r="J58" i="3"/>
  <c r="J751" i="1"/>
  <c r="L754"/>
  <c r="I761"/>
  <c r="I66" i="3"/>
  <c r="I65" s="1"/>
  <c r="H79"/>
  <c r="I765" i="1"/>
  <c r="I686"/>
  <c r="I694"/>
  <c r="L269"/>
  <c r="J844"/>
  <c r="J254"/>
  <c r="L254" s="1"/>
  <c r="L228"/>
  <c r="J270"/>
  <c r="L248"/>
  <c r="J287" i="3"/>
  <c r="J286" s="1"/>
  <c r="J1023" i="1"/>
  <c r="H530" i="3"/>
  <c r="H30"/>
  <c r="J278" l="1"/>
  <c r="J277" s="1"/>
  <c r="J953" i="1"/>
  <c r="F1135"/>
  <c r="F1136" s="1"/>
  <c r="F1144" s="1"/>
  <c r="F1139"/>
  <c r="F1140" s="1"/>
  <c r="I259" i="2"/>
  <c r="L258"/>
  <c r="J368" i="1"/>
  <c r="L368" s="1"/>
  <c r="L337"/>
  <c r="J362"/>
  <c r="L362" s="1"/>
  <c r="J762"/>
  <c r="J74" i="3" s="1"/>
  <c r="J73" s="1"/>
  <c r="J575" i="1"/>
  <c r="I957"/>
  <c r="I1020" s="1"/>
  <c r="I274" i="3"/>
  <c r="I273" s="1"/>
  <c r="I282" s="1"/>
  <c r="I359" s="1"/>
  <c r="F194"/>
  <c r="F196" s="1"/>
  <c r="F197" s="1"/>
  <c r="F477" s="1"/>
  <c r="F467"/>
  <c r="F471" s="1"/>
  <c r="L189"/>
  <c r="F942" i="1"/>
  <c r="F607"/>
  <c r="G836"/>
  <c r="F666"/>
  <c r="F640"/>
  <c r="J64" i="3"/>
  <c r="L757" i="1"/>
  <c r="I67" i="3"/>
  <c r="L67" s="1"/>
  <c r="L68"/>
  <c r="I74"/>
  <c r="L762" i="1"/>
  <c r="J687"/>
  <c r="L270"/>
  <c r="J842"/>
  <c r="L844"/>
  <c r="I691"/>
  <c r="I27" i="3"/>
  <c r="I19"/>
  <c r="I80"/>
  <c r="I72"/>
  <c r="I71" s="1"/>
  <c r="I530" s="1"/>
  <c r="I1193" i="1"/>
  <c r="J52" i="3"/>
  <c r="J1012" i="1"/>
  <c r="J758"/>
  <c r="L751"/>
  <c r="J57" i="3"/>
  <c r="L57" s="1"/>
  <c r="L58"/>
  <c r="I151"/>
  <c r="I371" i="1"/>
  <c r="J859"/>
  <c r="J326"/>
  <c r="F472" i="3" l="1"/>
  <c r="F473" s="1"/>
  <c r="F481" s="1"/>
  <c r="F476"/>
  <c r="L74"/>
  <c r="I73"/>
  <c r="L73" s="1"/>
  <c r="L64"/>
  <c r="J63"/>
  <c r="L63" s="1"/>
  <c r="I264" i="2"/>
  <c r="I273" s="1"/>
  <c r="I281" s="1"/>
  <c r="I301" s="1"/>
  <c r="J259"/>
  <c r="J264" s="1"/>
  <c r="J273" s="1"/>
  <c r="J281" s="1"/>
  <c r="J301" s="1"/>
  <c r="G766" i="1"/>
  <c r="G864"/>
  <c r="G162" i="3" s="1"/>
  <c r="G161" s="1"/>
  <c r="F1192" i="1"/>
  <c r="F253" i="3"/>
  <c r="F252" s="1"/>
  <c r="F951" i="1"/>
  <c r="F959" s="1"/>
  <c r="F979" s="1"/>
  <c r="J957"/>
  <c r="J1020" s="1"/>
  <c r="J274" i="3"/>
  <c r="J273" s="1"/>
  <c r="J282" s="1"/>
  <c r="J359" s="1"/>
  <c r="J372" i="1"/>
  <c r="L326"/>
  <c r="J152" i="3"/>
  <c r="L859" i="1"/>
  <c r="I582"/>
  <c r="I586" s="1"/>
  <c r="J66" i="3"/>
  <c r="J761" i="1"/>
  <c r="L758"/>
  <c r="J51" i="3"/>
  <c r="L52"/>
  <c r="I79"/>
  <c r="I18"/>
  <c r="I26"/>
  <c r="I571" i="1"/>
  <c r="I31" i="3"/>
  <c r="J765" i="1"/>
  <c r="L842"/>
  <c r="J686"/>
  <c r="J694"/>
  <c r="L687"/>
  <c r="G767" l="1"/>
  <c r="G82" i="3"/>
  <c r="G81" s="1"/>
  <c r="B281" i="2"/>
  <c r="B300"/>
  <c r="F271" i="3"/>
  <c r="F284" s="1"/>
  <c r="F318" s="1"/>
  <c r="F529"/>
  <c r="J27"/>
  <c r="J691" i="1"/>
  <c r="L694"/>
  <c r="J19" i="3"/>
  <c r="L686" i="1"/>
  <c r="J80" i="3"/>
  <c r="L765" i="1"/>
  <c r="I30" i="3"/>
  <c r="J351"/>
  <c r="L51"/>
  <c r="J362"/>
  <c r="J72"/>
  <c r="J1193" i="1"/>
  <c r="L761"/>
  <c r="J65" i="3"/>
  <c r="L65" s="1"/>
  <c r="L66"/>
  <c r="J151"/>
  <c r="L151" s="1"/>
  <c r="L152"/>
  <c r="J371" i="1"/>
  <c r="L372"/>
  <c r="G1015" l="1"/>
  <c r="G84" i="3"/>
  <c r="G83" s="1"/>
  <c r="G1258" i="1"/>
  <c r="G737"/>
  <c r="G1259"/>
  <c r="J582"/>
  <c r="J586" s="1"/>
  <c r="L371"/>
  <c r="J71" i="3"/>
  <c r="L72"/>
  <c r="J79"/>
  <c r="L79" s="1"/>
  <c r="L80"/>
  <c r="J18"/>
  <c r="L18" s="1"/>
  <c r="L19"/>
  <c r="J31"/>
  <c r="J571" i="1"/>
  <c r="L691"/>
  <c r="J26" i="3"/>
  <c r="L26" s="1"/>
  <c r="L27"/>
  <c r="G740" i="1" l="1"/>
  <c r="G354" i="3"/>
  <c r="G547"/>
  <c r="G546"/>
  <c r="J30"/>
  <c r="L30" s="1"/>
  <c r="L31"/>
  <c r="J530"/>
  <c r="L71"/>
  <c r="G40" l="1"/>
  <c r="G39" s="1"/>
  <c r="G742" i="1"/>
  <c r="H741" s="1"/>
  <c r="G743" l="1"/>
  <c r="G736" s="1"/>
  <c r="G574" l="1"/>
  <c r="G34" i="3"/>
  <c r="G33" s="1"/>
  <c r="G1224" i="1"/>
  <c r="G1244" s="1"/>
  <c r="G1249" s="1"/>
  <c r="G768"/>
  <c r="G1223"/>
  <c r="G1243" s="1"/>
  <c r="G1248" s="1"/>
  <c r="G745"/>
  <c r="G862" s="1"/>
  <c r="G964" l="1"/>
  <c r="G590"/>
  <c r="G591" s="1"/>
  <c r="G587"/>
  <c r="G588" s="1"/>
  <c r="G589" s="1"/>
  <c r="G867"/>
  <c r="G158" i="3"/>
  <c r="G86"/>
  <c r="G769" i="1"/>
  <c r="G85" i="3"/>
  <c r="G87" s="1"/>
  <c r="G157"/>
  <c r="G166" s="1"/>
  <c r="G461" s="1"/>
  <c r="G1013" i="1" l="1"/>
  <c r="G1260"/>
  <c r="G1016"/>
  <c r="G88" i="3"/>
  <c r="G1011" i="1"/>
  <c r="G849"/>
  <c r="G969"/>
  <c r="G293" i="3"/>
  <c r="G292" s="1"/>
  <c r="G303" s="1"/>
  <c r="G352"/>
  <c r="G350"/>
  <c r="G355"/>
  <c r="G548"/>
  <c r="G1123" i="1"/>
  <c r="G650"/>
  <c r="G645" s="1"/>
  <c r="G872"/>
  <c r="G175" i="3" l="1"/>
  <c r="G174" s="1"/>
  <c r="G1265" i="1"/>
  <c r="G1148"/>
  <c r="G1149" s="1"/>
  <c r="G875"/>
  <c r="G42" i="3"/>
  <c r="G41" s="1"/>
  <c r="G553" l="1"/>
  <c r="G179"/>
  <c r="G485"/>
  <c r="G486" s="1"/>
  <c r="G851" i="1"/>
  <c r="G1125"/>
  <c r="G1134" s="1"/>
  <c r="G1190"/>
  <c r="G1139" l="1"/>
  <c r="G1140" s="1"/>
  <c r="G1135"/>
  <c r="G1136" s="1"/>
  <c r="G1144" s="1"/>
  <c r="G44" i="3"/>
  <c r="G43" s="1"/>
  <c r="G770" i="1"/>
  <c r="G463" i="3"/>
  <c r="G471" s="1"/>
  <c r="G527"/>
  <c r="G472" l="1"/>
  <c r="G473" s="1"/>
  <c r="G481" s="1"/>
  <c r="G476"/>
  <c r="G90"/>
  <c r="G89" s="1"/>
  <c r="G1261" i="1"/>
  <c r="G882"/>
  <c r="G664"/>
  <c r="G659" s="1"/>
  <c r="G771"/>
  <c r="G91" i="3" l="1"/>
  <c r="G93" s="1"/>
  <c r="G549"/>
  <c r="G772" i="1"/>
  <c r="G92" i="3"/>
  <c r="G192"/>
  <c r="G191" s="1"/>
  <c r="G884" i="1"/>
  <c r="G886" s="1"/>
  <c r="G887" s="1"/>
  <c r="G1191"/>
  <c r="G528" i="3" l="1"/>
  <c r="G194"/>
  <c r="G196" s="1"/>
  <c r="G197" s="1"/>
  <c r="G477" s="1"/>
  <c r="G94"/>
  <c r="G974" i="1"/>
  <c r="H836"/>
  <c r="G666"/>
  <c r="G640"/>
  <c r="G942"/>
  <c r="G607"/>
  <c r="H766" l="1"/>
  <c r="H864"/>
  <c r="H162" i="3" s="1"/>
  <c r="H161" s="1"/>
  <c r="G1027" i="1"/>
  <c r="G253" i="3"/>
  <c r="G252" s="1"/>
  <c r="G1026" i="1"/>
  <c r="G951"/>
  <c r="G976"/>
  <c r="G311" i="3"/>
  <c r="G310" s="1"/>
  <c r="G315" s="1"/>
  <c r="G349" l="1"/>
  <c r="G370"/>
  <c r="G317"/>
  <c r="G358"/>
  <c r="G529"/>
  <c r="G1025" i="1"/>
  <c r="G1028"/>
  <c r="G959"/>
  <c r="G1019"/>
  <c r="G1192"/>
  <c r="G1031"/>
  <c r="G1010"/>
  <c r="G978"/>
  <c r="H767"/>
  <c r="H82" i="3"/>
  <c r="H81" s="1"/>
  <c r="G366"/>
  <c r="G365"/>
  <c r="G271"/>
  <c r="G1030" i="1" l="1"/>
  <c r="G1032"/>
  <c r="G979"/>
  <c r="G369" i="3"/>
  <c r="G371"/>
  <c r="G364"/>
  <c r="G284"/>
  <c r="G367"/>
  <c r="H84"/>
  <c r="H83" s="1"/>
  <c r="H1259" i="1"/>
  <c r="H1015"/>
  <c r="H737"/>
  <c r="H1258"/>
  <c r="H1034"/>
  <c r="G1018"/>
  <c r="G1009"/>
  <c r="H740" l="1"/>
  <c r="H742" s="1"/>
  <c r="I741" s="1"/>
  <c r="H546" i="3"/>
  <c r="H354"/>
  <c r="H547"/>
  <c r="H373"/>
  <c r="G348"/>
  <c r="G357"/>
  <c r="G318"/>
  <c r="H743" i="1" l="1"/>
  <c r="H736" s="1"/>
  <c r="H40" i="3"/>
  <c r="H39" s="1"/>
  <c r="H574" i="1" l="1"/>
  <c r="H34" i="3"/>
  <c r="H33" s="1"/>
  <c r="H1224" i="1"/>
  <c r="H1244" s="1"/>
  <c r="H1249" s="1"/>
  <c r="H768"/>
  <c r="H1223"/>
  <c r="H1243" s="1"/>
  <c r="H1248" s="1"/>
  <c r="H745"/>
  <c r="H862" s="1"/>
  <c r="H587" l="1"/>
  <c r="H588" s="1"/>
  <c r="H589" s="1"/>
  <c r="H590"/>
  <c r="H591" s="1"/>
  <c r="H964"/>
  <c r="H158" i="3"/>
  <c r="H867" i="1"/>
  <c r="H769"/>
  <c r="H86" i="3"/>
  <c r="H85"/>
  <c r="H87" s="1"/>
  <c r="H157"/>
  <c r="H166" s="1"/>
  <c r="H461" s="1"/>
  <c r="H1123" i="1" l="1"/>
  <c r="H293" i="3"/>
  <c r="H292" s="1"/>
  <c r="H303" s="1"/>
  <c r="H969" i="1"/>
  <c r="H548" i="3"/>
  <c r="H350"/>
  <c r="H352"/>
  <c r="H355"/>
  <c r="H1260" i="1"/>
  <c r="H88" i="3"/>
  <c r="H1013" i="1"/>
  <c r="H1011"/>
  <c r="H849"/>
  <c r="H1016"/>
  <c r="H650"/>
  <c r="H645" s="1"/>
  <c r="H872"/>
  <c r="H175" i="3" l="1"/>
  <c r="H174" s="1"/>
  <c r="H875" i="1"/>
  <c r="H1148"/>
  <c r="H1149" s="1"/>
  <c r="H1265"/>
  <c r="H42" i="3"/>
  <c r="H41" s="1"/>
  <c r="H553" l="1"/>
  <c r="H179"/>
  <c r="H485"/>
  <c r="H486" s="1"/>
  <c r="H851" i="1"/>
  <c r="H1125"/>
  <c r="H1134" s="1"/>
  <c r="H1190"/>
  <c r="H1139" l="1"/>
  <c r="H1140" s="1"/>
  <c r="H1135"/>
  <c r="H1136" s="1"/>
  <c r="H1144" s="1"/>
  <c r="H44" i="3"/>
  <c r="H43" s="1"/>
  <c r="H770" i="1"/>
  <c r="H463" i="3"/>
  <c r="H471" s="1"/>
  <c r="H527"/>
  <c r="H472" l="1"/>
  <c r="H473" s="1"/>
  <c r="H481" s="1"/>
  <c r="H476"/>
  <c r="H90"/>
  <c r="H89" s="1"/>
  <c r="H1261" i="1"/>
  <c r="H882"/>
  <c r="H664"/>
  <c r="H659" s="1"/>
  <c r="H771"/>
  <c r="H91" i="3" l="1"/>
  <c r="H93" s="1"/>
  <c r="H549"/>
  <c r="H92"/>
  <c r="H772" i="1"/>
  <c r="H192" i="3"/>
  <c r="H191" s="1"/>
  <c r="H884" i="1"/>
  <c r="H886" s="1"/>
  <c r="H1191"/>
  <c r="H528" i="3" l="1"/>
  <c r="H194"/>
  <c r="H196" s="1"/>
  <c r="H1033" i="1"/>
  <c r="H1280" s="1"/>
  <c r="H887"/>
  <c r="H94" i="3"/>
  <c r="H974" i="1"/>
  <c r="H976" l="1"/>
  <c r="H311" i="3"/>
  <c r="H310" s="1"/>
  <c r="H315" s="1"/>
  <c r="I836" i="1"/>
  <c r="H666"/>
  <c r="H640"/>
  <c r="H607"/>
  <c r="H942"/>
  <c r="H197" i="3"/>
  <c r="H477" s="1"/>
  <c r="E477" s="1"/>
  <c r="B475" s="1"/>
  <c r="C475" s="1"/>
  <c r="H372"/>
  <c r="H568" s="1"/>
  <c r="H1026" i="1" l="1"/>
  <c r="H951"/>
  <c r="H1027"/>
  <c r="H253" i="3"/>
  <c r="H252" s="1"/>
  <c r="I864" i="1"/>
  <c r="I162" i="3" s="1"/>
  <c r="I161" s="1"/>
  <c r="I766" i="1"/>
  <c r="H1192"/>
  <c r="H1010"/>
  <c r="H1031"/>
  <c r="H1019"/>
  <c r="H978"/>
  <c r="H349" i="3"/>
  <c r="H370"/>
  <c r="H358"/>
  <c r="H317"/>
  <c r="H529"/>
  <c r="H371" l="1"/>
  <c r="H369"/>
  <c r="H1030" i="1"/>
  <c r="H1032"/>
  <c r="I767"/>
  <c r="I82" i="3"/>
  <c r="I81" s="1"/>
  <c r="H365"/>
  <c r="H366"/>
  <c r="H271"/>
  <c r="H1025" i="1"/>
  <c r="H1028"/>
  <c r="H959"/>
  <c r="H364" i="3" l="1"/>
  <c r="H284"/>
  <c r="H367"/>
  <c r="I84"/>
  <c r="I83" s="1"/>
  <c r="I1259" i="1"/>
  <c r="I1015"/>
  <c r="I737"/>
  <c r="I1258"/>
  <c r="I1034"/>
  <c r="H1018"/>
  <c r="H1009"/>
  <c r="H979"/>
  <c r="I740" l="1"/>
  <c r="I742" s="1"/>
  <c r="J741" s="1"/>
  <c r="I547" i="3"/>
  <c r="I373"/>
  <c r="I546"/>
  <c r="I354"/>
  <c r="H348"/>
  <c r="H357"/>
  <c r="H318"/>
  <c r="I40" l="1"/>
  <c r="I39" s="1"/>
  <c r="I743" i="1"/>
  <c r="I736" s="1"/>
  <c r="I768" l="1"/>
  <c r="I1223"/>
  <c r="I1243" s="1"/>
  <c r="I1248" s="1"/>
  <c r="I745"/>
  <c r="I862" s="1"/>
  <c r="I574"/>
  <c r="I34" i="3"/>
  <c r="I33" s="1"/>
  <c r="I1224" i="1"/>
  <c r="I1244" s="1"/>
  <c r="I1249" s="1"/>
  <c r="I867" l="1"/>
  <c r="I158" i="3"/>
  <c r="I157" s="1"/>
  <c r="I166" s="1"/>
  <c r="I86"/>
  <c r="I85" s="1"/>
  <c r="I87" s="1"/>
  <c r="I769" i="1"/>
  <c r="I964"/>
  <c r="I590"/>
  <c r="I591" s="1"/>
  <c r="I587"/>
  <c r="I588" s="1"/>
  <c r="I589" s="1"/>
  <c r="I350" i="3" l="1"/>
  <c r="I548"/>
  <c r="I355"/>
  <c r="I352"/>
  <c r="I461"/>
  <c r="I969" i="1"/>
  <c r="I293" i="3"/>
  <c r="I292" s="1"/>
  <c r="I303" s="1"/>
  <c r="I1123" i="1"/>
  <c r="I650"/>
  <c r="I645" s="1"/>
  <c r="I872"/>
  <c r="I1011"/>
  <c r="I849"/>
  <c r="I1260"/>
  <c r="I1016"/>
  <c r="I88" i="3"/>
  <c r="I1013" i="1"/>
  <c r="I42" i="3" l="1"/>
  <c r="I41" s="1"/>
  <c r="I175"/>
  <c r="I174" s="1"/>
  <c r="I875" i="1"/>
  <c r="I1148"/>
  <c r="I1149" s="1"/>
  <c r="I1265"/>
  <c r="I553" i="3" l="1"/>
  <c r="I179"/>
  <c r="I485"/>
  <c r="I486" s="1"/>
  <c r="I851" i="1"/>
  <c r="I1125"/>
  <c r="I1134" s="1"/>
  <c r="I1190"/>
  <c r="I1139" l="1"/>
  <c r="I1140" s="1"/>
  <c r="I1135"/>
  <c r="I1136" s="1"/>
  <c r="I1144" s="1"/>
  <c r="I44" i="3"/>
  <c r="I43" s="1"/>
  <c r="I770" i="1"/>
  <c r="I463" i="3"/>
  <c r="I471" s="1"/>
  <c r="I527"/>
  <c r="I472" l="1"/>
  <c r="I473" s="1"/>
  <c r="I481" s="1"/>
  <c r="I476"/>
  <c r="I882" i="1"/>
  <c r="I664"/>
  <c r="I659" s="1"/>
  <c r="I90" i="3"/>
  <c r="I89" s="1"/>
  <c r="I1261" i="1"/>
  <c r="I771"/>
  <c r="I549" i="3" l="1"/>
  <c r="I91"/>
  <c r="I93" s="1"/>
  <c r="I92"/>
  <c r="I772" i="1"/>
  <c r="I192" i="3"/>
  <c r="I191" s="1"/>
  <c r="I884" i="1"/>
  <c r="I886" s="1"/>
  <c r="I1191"/>
  <c r="I528" i="3" l="1"/>
  <c r="I194"/>
  <c r="I196" s="1"/>
  <c r="I1033" i="1"/>
  <c r="I1280" s="1"/>
  <c r="I887"/>
  <c r="I974"/>
  <c r="I94" i="3"/>
  <c r="I976" i="1" l="1"/>
  <c r="I311" i="3"/>
  <c r="I310" s="1"/>
  <c r="I315" s="1"/>
  <c r="J836" i="1"/>
  <c r="I666"/>
  <c r="I640"/>
  <c r="I942"/>
  <c r="I607"/>
  <c r="I372" i="3"/>
  <c r="I568" s="1"/>
  <c r="I197"/>
  <c r="I477" s="1"/>
  <c r="J864" i="1" l="1"/>
  <c r="L836"/>
  <c r="J766"/>
  <c r="I1192"/>
  <c r="I1010"/>
  <c r="I978"/>
  <c r="I1031"/>
  <c r="I1019"/>
  <c r="I253" i="3"/>
  <c r="I252" s="1"/>
  <c r="I1026" i="1"/>
  <c r="I951"/>
  <c r="I1027"/>
  <c r="I349" i="3"/>
  <c r="I317"/>
  <c r="I358"/>
  <c r="I370"/>
  <c r="I529"/>
  <c r="I1028" i="1" l="1"/>
  <c r="I959"/>
  <c r="I1025"/>
  <c r="I271" i="3"/>
  <c r="I366"/>
  <c r="I365"/>
  <c r="J82"/>
  <c r="L766" i="1"/>
  <c r="J767"/>
  <c r="L864"/>
  <c r="J162" i="3"/>
  <c r="I369"/>
  <c r="I371"/>
  <c r="I1032" i="1"/>
  <c r="I1030"/>
  <c r="I979"/>
  <c r="J161" i="3" l="1"/>
  <c r="L161" s="1"/>
  <c r="L162"/>
  <c r="J84"/>
  <c r="J1258" i="1"/>
  <c r="L1258" s="1"/>
  <c r="J1034"/>
  <c r="L767"/>
  <c r="J737"/>
  <c r="J1259"/>
  <c r="L1259" s="1"/>
  <c r="J1015"/>
  <c r="L82" i="3"/>
  <c r="J81"/>
  <c r="L81" s="1"/>
  <c r="I284"/>
  <c r="I364"/>
  <c r="I367"/>
  <c r="I1009" i="1"/>
  <c r="I1018"/>
  <c r="I348" i="3" l="1"/>
  <c r="I357"/>
  <c r="I318"/>
  <c r="J740" i="1"/>
  <c r="L737"/>
  <c r="J742"/>
  <c r="J743" s="1"/>
  <c r="J736" s="1"/>
  <c r="J83" i="3"/>
  <c r="L84"/>
  <c r="J547" l="1"/>
  <c r="L547" s="1"/>
  <c r="J373"/>
  <c r="L83"/>
  <c r="J546"/>
  <c r="L546" s="1"/>
  <c r="J354"/>
  <c r="J768" i="1"/>
  <c r="J1224"/>
  <c r="J745"/>
  <c r="J34" i="3"/>
  <c r="J574" i="1"/>
  <c r="J1223"/>
  <c r="L736"/>
  <c r="L739"/>
  <c r="J40" i="3"/>
  <c r="J39" l="1"/>
  <c r="L39" s="1"/>
  <c r="L40"/>
  <c r="J590" i="1"/>
  <c r="J591" s="1"/>
  <c r="J587"/>
  <c r="J588" s="1"/>
  <c r="J589" s="1"/>
  <c r="L589" s="1"/>
  <c r="J964"/>
  <c r="L745"/>
  <c r="J862"/>
  <c r="J86" i="3"/>
  <c r="L86" s="1"/>
  <c r="L768" i="1"/>
  <c r="J769"/>
  <c r="L1223"/>
  <c r="J1243"/>
  <c r="L34" i="3"/>
  <c r="J33"/>
  <c r="J1244" i="1"/>
  <c r="L1224"/>
  <c r="J1249" l="1"/>
  <c r="L1249" s="1"/>
  <c r="B1252" s="1"/>
  <c r="L1244"/>
  <c r="J158" i="3"/>
  <c r="L158" s="1"/>
  <c r="L862" i="1"/>
  <c r="J867"/>
  <c r="J293" i="3"/>
  <c r="J292" s="1"/>
  <c r="J303" s="1"/>
  <c r="J969" i="1"/>
  <c r="J650"/>
  <c r="J872"/>
  <c r="L591"/>
  <c r="L33" i="3"/>
  <c r="J85"/>
  <c r="J157"/>
  <c r="J1248" i="1"/>
  <c r="L1248" s="1"/>
  <c r="B1251" s="1"/>
  <c r="L1243"/>
  <c r="J88" i="3"/>
  <c r="L88" s="1"/>
  <c r="J849" i="1"/>
  <c r="J1016"/>
  <c r="L769"/>
  <c r="J1011"/>
  <c r="J1260"/>
  <c r="L1260" s="1"/>
  <c r="J1013"/>
  <c r="J42" i="3" l="1"/>
  <c r="L849" i="1"/>
  <c r="J166" i="3"/>
  <c r="L157"/>
  <c r="J1148" i="1"/>
  <c r="J1149" s="1"/>
  <c r="L1149" s="1"/>
  <c r="J1265"/>
  <c r="L1265" s="1"/>
  <c r="J875"/>
  <c r="J175" i="3"/>
  <c r="L872" i="1"/>
  <c r="J1123"/>
  <c r="L867"/>
  <c r="J1190"/>
  <c r="L1190" s="1"/>
  <c r="L85" i="3"/>
  <c r="J87"/>
  <c r="J645" i="1"/>
  <c r="L645" s="1"/>
  <c r="L650"/>
  <c r="B1200" l="1"/>
  <c r="J174" i="3"/>
  <c r="L175"/>
  <c r="L42"/>
  <c r="J41"/>
  <c r="L41" s="1"/>
  <c r="J352"/>
  <c r="J355"/>
  <c r="J548"/>
  <c r="L548" s="1"/>
  <c r="J350"/>
  <c r="L87"/>
  <c r="J851" i="1"/>
  <c r="J1125"/>
  <c r="J1134" s="1"/>
  <c r="L875"/>
  <c r="J461" i="3"/>
  <c r="L166"/>
  <c r="J1135" i="1" l="1"/>
  <c r="E1151"/>
  <c r="B1151" s="1"/>
  <c r="E1145"/>
  <c r="B1145" s="1"/>
  <c r="B1270" s="1"/>
  <c r="J1139"/>
  <c r="J1140" s="1"/>
  <c r="E1140" s="1"/>
  <c r="B1138" s="1"/>
  <c r="C1138" s="1"/>
  <c r="J553" i="3"/>
  <c r="L553" s="1"/>
  <c r="J179"/>
  <c r="J485"/>
  <c r="J486" s="1"/>
  <c r="L486" s="1"/>
  <c r="L174"/>
  <c r="L851" i="1"/>
  <c r="J44" i="3"/>
  <c r="J770" i="1"/>
  <c r="L44" i="3" l="1"/>
  <c r="J43"/>
  <c r="L179"/>
  <c r="J463"/>
  <c r="J471" s="1"/>
  <c r="J527"/>
  <c r="L527" s="1"/>
  <c r="J1261" i="1"/>
  <c r="L1261" s="1"/>
  <c r="J664"/>
  <c r="J90" i="3"/>
  <c r="L90" s="1"/>
  <c r="J882" i="1"/>
  <c r="L770"/>
  <c r="J771"/>
  <c r="J1136"/>
  <c r="J1144" s="1"/>
  <c r="E1144" s="1"/>
  <c r="B1143" s="1"/>
  <c r="L1135"/>
  <c r="B1142" s="1"/>
  <c r="J92" i="3" l="1"/>
  <c r="L92" s="1"/>
  <c r="J772" i="1"/>
  <c r="L771"/>
  <c r="L664"/>
  <c r="J659"/>
  <c r="L659" s="1"/>
  <c r="C1143"/>
  <c r="C1271" s="1"/>
  <c r="B1271"/>
  <c r="B1269"/>
  <c r="B1147"/>
  <c r="J1191"/>
  <c r="L882"/>
  <c r="J192" i="3"/>
  <c r="L192" s="1"/>
  <c r="J884" i="1"/>
  <c r="B537" i="3"/>
  <c r="J472"/>
  <c r="E488"/>
  <c r="B488" s="1"/>
  <c r="E482"/>
  <c r="B482" s="1"/>
  <c r="B558" s="1"/>
  <c r="J476"/>
  <c r="L43"/>
  <c r="J89"/>
  <c r="J191"/>
  <c r="J528" l="1"/>
  <c r="L191"/>
  <c r="J194"/>
  <c r="J549"/>
  <c r="L549" s="1"/>
  <c r="L89"/>
  <c r="J91"/>
  <c r="L884" i="1"/>
  <c r="J886"/>
  <c r="L472" i="3"/>
  <c r="B479" s="1"/>
  <c r="J473"/>
  <c r="J481" s="1"/>
  <c r="E481" s="1"/>
  <c r="B480" s="1"/>
  <c r="L1191" i="1"/>
  <c r="B1201" s="1"/>
  <c r="B1199"/>
  <c r="J974"/>
  <c r="J94" i="3"/>
  <c r="J311" l="1"/>
  <c r="J310" s="1"/>
  <c r="J315" s="1"/>
  <c r="J976" i="1"/>
  <c r="B557" i="3"/>
  <c r="B484"/>
  <c r="L194"/>
  <c r="J196"/>
  <c r="L528"/>
  <c r="B538" s="1"/>
  <c r="B536"/>
  <c r="C480"/>
  <c r="B559"/>
  <c r="L886" i="1"/>
  <c r="J1033"/>
  <c r="J1280" s="1"/>
  <c r="J887"/>
  <c r="L91" i="3"/>
  <c r="J93"/>
  <c r="J942" i="1" l="1"/>
  <c r="J640"/>
  <c r="J666"/>
  <c r="B667" s="1"/>
  <c r="J607"/>
  <c r="J349" i="3"/>
  <c r="J317"/>
  <c r="J358"/>
  <c r="J370"/>
  <c r="L196"/>
  <c r="J197"/>
  <c r="J477" s="1"/>
  <c r="J372"/>
  <c r="J568" s="1"/>
  <c r="J1192" i="1"/>
  <c r="B1197" s="1"/>
  <c r="B1203" s="1"/>
  <c r="J1010"/>
  <c r="J978"/>
  <c r="J1019"/>
  <c r="J1031"/>
  <c r="J1030" l="1"/>
  <c r="J1032"/>
  <c r="J253" i="3"/>
  <c r="J252" s="1"/>
  <c r="J1027" i="1"/>
  <c r="J951"/>
  <c r="J1026"/>
  <c r="J369" i="3"/>
  <c r="J371"/>
  <c r="J1028" i="1" l="1"/>
  <c r="J1025"/>
  <c r="J959"/>
  <c r="J366" i="3"/>
  <c r="J271"/>
  <c r="J365"/>
  <c r="J529"/>
  <c r="B534" s="1"/>
  <c r="B540" s="1"/>
  <c r="J284" l="1"/>
  <c r="J367"/>
  <c r="J364"/>
  <c r="J1018" i="1"/>
  <c r="J1009"/>
  <c r="J979"/>
  <c r="B978" l="1"/>
  <c r="B959"/>
  <c r="J357" i="3"/>
  <c r="J348"/>
  <c r="J318"/>
  <c r="B317" l="1"/>
  <c r="B284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<sst xmlns="http://schemas.openxmlformats.org/spreadsheetml/2006/main" count="4219" uniqueCount="2398">
  <si>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</si>
  <si>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</si>
  <si>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</si>
  <si>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</si>
  <si>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</si>
  <si>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</si>
  <si>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</si>
  <si>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</si>
  <si>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</si>
  <si>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</si>
  <si>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</si>
  <si>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</si>
  <si>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</si>
  <si>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</si>
  <si>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</si>
  <si>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</si>
  <si>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</si>
  <si>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</si>
  <si>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</si>
  <si>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</si>
  <si>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</si>
  <si>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</si>
  <si>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</si>
  <si>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</si>
  <si>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</si>
  <si>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</si>
  <si>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</si>
  <si>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</si>
  <si>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</si>
  <si>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</si>
  <si>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</si>
  <si>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</si>
  <si>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</si>
  <si>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</si>
  <si>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</si>
  <si>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</si>
  <si>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</si>
  <si>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</si>
  <si>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</si>
  <si>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</si>
  <si>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</si>
  <si>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</si>
  <si>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</si>
  <si>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</si>
  <si>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</si>
  <si>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</si>
  <si>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</si>
  <si>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</si>
  <si>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</si>
  <si>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</si>
  <si>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</si>
  <si>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</si>
  <si>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</si>
  <si>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</si>
  <si>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</si>
  <si>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</si>
  <si>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</si>
  <si>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</si>
  <si>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</si>
  <si>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</si>
  <si>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</si>
  <si>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</si>
  <si>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</si>
  <si>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</si>
  <si>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</si>
  <si>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</si>
  <si>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</si>
  <si>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</si>
  <si>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</si>
  <si>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</si>
  <si>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</si>
  <si>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</si>
  <si>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</si>
  <si>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</si>
  <si>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</si>
  <si>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</si>
  <si>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</si>
  <si>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</si>
  <si>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</si>
  <si>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</si>
  <si>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</si>
  <si>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</si>
  <si>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</si>
  <si>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</si>
  <si>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</si>
  <si>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</si>
  <si>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</si>
  <si>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</si>
  <si>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</si>
  <si>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</si>
  <si>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</si>
  <si>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</si>
  <si>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</si>
  <si>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</si>
  <si>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</si>
  <si>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</si>
  <si>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</si>
  <si>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</si>
  <si>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</si>
  <si>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</si>
  <si>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</si>
  <si>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</si>
  <si>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</si>
  <si>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</si>
  <si>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</si>
  <si>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</si>
  <si>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</si>
  <si>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</si>
  <si>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</si>
  <si>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</si>
  <si>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</si>
  <si>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</si>
  <si>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</si>
  <si>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</si>
  <si>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</si>
  <si>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</si>
  <si>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</si>
  <si>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</si>
  <si>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</si>
  <si>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</si>
  <si>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</si>
  <si>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</si>
  <si>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</si>
  <si>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</si>
  <si>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</si>
  <si>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</si>
  <si>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</si>
  <si>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</si>
  <si>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</si>
  <si>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</si>
  <si>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</si>
  <si>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</si>
  <si>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</si>
  <si>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</si>
  <si>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</si>
  <si>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</si>
  <si>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</si>
  <si>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</si>
  <si>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</si>
  <si>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</si>
  <si>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</si>
  <si>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</si>
  <si>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</si>
  <si>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</si>
  <si>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</si>
  <si>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</si>
  <si>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</si>
  <si>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</si>
  <si>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</si>
  <si>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</si>
  <si>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</si>
  <si>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</si>
  <si>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</si>
  <si>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</si>
  <si>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</si>
  <si>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</si>
  <si>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</si>
  <si>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</si>
  <si>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</si>
  <si>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</si>
  <si>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</si>
  <si>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</si>
  <si>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</si>
  <si>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</si>
  <si>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</si>
  <si>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</si>
  <si>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</si>
  <si>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</si>
  <si>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</si>
  <si>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</si>
  <si>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</si>
  <si>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</si>
  <si>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</si>
  <si>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</si>
  <si>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</si>
  <si>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</si>
  <si>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</si>
  <si>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</si>
  <si>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</si>
  <si>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</si>
  <si>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</si>
  <si>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</si>
  <si>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</si>
  <si>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</si>
  <si>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</si>
  <si>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</si>
  <si>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</si>
  <si>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</si>
  <si>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</si>
  <si>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</si>
  <si>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</si>
  <si>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</si>
  <si>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</si>
  <si>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</si>
  <si>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</si>
  <si>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</si>
  <si>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</si>
  <si>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</si>
  <si>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</si>
  <si>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</si>
  <si>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</si>
  <si>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</si>
  <si>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</si>
  <si>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</si>
  <si>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</si>
  <si>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</si>
  <si>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</si>
  <si>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</si>
  <si>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</si>
  <si>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</si>
  <si>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</si>
  <si>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</si>
  <si>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</si>
  <si>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</si>
  <si>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</si>
  <si>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</si>
  <si>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</si>
  <si>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</si>
  <si>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</si>
  <si>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</si>
  <si>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</si>
  <si>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</si>
  <si>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</si>
  <si>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</si>
  <si>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</si>
  <si>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</si>
  <si>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</si>
  <si>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</si>
  <si>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</si>
  <si>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</si>
  <si>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</si>
  <si>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</si>
  <si>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</si>
  <si>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</si>
  <si>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</si>
  <si>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</si>
  <si>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</si>
  <si>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</si>
  <si>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</si>
  <si>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</si>
  <si>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</si>
  <si>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</si>
  <si>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</si>
  <si>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</si>
  <si>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</si>
  <si>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</si>
  <si>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</si>
  <si>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</si>
  <si>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</si>
  <si>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</si>
  <si>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</si>
  <si>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</si>
  <si>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</si>
  <si>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</si>
  <si>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</si>
  <si>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</si>
  <si>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</si>
  <si>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</si>
  <si>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</si>
  <si>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</si>
  <si>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</si>
  <si>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</si>
  <si>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</si>
  <si>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</si>
  <si>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</si>
  <si>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</si>
  <si>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</si>
  <si>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</si>
  <si>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</si>
  <si>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</si>
  <si>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</si>
  <si>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</si>
  <si>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</si>
  <si>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</si>
  <si>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</si>
  <si>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</si>
  <si>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</si>
  <si>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</si>
  <si>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</si>
  <si>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</si>
  <si>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</si>
  <si>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</si>
  <si>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</si>
  <si>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</si>
  <si>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</si>
  <si>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</si>
  <si>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</si>
  <si>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</si>
  <si>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</si>
  <si>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</si>
  <si>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</si>
  <si>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</si>
  <si>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</si>
  <si>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</si>
  <si>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</si>
  <si>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</si>
  <si>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</si>
  <si>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</si>
  <si>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</si>
  <si>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</si>
  <si>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</si>
  <si>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</si>
  <si>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</si>
  <si>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</si>
  <si>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</si>
  <si>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</si>
  <si>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</si>
  <si>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</si>
  <si>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</si>
  <si>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</si>
  <si>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</si>
  <si>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</si>
  <si>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</si>
  <si>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</si>
  <si>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</si>
  <si>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</si>
  <si>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</si>
  <si>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</si>
  <si>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</si>
  <si>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</si>
  <si>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</si>
  <si>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</si>
  <si>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</si>
  <si>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</si>
  <si>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</si>
  <si>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</si>
  <si>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</si>
  <si>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</si>
  <si>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</si>
  <si>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</si>
  <si>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</si>
  <si>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</si>
  <si>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</si>
  <si>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</si>
  <si>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</si>
  <si>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</si>
  <si>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</si>
  <si>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</si>
  <si>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</si>
  <si>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</si>
  <si>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</si>
  <si>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</si>
  <si>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</si>
  <si>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</si>
  <si>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</si>
  <si>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</si>
  <si>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</si>
  <si>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</si>
  <si>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</si>
  <si>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</si>
  <si>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</si>
  <si>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</si>
  <si>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</si>
  <si>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</si>
  <si>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</si>
  <si>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</si>
  <si>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</si>
  <si>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</si>
  <si>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</si>
  <si>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</si>
  <si>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</si>
  <si>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</si>
  <si>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</si>
  <si>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</si>
  <si>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</si>
  <si>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</si>
  <si>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</si>
  <si>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</si>
  <si>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</si>
  <si>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</si>
  <si>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</si>
  <si>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</si>
  <si>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</si>
  <si>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</si>
  <si>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</si>
  <si>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</si>
  <si>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</si>
  <si>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</si>
  <si>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</si>
  <si>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</si>
  <si>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</si>
  <si>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</si>
  <si>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</si>
  <si>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</si>
  <si>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</si>
  <si>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</si>
  <si>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</si>
  <si>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</si>
  <si>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</si>
  <si>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</si>
  <si>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</si>
  <si>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</si>
  <si>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</si>
  <si>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</si>
  <si>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</si>
  <si>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</si>
  <si>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</si>
  <si>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</si>
  <si>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</si>
  <si>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</si>
  <si>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</si>
  <si>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</si>
  <si>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</si>
  <si>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</si>
  <si>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</si>
  <si>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</si>
  <si>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</si>
  <si>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</si>
  <si>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</si>
  <si>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</si>
  <si>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Преобретение оборудования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</si>
  <si>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</si>
  <si>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</si>
  <si>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</si>
  <si>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</si>
  <si>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</si>
  <si>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</si>
  <si>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</si>
  <si>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</si>
  <si>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</si>
  <si>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</si>
  <si>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</si>
  <si>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</si>
  <si>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</si>
  <si>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</si>
  <si>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</si>
  <si>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</si>
  <si>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</si>
  <si>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</si>
  <si>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</si>
  <si>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</si>
  <si>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</si>
  <si>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</si>
  <si>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</si>
  <si>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</si>
  <si>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</si>
  <si>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</si>
  <si>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</si>
  <si>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</si>
  <si>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</si>
  <si>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</si>
  <si>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</si>
  <si>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</si>
  <si>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</si>
  <si>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</si>
  <si>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</si>
  <si>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</si>
  <si>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</si>
  <si>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</si>
  <si>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</si>
  <si>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</si>
  <si>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</si>
  <si>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</si>
  <si>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</si>
  <si>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</si>
  <si>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</si>
  <si>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</si>
  <si>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</si>
  <si>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</si>
  <si>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</si>
  <si>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</si>
  <si>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</si>
  <si>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</si>
  <si>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</si>
  <si>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</si>
  <si>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</si>
  <si>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</si>
  <si>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</si>
  <si>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</si>
  <si>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</si>
  <si>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</si>
  <si>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</si>
  <si>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</si>
  <si>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</si>
  <si>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</si>
  <si>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</si>
  <si>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</si>
  <si>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</si>
  <si>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</si>
  <si>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</si>
  <si>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</si>
  <si>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</si>
  <si>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</si>
  <si>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</si>
  <si>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</si>
  <si>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</si>
  <si>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</si>
  <si>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</si>
  <si>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</si>
  <si>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</si>
  <si>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</si>
  <si>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</si>
  <si>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</si>
  <si>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</si>
  <si>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</si>
  <si>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</si>
  <si>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</si>
  <si>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</si>
  <si>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</si>
  <si>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</si>
  <si>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</si>
  <si>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</si>
  <si>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</si>
  <si>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</si>
  <si>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</si>
  <si>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</si>
  <si>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</si>
  <si>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</si>
  <si>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</si>
  <si>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</si>
  <si>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</si>
  <si>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</si>
  <si>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</si>
  <si>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</si>
  <si>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</si>
  <si>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</si>
  <si>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</si>
  <si>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</si>
  <si>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</si>
  <si>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</si>
  <si>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</si>
  <si>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</si>
  <si>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</si>
  <si>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</si>
  <si>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</si>
  <si>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</si>
  <si>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</si>
  <si>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</si>
  <si>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</si>
  <si>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</si>
  <si>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</si>
  <si>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</si>
  <si>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</si>
  <si>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</si>
  <si>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</si>
  <si>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</si>
  <si>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</si>
  <si>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</si>
  <si>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</si>
  <si>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</si>
  <si>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</si>
  <si>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</si>
  <si>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</si>
  <si>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</si>
  <si>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</si>
  <si>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</si>
  <si>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</si>
  <si>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</si>
  <si>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</si>
  <si>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</si>
  <si>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</si>
  <si>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</si>
  <si>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</si>
  <si>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</si>
  <si>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</si>
  <si>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</si>
  <si>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</si>
  <si>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</si>
  <si>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</si>
  <si>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</si>
  <si>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</si>
  <si>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</si>
  <si>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</si>
  <si>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</si>
  <si>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</si>
  <si>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</si>
  <si>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</si>
  <si>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</si>
  <si>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</si>
  <si>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</si>
  <si>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</si>
  <si>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</si>
  <si>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</si>
  <si>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</si>
  <si>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</si>
  <si>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</si>
  <si>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</si>
  <si>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</si>
  <si>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</si>
  <si>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</si>
  <si>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</si>
  <si>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</si>
  <si>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</si>
  <si>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</si>
  <si>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</si>
  <si>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</si>
  <si>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</si>
  <si>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</si>
  <si>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</si>
  <si>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</si>
  <si>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</si>
  <si>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</si>
  <si>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</si>
  <si>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</si>
  <si>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</si>
  <si>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</si>
  <si>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</si>
  <si>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</si>
  <si>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</si>
  <si>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</si>
  <si>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</si>
  <si>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</si>
  <si>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</si>
  <si>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</si>
  <si>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</si>
  <si>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</si>
  <si>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</si>
  <si>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</si>
  <si>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</si>
  <si>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</si>
  <si>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</si>
  <si>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</si>
  <si>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</si>
  <si>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</si>
  <si>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</si>
  <si>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</si>
  <si>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</si>
  <si>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</si>
  <si>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</si>
  <si>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</si>
  <si>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</si>
  <si>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</si>
  <si>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</si>
  <si>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</si>
  <si>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</si>
  <si>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</si>
  <si>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</si>
  <si>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</si>
  <si>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</si>
  <si>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</si>
  <si>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</si>
  <si>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</si>
  <si>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</si>
  <si>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</si>
  <si>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</si>
  <si>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</si>
  <si>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</si>
  <si>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</si>
  <si>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</si>
  <si>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</si>
  <si>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</si>
  <si>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</si>
  <si>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</si>
  <si>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</si>
  <si>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</si>
  <si>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</si>
  <si>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</si>
  <si>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</si>
  <si>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</si>
  <si>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</si>
  <si>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</si>
  <si>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</si>
  <si>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</si>
  <si>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</si>
  <si>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</si>
  <si>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</si>
  <si>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</si>
  <si>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</si>
  <si>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</si>
  <si>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</si>
  <si>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</si>
  <si>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</si>
  <si>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</si>
  <si>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</si>
  <si>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</si>
  <si>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</si>
  <si>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</si>
  <si>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</si>
  <si>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</si>
  <si>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</si>
  <si>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</si>
  <si>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</si>
  <si>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</si>
  <si>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</si>
  <si>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</si>
  <si>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</si>
  <si>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</si>
  <si>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</si>
  <si>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</si>
  <si>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</si>
  <si>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</si>
  <si>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</si>
  <si>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</si>
  <si>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</si>
  <si>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</si>
  <si>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</si>
  <si>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</si>
  <si>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</si>
  <si>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</si>
  <si>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</si>
  <si>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</si>
  <si>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</si>
  <si>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</si>
  <si>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</si>
  <si>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</si>
  <si>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</si>
  <si>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</si>
  <si>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</si>
  <si>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</si>
  <si>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</si>
  <si>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</si>
  <si>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</si>
  <si>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</si>
  <si>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</si>
  <si>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</si>
  <si>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</si>
  <si>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</si>
  <si>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</si>
  <si>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</si>
  <si>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</si>
  <si>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</si>
  <si>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</si>
  <si>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</si>
  <si>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</si>
  <si>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</si>
  <si>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</si>
  <si>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</si>
  <si>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</si>
  <si>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</si>
  <si>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</si>
  <si>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</si>
  <si>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</si>
  <si>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</si>
  <si>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</si>
  <si>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</si>
  <si>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</si>
  <si>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</si>
  <si>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</si>
  <si>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</si>
  <si>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</si>
  <si>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</si>
  <si>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</si>
  <si>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</si>
  <si>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</si>
  <si>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</si>
  <si>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</si>
  <si>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</si>
  <si>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</si>
  <si>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</si>
  <si>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</si>
  <si>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</si>
  <si>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</si>
  <si>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</si>
  <si>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</si>
  <si>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</si>
  <si>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</si>
  <si>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</si>
  <si>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</si>
  <si>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</si>
  <si>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</si>
  <si>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</si>
  <si>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</si>
  <si>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</si>
  <si>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</si>
  <si>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</si>
  <si>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</si>
  <si>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</si>
  <si>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</si>
  <si>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</si>
  <si>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</si>
  <si>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</si>
  <si>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</si>
  <si>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</si>
  <si>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</si>
  <si>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</si>
  <si>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</si>
  <si>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</si>
  <si>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</si>
  <si>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</si>
  <si>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</si>
  <si>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</si>
  <si>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</si>
  <si>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</si>
  <si>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</si>
  <si>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</si>
  <si>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</si>
  <si>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</si>
  <si>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</si>
  <si>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</si>
  <si>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</si>
  <si>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</si>
  <si>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</si>
  <si>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</si>
  <si>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</si>
  <si>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</si>
  <si>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</si>
  <si>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</si>
  <si>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</si>
  <si>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</si>
  <si>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</si>
  <si>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</si>
  <si>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</si>
  <si>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</si>
  <si>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</si>
  <si>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</si>
  <si>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</si>
  <si>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</si>
  <si>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</si>
  <si>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</si>
  <si>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</si>
  <si>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</si>
  <si>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</si>
  <si>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</si>
  <si>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</si>
  <si>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</si>
  <si>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</si>
  <si>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</si>
  <si>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</si>
  <si>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</si>
  <si>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</si>
  <si>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</si>
  <si>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</si>
  <si>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</si>
  <si>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</si>
  <si>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</si>
  <si>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</si>
  <si>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</si>
  <si>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</si>
  <si>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</si>
  <si>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</si>
  <si>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</si>
  <si>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</si>
  <si>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</si>
  <si>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</si>
  <si>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</si>
  <si>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</si>
  <si>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</si>
  <si>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</si>
  <si>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</si>
  <si>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</si>
  <si>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</si>
  <si>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</si>
  <si>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</si>
  <si>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</si>
  <si>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</si>
  <si>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</si>
  <si>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</si>
  <si>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</si>
  <si>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</si>
  <si>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</si>
  <si>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</si>
  <si>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</si>
  <si>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</si>
  <si>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</si>
  <si>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</si>
  <si>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</si>
  <si>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</si>
  <si>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</si>
  <si>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</si>
  <si>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</si>
  <si>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</si>
  <si>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</si>
  <si>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</si>
  <si>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</si>
  <si>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</si>
  <si>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</si>
  <si>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</si>
  <si>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</si>
  <si>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</si>
  <si>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</si>
  <si>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</si>
  <si>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</si>
  <si>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</si>
  <si>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</si>
  <si>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</si>
  <si>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</si>
  <si>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</si>
  <si>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</si>
  <si>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</si>
  <si>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</si>
  <si>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</si>
  <si>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</si>
  <si>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</si>
  <si>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</si>
  <si>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</si>
  <si>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</si>
  <si>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</si>
  <si>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</si>
  <si>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</si>
  <si>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</si>
  <si>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</si>
  <si>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</si>
  <si>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</si>
  <si>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</si>
  <si>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</si>
  <si>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</si>
  <si>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</si>
  <si>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</si>
  <si>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</si>
  <si>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</si>
  <si>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</si>
  <si>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</si>
  <si>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</si>
  <si>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</si>
  <si>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</si>
  <si>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</si>
  <si>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</si>
  <si>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</si>
  <si>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</si>
  <si>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</si>
  <si>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</si>
  <si>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</si>
  <si>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</si>
  <si>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</si>
  <si>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</si>
  <si>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</si>
  <si>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</si>
  <si>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</si>
  <si>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</si>
  <si>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</si>
  <si>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</si>
  <si>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</si>
  <si>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</si>
  <si>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</si>
  <si>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</si>
  <si>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</si>
  <si>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</si>
  <si>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</si>
  <si>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</si>
  <si>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</si>
  <si>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</si>
  <si>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</si>
  <si>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</si>
  <si>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</si>
  <si>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</si>
  <si>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</si>
  <si>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</si>
  <si>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</si>
  <si>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</si>
  <si>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</si>
  <si>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</si>
  <si>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</si>
  <si>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</si>
  <si>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</si>
  <si>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</si>
  <si>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</si>
  <si>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</si>
  <si>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</si>
  <si>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</si>
  <si>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</si>
  <si>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</si>
  <si>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</si>
  <si>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</si>
  <si>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</si>
  <si>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</si>
  <si>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</si>
  <si>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</si>
  <si>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</si>
  <si>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</si>
  <si>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</si>
  <si>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</si>
  <si>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</si>
  <si>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</si>
  <si>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</si>
  <si>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</si>
  <si>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</si>
  <si>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</si>
  <si>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</si>
  <si>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</si>
  <si>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</si>
  <si>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</si>
  <si>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</si>
  <si>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</si>
  <si>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</si>
  <si>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</si>
  <si>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</si>
  <si>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</si>
  <si>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</si>
  <si>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</si>
  <si>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</si>
  <si>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</si>
  <si>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</si>
  <si>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</si>
  <si>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</si>
  <si>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</si>
  <si>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</si>
  <si>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</si>
  <si>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</si>
  <si>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</si>
  <si>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</si>
  <si>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</si>
  <si>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</si>
  <si>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</si>
  <si>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</si>
  <si>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</si>
  <si>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</si>
  <si>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</si>
  <si>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</si>
  <si>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</si>
  <si>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</si>
  <si>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</si>
  <si>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</si>
  <si>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</si>
  <si>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</si>
  <si>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</si>
  <si>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</si>
  <si>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</si>
  <si>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</si>
  <si>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</si>
  <si>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</si>
  <si>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</si>
  <si>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</si>
  <si>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</si>
  <si>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</si>
  <si>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</si>
  <si>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</si>
  <si>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</si>
  <si>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</si>
  <si>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</si>
  <si>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</si>
  <si>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</si>
  <si>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</si>
  <si>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</si>
  <si>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</si>
  <si>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</si>
  <si>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</si>
  <si>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</si>
  <si>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</si>
  <si>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</si>
  <si>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</si>
  <si>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</si>
  <si>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</si>
  <si>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</si>
  <si>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</si>
  <si>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</si>
  <si>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</si>
  <si>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</si>
  <si>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</si>
  <si>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</si>
  <si>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</si>
  <si>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</si>
  <si>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</si>
  <si>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</si>
  <si>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</si>
  <si>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</si>
  <si>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</si>
  <si>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</si>
  <si>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</si>
  <si>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</si>
  <si>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</si>
  <si>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</si>
  <si>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</si>
  <si>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</si>
  <si>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</si>
  <si>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</si>
  <si>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</si>
  <si>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</si>
  <si>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</si>
  <si>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</si>
  <si>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</si>
  <si>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</si>
  <si>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</si>
  <si>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</si>
  <si>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</si>
  <si>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</si>
  <si>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</si>
  <si>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</si>
  <si>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</si>
  <si>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</si>
  <si>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</si>
  <si>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</si>
  <si>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</si>
  <si>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</si>
  <si>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</si>
  <si>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</si>
  <si>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</si>
  <si>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</si>
  <si>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</si>
  <si>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</si>
  <si>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</si>
  <si>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</si>
  <si>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</si>
  <si>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</si>
  <si>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</si>
  <si>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</si>
  <si>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</si>
  <si>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</si>
  <si>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</si>
  <si>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</si>
  <si>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</si>
  <si>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</si>
  <si>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</si>
  <si>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</si>
  <si>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</si>
  <si>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</si>
  <si>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</si>
  <si>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</si>
  <si>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</si>
  <si>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</si>
  <si>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</si>
  <si>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</si>
  <si>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</si>
  <si>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</si>
  <si>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</si>
  <si>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</si>
  <si>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</si>
  <si>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</si>
  <si>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</si>
  <si>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</si>
  <si>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</si>
  <si>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</si>
  <si>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</si>
  <si>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</si>
  <si>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</si>
  <si>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</si>
  <si>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</si>
  <si>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</si>
  <si>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</si>
  <si>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</si>
  <si>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</si>
  <si>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</si>
  <si>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</si>
  <si>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</si>
  <si>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</si>
  <si>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</si>
  <si>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</si>
  <si>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</si>
  <si>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</si>
  <si>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</si>
  <si>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</si>
  <si>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</si>
  <si>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</si>
  <si>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</si>
  <si>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</si>
  <si>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</si>
  <si>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</si>
  <si>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</si>
  <si>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</si>
  <si>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</si>
  <si>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</si>
  <si>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</si>
  <si>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</si>
  <si>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</si>
  <si>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</si>
  <si>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</si>
  <si>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</si>
  <si>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</si>
  <si>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</si>
  <si>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</si>
  <si>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</si>
  <si>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</si>
  <si>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</si>
  <si>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</si>
  <si>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</si>
  <si>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</si>
  <si>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</si>
  <si>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</si>
  <si>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</si>
  <si>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</si>
  <si>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</si>
  <si>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</si>
  <si>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</si>
  <si>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</si>
  <si>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</si>
  <si>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</si>
  <si>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</si>
  <si>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</si>
  <si>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</si>
  <si>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</si>
  <si>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</si>
  <si>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</si>
  <si>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</si>
  <si>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</si>
  <si>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</si>
  <si>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</si>
  <si>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</si>
  <si>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</si>
  <si>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</si>
  <si>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</si>
  <si>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</si>
  <si>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</si>
  <si>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</si>
  <si>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</si>
  <si>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</si>
  <si>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</si>
  <si>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</si>
  <si>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</si>
  <si>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</si>
  <si>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</si>
  <si>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</si>
  <si>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</si>
  <si>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</si>
  <si>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</si>
  <si>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</si>
  <si>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</si>
  <si>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</si>
  <si>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</si>
  <si>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</si>
  <si>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</si>
  <si>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</si>
  <si>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</si>
  <si>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</si>
  <si>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</si>
  <si>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</si>
  <si>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</si>
  <si>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</si>
  <si>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</si>
  <si>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</si>
  <si>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</si>
  <si>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</si>
  <si>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</si>
  <si>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</si>
  <si>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</si>
  <si>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</si>
  <si>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</si>
  <si>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</si>
  <si>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</si>
  <si>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</si>
  <si>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</si>
  <si>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</si>
  <si>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</si>
  <si>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</si>
  <si>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</si>
  <si>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</si>
  <si>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</si>
  <si>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</si>
  <si>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</si>
  <si>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</si>
  <si>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</si>
  <si>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</si>
  <si>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</si>
  <si>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</si>
  <si>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</si>
  <si>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</si>
  <si>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</si>
  <si>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</si>
  <si>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</si>
  <si>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</si>
  <si>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</si>
  <si>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</si>
  <si>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</si>
  <si>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</si>
  <si>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</si>
  <si>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</si>
  <si>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</si>
  <si>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</si>
  <si>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</si>
  <si>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</si>
  <si>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</si>
  <si>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</si>
  <si>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</si>
  <si>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</si>
  <si>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</si>
  <si>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</si>
  <si>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</si>
  <si>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</si>
  <si>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</si>
  <si>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</si>
  <si>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</si>
  <si>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</si>
  <si>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</si>
  <si>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</si>
  <si>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</si>
  <si>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</si>
  <si>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</si>
  <si>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</si>
  <si>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</si>
  <si>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</si>
  <si>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</si>
  <si>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</si>
  <si>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</si>
  <si>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</si>
  <si>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</si>
  <si>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</si>
  <si>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</si>
  <si>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</si>
  <si>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</si>
  <si>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</si>
  <si>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</si>
  <si>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</si>
  <si>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</si>
  <si>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</si>
  <si>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</si>
  <si>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</si>
  <si>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</si>
  <si>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</si>
  <si>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</si>
  <si>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</si>
  <si>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</si>
  <si>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</si>
  <si>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</si>
  <si>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</si>
  <si>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</si>
  <si>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</si>
  <si>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</si>
  <si>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</si>
  <si>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</si>
  <si>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</si>
  <si>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</si>
  <si>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</si>
  <si>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</si>
  <si>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</si>
  <si>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</si>
  <si>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</si>
  <si>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</si>
  <si>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</si>
  <si>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</si>
  <si>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</si>
  <si>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</si>
  <si>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</si>
  <si>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</si>
  <si>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</si>
  <si>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</si>
  <si>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</si>
  <si>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</si>
  <si>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</si>
  <si>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</si>
  <si>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</si>
  <si>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</si>
  <si>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</si>
  <si>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</si>
  <si>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</si>
  <si>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</si>
  <si>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</si>
  <si>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</si>
  <si>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</si>
  <si>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</si>
  <si>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</si>
  <si>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</si>
  <si>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</si>
  <si>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</si>
  <si>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</si>
  <si>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</si>
  <si>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</si>
  <si>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</si>
  <si>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</si>
  <si>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</si>
  <si>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</si>
  <si>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</si>
  <si>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</si>
  <si>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</si>
  <si>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</si>
  <si>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</si>
  <si>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</si>
  <si>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</si>
  <si>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</si>
  <si>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</si>
  <si>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</si>
  <si>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</si>
  <si>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</si>
  <si>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</si>
  <si>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</si>
  <si>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</si>
  <si>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</si>
  <si>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</si>
  <si>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</si>
  <si>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</si>
  <si>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</si>
  <si>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</si>
  <si>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</si>
  <si>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</si>
  <si>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</si>
  <si>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</si>
  <si>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</si>
  <si>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</si>
  <si>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</si>
  <si>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</si>
  <si>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</si>
  <si>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</si>
  <si>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</si>
  <si>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</si>
  <si>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</si>
  <si>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</si>
  <si>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</si>
  <si>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</si>
  <si>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</si>
  <si>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</si>
  <si>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</si>
  <si>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</si>
  <si>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</si>
  <si>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</si>
  <si>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</si>
  <si>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</si>
  <si>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</si>
  <si>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</si>
  <si>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</si>
  <si>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</si>
  <si>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</si>
  <si>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</si>
  <si>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</si>
  <si>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</si>
  <si>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</si>
  <si>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</si>
  <si>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</si>
  <si>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</si>
  <si>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</si>
  <si>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</si>
  <si>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</si>
  <si>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</si>
  <si>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</si>
  <si>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</si>
  <si>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</si>
  <si>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</si>
  <si>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</si>
  <si>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</si>
  <si>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</si>
  <si>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</si>
  <si>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</si>
  <si>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</si>
  <si>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</si>
  <si>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</si>
  <si>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</si>
  <si>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</si>
  <si>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</si>
  <si>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</si>
  <si>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</si>
  <si>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</si>
  <si>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</si>
  <si>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</si>
  <si>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</si>
  <si>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</si>
  <si>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</si>
  <si>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</si>
  <si>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</si>
  <si>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</si>
  <si>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</si>
  <si>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</si>
  <si>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</si>
  <si>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</si>
  <si>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</si>
  <si>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</si>
  <si>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</si>
  <si>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</si>
  <si>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</si>
  <si>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</si>
  <si>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</si>
  <si>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</si>
  <si>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</si>
  <si>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</si>
  <si>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</si>
  <si>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</si>
  <si>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</si>
  <si>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</si>
  <si>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</si>
  <si>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</si>
  <si>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</si>
  <si>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</si>
  <si>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</si>
  <si>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</si>
  <si>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</si>
  <si>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</si>
  <si>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</si>
  <si>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</si>
  <si>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</si>
  <si>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</si>
  <si>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</si>
  <si>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</si>
  <si>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</si>
  <si>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</si>
  <si>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</si>
  <si>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</si>
  <si>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</si>
  <si>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</si>
  <si>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</si>
  <si>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</si>
  <si>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</si>
  <si>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</si>
  <si>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</si>
  <si>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</si>
  <si>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</si>
  <si>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</si>
  <si>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</si>
  <si>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</si>
  <si>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</si>
  <si>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</si>
  <si>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</si>
  <si>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</si>
  <si>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</si>
  <si>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</si>
  <si>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</si>
  <si>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</si>
  <si>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</si>
  <si>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</si>
  <si>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</si>
  <si>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</si>
  <si>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</si>
  <si>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</si>
  <si>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</si>
  <si>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</si>
  <si>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</si>
  <si>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</si>
  <si>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</si>
  <si>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</si>
  <si>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</si>
  <si>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</si>
  <si>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</si>
  <si>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</si>
  <si>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</si>
  <si>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</si>
  <si>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</si>
  <si>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</si>
  <si>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</si>
  <si>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</si>
  <si>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</si>
  <si>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</si>
  <si>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</si>
  <si>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</si>
  <si>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</si>
  <si>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</si>
  <si>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</si>
  <si>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</si>
  <si>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</si>
  <si>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</si>
  <si>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</si>
  <si>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</si>
  <si>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</si>
  <si>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</si>
  <si>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</si>
  <si>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</si>
  <si>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</si>
  <si>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</si>
  <si>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</si>
  <si>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</si>
  <si>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</si>
  <si>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</si>
  <si>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</si>
  <si>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</si>
  <si>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</si>
  <si>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</si>
  <si>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</si>
  <si>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</si>
  <si>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</si>
  <si>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</si>
  <si>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</si>
  <si>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</si>
  <si>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</si>
  <si>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</si>
  <si>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</si>
  <si>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</si>
  <si>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</si>
  <si>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</si>
  <si>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</si>
  <si>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</si>
  <si>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</si>
  <si>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</si>
  <si>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</si>
  <si>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</si>
  <si>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</si>
  <si>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</si>
  <si>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</si>
  <si>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</si>
  <si>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</si>
  <si>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</si>
  <si>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</si>
  <si>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</si>
  <si>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</si>
  <si>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</si>
  <si>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</si>
  <si>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</si>
  <si>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</si>
  <si>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</si>
  <si>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</si>
  <si>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</si>
  <si>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</si>
  <si>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</si>
  <si>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</si>
  <si>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</si>
  <si>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</si>
  <si>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</si>
  <si>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</si>
  <si>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</si>
  <si>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</si>
  <si>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</si>
  <si>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</si>
  <si>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</si>
  <si>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</si>
  <si>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</si>
  <si>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</si>
  <si>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</si>
  <si>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</si>
  <si>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</si>
  <si>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</si>
  <si>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</si>
  <si>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</si>
  <si>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</si>
  <si>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</si>
  <si>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</si>
  <si>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</si>
  <si>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</si>
  <si>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</si>
  <si>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</si>
  <si>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</si>
  <si>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</si>
  <si>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</si>
  <si>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</si>
  <si>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</si>
  <si>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</si>
  <si>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</si>
  <si>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</si>
  <si>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</si>
  <si>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</si>
  <si>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</si>
  <si>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</si>
  <si>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</si>
  <si>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</si>
  <si>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</si>
  <si>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</si>
  <si>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</si>
  <si>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</si>
  <si>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</si>
  <si>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</si>
  <si>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</si>
  <si>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</si>
  <si>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</si>
  <si>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</si>
  <si>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</si>
  <si>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</si>
  <si>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</si>
  <si>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</si>
  <si>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</si>
  <si>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</si>
  <si>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</si>
  <si>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</si>
  <si>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</si>
  <si>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</si>
  <si>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</si>
  <si>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</si>
  <si>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</si>
  <si>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</si>
  <si>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</si>
  <si>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</si>
  <si>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</si>
  <si>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</si>
  <si>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</si>
  <si>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</si>
  <si>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</si>
  <si>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</si>
  <si>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</si>
  <si>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</si>
  <si>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</si>
  <si>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</si>
  <si>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</si>
  <si>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</si>
  <si>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</si>
  <si>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</si>
  <si>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</si>
  <si>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</si>
  <si>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</si>
  <si>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</si>
  <si>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</si>
  <si>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</si>
  <si>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</si>
  <si>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</si>
  <si>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</si>
  <si>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</si>
  <si>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</si>
  <si>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</si>
  <si>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</si>
  <si>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</si>
  <si>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</si>
  <si>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</si>
  <si>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</si>
  <si>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</si>
  <si>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</si>
  <si>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</si>
  <si>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</si>
  <si>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</si>
  <si>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</si>
  <si>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</si>
  <si>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</si>
  <si>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</si>
  <si>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</si>
  <si>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</si>
  <si>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</si>
  <si>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</si>
  <si>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</si>
  <si>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</si>
  <si>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</si>
  <si>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</si>
  <si>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</si>
  <si>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</si>
  <si>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</si>
  <si>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</si>
  <si>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</si>
  <si>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</si>
  <si>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</si>
  <si>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</si>
  <si>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</si>
  <si>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</si>
  <si>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</si>
  <si>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</si>
  <si>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</si>
  <si>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</si>
  <si>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</si>
  <si>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</si>
  <si>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</si>
  <si>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</si>
  <si>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</si>
  <si>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</si>
  <si>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</si>
  <si>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</si>
  <si>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</si>
  <si>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</si>
  <si>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</si>
  <si>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</si>
  <si>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</si>
  <si>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</si>
  <si>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</si>
  <si>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</si>
  <si>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</si>
  <si>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</si>
  <si>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</si>
  <si>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</si>
  <si>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</si>
  <si>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</si>
  <si>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</si>
  <si>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</si>
  <si>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</si>
  <si>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</si>
  <si>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</si>
  <si>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</si>
  <si>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</si>
  <si>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</si>
  <si>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</si>
  <si>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</si>
  <si>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</si>
  <si>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</si>
  <si>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</si>
  <si>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</si>
  <si>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</si>
  <si>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</si>
  <si>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</si>
  <si>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</si>
  <si>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</si>
  <si>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</si>
  <si>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</si>
  <si>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</si>
  <si>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</si>
  <si>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</si>
  <si>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</si>
  <si>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</si>
  <si>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</si>
  <si>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</si>
  <si>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</si>
  <si>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</si>
  <si>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</si>
  <si>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</si>
  <si>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</si>
  <si>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</si>
  <si>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</si>
  <si>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</si>
  <si>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</si>
  <si>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</si>
  <si>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</si>
  <si>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</si>
  <si>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</si>
  <si>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</si>
  <si>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</si>
  <si>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</si>
  <si>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</si>
  <si>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</si>
  <si>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</si>
  <si>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</si>
  <si>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</si>
  <si>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</si>
  <si>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</si>
  <si>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</si>
  <si>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</si>
  <si>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</si>
  <si>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</si>
  <si>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</si>
  <si>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</si>
  <si>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</si>
  <si>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</si>
  <si>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</si>
  <si>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</si>
  <si>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</si>
  <si>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</si>
  <si>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</si>
  <si>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</si>
  <si>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</si>
  <si>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</si>
  <si>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</si>
  <si>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</si>
  <si>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</si>
  <si>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</si>
  <si>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</si>
  <si>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</si>
  <si>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</si>
  <si>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</si>
  <si>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</si>
  <si>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</si>
  <si>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</si>
  <si>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</si>
  <si>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</si>
  <si>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</si>
  <si>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</si>
  <si>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</si>
  <si>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</si>
  <si>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</si>
  <si>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</si>
  <si>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</si>
  <si>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</si>
  <si>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</si>
  <si>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</si>
  <si>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</si>
  <si>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</si>
  <si>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</si>
  <si>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</si>
  <si>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</si>
  <si>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</si>
  <si>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</si>
  <si>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</si>
  <si>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</si>
  <si>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</si>
  <si>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</si>
  <si>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</si>
  <si>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</si>
  <si>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</si>
  <si>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</si>
  <si>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</si>
  <si>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</si>
  <si>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</si>
  <si>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</si>
  <si>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</si>
  <si>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</si>
  <si>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</si>
  <si>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</si>
  <si>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</si>
  <si>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</si>
  <si>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</si>
  <si>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</si>
  <si>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</si>
  <si>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</si>
  <si>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</si>
  <si>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</si>
  <si>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</si>
  <si>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</si>
  <si>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</si>
  <si>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</si>
  <si>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</si>
  <si>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</si>
  <si>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</si>
  <si>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</si>
  <si>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</si>
  <si>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</si>
  <si>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</si>
  <si>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</si>
  <si>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</si>
  <si>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</si>
  <si>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</si>
  <si>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</si>
  <si>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</si>
  <si>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</si>
  <si>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</si>
  <si>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</si>
  <si>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</si>
  <si>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</si>
  <si>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</si>
  <si>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</si>
  <si>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</si>
  <si>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</si>
  <si>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</si>
  <si>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</si>
  <si>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</si>
  <si>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</si>
  <si>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</si>
  <si>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</si>
  <si>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</si>
  <si>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</si>
  <si>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</si>
  <si>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</si>
  <si>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</si>
  <si>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</si>
  <si>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</si>
  <si>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</si>
  <si>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</si>
  <si>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</si>
  <si>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</si>
  <si>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</si>
  <si>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</si>
  <si>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</si>
  <si>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</si>
  <si>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</si>
  <si>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</si>
  <si>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</si>
  <si>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</si>
  <si>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</si>
  <si>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</si>
  <si>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</si>
  <si>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</si>
  <si>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</si>
  <si>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</si>
  <si>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</si>
  <si>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</si>
  <si>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</si>
  <si>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</si>
  <si>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</si>
  <si>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</si>
  <si>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</si>
  <si>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</si>
  <si>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</si>
  <si>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</si>
  <si>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</si>
  <si>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</si>
  <si>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</si>
  <si>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</si>
  <si>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</si>
  <si>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</si>
  <si>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</si>
  <si>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</si>
  <si>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</si>
  <si>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</si>
  <si>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</si>
  <si>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</si>
  <si>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</si>
  <si>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</si>
  <si>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</si>
  <si>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</si>
  <si>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</si>
  <si>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</si>
  <si>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</si>
  <si>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</si>
  <si>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</si>
  <si>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</si>
  <si>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</si>
  <si>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</si>
  <si>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</si>
  <si>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</si>
  <si>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</si>
  <si>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</si>
  <si>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</si>
  <si>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</si>
  <si>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</si>
  <si>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</si>
  <si>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</si>
  <si>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</si>
  <si>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</si>
  <si>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</si>
  <si>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</si>
  <si>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</si>
  <si>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</si>
  <si>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</si>
  <si>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</si>
  <si>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</si>
  <si>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</si>
  <si>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</si>
  <si>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</si>
  <si>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</si>
  <si>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</si>
  <si>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</si>
  <si>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</si>
  <si>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</si>
  <si>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</si>
  <si>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</si>
  <si>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</si>
  <si>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</si>
  <si>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</si>
  <si>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</si>
  <si>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</si>
  <si>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</si>
  <si>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</si>
  <si>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</si>
  <si>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</si>
  <si>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</si>
  <si>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</si>
  <si>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</si>
  <si>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</si>
  <si>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</si>
  <si>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</si>
  <si>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</si>
  <si>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</si>
  <si>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</si>
  <si>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</si>
  <si>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</si>
  <si>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</si>
  <si>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</si>
  <si>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</si>
  <si>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</si>
  <si>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</si>
  <si>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</si>
  <si>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</si>
  <si>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</si>
  <si>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</si>
  <si>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</si>
  <si>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</si>
  <si>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</si>
  <si>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</si>
  <si>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</si>
  <si>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</si>
  <si>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</si>
  <si>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</si>
  <si>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</si>
  <si>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</si>
  <si>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</si>
  <si>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</si>
  <si>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</si>
  <si>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</si>
  <si>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</si>
  <si>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</si>
  <si>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</si>
  <si>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</si>
  <si>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</si>
  <si>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</si>
  <si>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</si>
  <si>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</si>
  <si>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</si>
  <si>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</si>
  <si>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</si>
  <si>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</si>
  <si>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</si>
  <si>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</si>
  <si>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</si>
  <si>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</si>
  <si>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</si>
  <si>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</si>
  <si>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</si>
  <si>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</si>
  <si>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</si>
  <si>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</si>
  <si>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</si>
  <si>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</si>
  <si>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</si>
  <si>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</si>
  <si>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</si>
  <si>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</si>
  <si>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</si>
  <si>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</si>
  <si>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</si>
  <si>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</si>
  <si>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</si>
  <si>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</si>
  <si>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</si>
  <si>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</si>
  <si>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</si>
  <si>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</si>
  <si>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</si>
  <si>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</si>
  <si>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</si>
  <si>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</si>
  <si>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</si>
  <si>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</si>
  <si>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</si>
  <si>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</si>
  <si>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</si>
  <si>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</si>
  <si>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</si>
  <si>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</si>
  <si>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</si>
  <si>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</si>
  <si>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</si>
  <si>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</si>
  <si>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</si>
  <si>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</si>
  <si>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</si>
  <si>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</si>
  <si>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</si>
  <si>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</si>
  <si>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</si>
  <si>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</si>
  <si>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</si>
  <si>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</si>
  <si>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</si>
  <si>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</si>
  <si>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</si>
  <si>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</si>
  <si>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</si>
  <si>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</si>
  <si>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</si>
  <si>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</si>
  <si>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</si>
  <si>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</si>
  <si>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</si>
  <si>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</si>
  <si>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</si>
  <si>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</si>
  <si>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</si>
  <si>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</si>
  <si>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</si>
  <si>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</si>
  <si>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</si>
  <si>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</si>
  <si>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</si>
  <si>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</si>
  <si>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</si>
  <si>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</si>
  <si>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</si>
  <si>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</si>
  <si>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</si>
  <si>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</si>
  <si>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</si>
  <si>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</si>
  <si>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</si>
  <si>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</si>
  <si>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</si>
  <si>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</si>
  <si>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</si>
  <si>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</si>
  <si>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</si>
  <si>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</si>
  <si>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</si>
  <si>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</si>
  <si>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</si>
  <si>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</si>
  <si>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</si>
  <si>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</si>
  <si>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</si>
  <si>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</si>
  <si>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</si>
  <si>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</si>
  <si>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</si>
  <si>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</si>
  <si>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</si>
  <si>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</si>
  <si>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</si>
  <si>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</si>
  <si>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</si>
  <si>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</si>
  <si>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</si>
  <si>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</si>
  <si>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</si>
  <si>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</si>
  <si>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</si>
  <si>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</si>
  <si>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</si>
  <si>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</si>
  <si>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</si>
  <si>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</si>
  <si>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</si>
  <si>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</si>
  <si>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</si>
  <si>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</si>
  <si>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</si>
  <si>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</si>
  <si>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</si>
  <si>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</si>
  <si>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</si>
  <si>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</si>
  <si>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</si>
  <si>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</si>
  <si>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</si>
  <si>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</si>
  <si>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</si>
  <si>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</si>
  <si>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</si>
  <si>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</si>
  <si>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</si>
  <si>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</si>
  <si>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</si>
  <si>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</si>
  <si>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</si>
  <si>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</si>
  <si>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</si>
  <si>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</si>
  <si>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</si>
  <si>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</si>
  <si>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</si>
  <si>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</si>
  <si>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</si>
  <si>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</si>
  <si>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</si>
  <si>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</si>
  <si>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</si>
  <si>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</si>
  <si>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</si>
  <si>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</si>
  <si>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</si>
  <si>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</si>
  <si>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</si>
  <si>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</si>
  <si>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</si>
  <si>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</si>
  <si>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</si>
  <si>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</si>
  <si>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</si>
  <si>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</si>
  <si>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</si>
  <si>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</si>
  <si>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</si>
  <si>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</si>
  <si>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</si>
  <si>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</si>
  <si>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</si>
  <si>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</si>
  <si>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</si>
  <si>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</si>
  <si>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</si>
  <si>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</si>
  <si>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</si>
  <si>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</si>
  <si>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</si>
  <si>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</si>
  <si>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</si>
  <si>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</si>
  <si>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</si>
  <si>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</si>
  <si>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</si>
  <si>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</si>
  <si>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</si>
  <si>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</si>
  <si>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</si>
  <si>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</si>
  <si>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</si>
  <si>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</si>
  <si>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</si>
  <si>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</si>
  <si>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</si>
  <si>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</si>
  <si>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</si>
  <si>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</si>
  <si>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</si>
  <si>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</si>
  <si>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</si>
  <si>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</si>
  <si>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</si>
  <si>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</si>
  <si>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</si>
  <si>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</si>
  <si>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</si>
  <si>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</si>
  <si>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</si>
  <si>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</si>
  <si>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</si>
  <si>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</si>
  <si>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</si>
  <si>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</si>
  <si>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</si>
  <si>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</si>
  <si>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</si>
  <si>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</si>
  <si>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</si>
  <si>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</si>
  <si>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</si>
  <si>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</si>
  <si>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</si>
  <si>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</si>
  <si>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</si>
  <si>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</si>
  <si>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</si>
  <si>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</si>
  <si>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</si>
  <si>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</si>
  <si>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</si>
  <si>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</si>
  <si>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</si>
  <si>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</si>
  <si>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</si>
  <si>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</si>
  <si>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</si>
  <si>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</si>
  <si>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</si>
  <si>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</si>
  <si>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</si>
  <si>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</si>
  <si>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</si>
  <si>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</si>
  <si>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</si>
  <si>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</si>
  <si>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</si>
  <si>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</si>
  <si>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</si>
  <si>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</si>
  <si>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</si>
  <si>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</si>
  <si>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</si>
  <si>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</si>
  <si>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</si>
  <si>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</si>
  <si>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</si>
  <si>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</si>
  <si>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</si>
  <si>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</si>
  <si>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</si>
  <si>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</si>
  <si>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</si>
  <si>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</si>
  <si>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</si>
  <si>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</si>
  <si>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</si>
  <si>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</si>
  <si>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</si>
  <si>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</si>
  <si>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</si>
  <si>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</si>
  <si>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</si>
  <si>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</si>
  <si>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</si>
  <si>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</si>
  <si>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</si>
  <si>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</si>
  <si>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</si>
  <si>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</si>
  <si>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</si>
  <si>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</si>
  <si>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</si>
  <si>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</si>
  <si>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</si>
  <si>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</si>
  <si>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</si>
  <si>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</si>
  <si>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</si>
  <si>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</si>
  <si>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</si>
  <si>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</si>
  <si>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</si>
  <si>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</si>
  <si>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</si>
  <si>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</si>
  <si>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</si>
  <si>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</si>
  <si>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</si>
  <si>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</si>
  <si>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</si>
  <si>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</si>
  <si>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</si>
  <si>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</si>
  <si>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</si>
  <si>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</si>
  <si>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</si>
  <si>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</si>
  <si>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</si>
  <si>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</si>
  <si>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</si>
  <si>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</si>
  <si>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</si>
  <si>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</si>
  <si>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</si>
  <si>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</si>
  <si>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</si>
  <si>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</si>
  <si>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</si>
  <si>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</si>
  <si>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</si>
  <si>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</si>
  <si>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</si>
  <si>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</si>
  <si>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</si>
  <si>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</si>
  <si>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</si>
  <si>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</si>
  <si>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</si>
  <si>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</si>
  <si>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</si>
  <si>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</si>
  <si>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</si>
  <si>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</si>
  <si>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</si>
  <si>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</si>
  <si>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</si>
  <si>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</si>
  <si>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</si>
  <si>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</si>
  <si>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</si>
  <si>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</si>
  <si>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</si>
  <si>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</si>
  <si>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</si>
  <si>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</si>
  <si>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</si>
  <si>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</si>
  <si>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</si>
  <si>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</si>
  <si>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</si>
  <si>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</si>
  <si>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</si>
  <si>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</si>
  <si>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</si>
  <si>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</si>
  <si>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</si>
  <si>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</si>
  <si>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</si>
  <si>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</si>
  <si>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</si>
  <si>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</si>
  <si>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</si>
  <si>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</si>
  <si>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</si>
  <si>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</si>
  <si>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</si>
  <si>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</si>
  <si>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</si>
  <si>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</si>
  <si>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</si>
  <si>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</si>
  <si>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</si>
  <si>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</si>
  <si>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</si>
  <si>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</si>
  <si>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</si>
  <si>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</si>
  <si>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</si>
  <si>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</si>
  <si>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</si>
  <si>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</si>
  <si>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</si>
  <si>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</si>
  <si>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</si>
  <si>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</si>
  <si>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</si>
  <si>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</si>
  <si>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</si>
  <si>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</si>
  <si>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</si>
  <si>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Услуги по химчистке</t>
  </si>
  <si>
    <t>кг</t>
  </si>
  <si>
    <t>Покупка помещения</t>
  </si>
  <si>
    <t>Накладные расходы</t>
  </si>
  <si>
    <t>Химчистка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</si>
</sst>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4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6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94"/>
          <c:y val="7.2674418604651167E-2"/>
          <c:w val="0.8482155183563499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Проект!$G$748:$J$748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Проект!$G$750:$J$750</c:f>
              <c:numCache>
                <c:formatCode>#,##0</c:formatCode>
                <c:ptCount val="4"/>
                <c:pt idx="0">
                  <c:v>361607.14285714284</c:v>
                </c:pt>
                <c:pt idx="1">
                  <c:v>795535.7142857142</c:v>
                </c:pt>
                <c:pt idx="2">
                  <c:v>875089.28571428568</c:v>
                </c:pt>
                <c:pt idx="3">
                  <c:v>962598.21428571432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Проект!$G$758:$J$758</c:f>
              <c:numCache>
                <c:formatCode>#,##0</c:formatCode>
                <c:ptCount val="4"/>
                <c:pt idx="0">
                  <c:v>148289.00714285715</c:v>
                </c:pt>
                <c:pt idx="1">
                  <c:v>313422.56571428559</c:v>
                </c:pt>
                <c:pt idx="2">
                  <c:v>350514.82228571433</c:v>
                </c:pt>
                <c:pt idx="3">
                  <c:v>391316.30451428564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Проект!$G$767:$J$767</c:f>
              <c:numCache>
                <c:formatCode>#,##0</c:formatCode>
                <c:ptCount val="4"/>
                <c:pt idx="0">
                  <c:v>148289.00714285715</c:v>
                </c:pt>
                <c:pt idx="1">
                  <c:v>232495.60142857133</c:v>
                </c:pt>
                <c:pt idx="2">
                  <c:v>278515.17942857149</c:v>
                </c:pt>
                <c:pt idx="3">
                  <c:v>352305.23308571422</c:v>
                </c:pt>
              </c:numCache>
            </c:numRef>
          </c:val>
        </c:ser>
        <c:marker val="1"/>
        <c:axId val="80301440"/>
        <c:axId val="80307712"/>
      </c:lineChart>
      <c:catAx>
        <c:axId val="8030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307712"/>
        <c:crosses val="autoZero"/>
        <c:auto val="1"/>
        <c:lblAlgn val="ctr"/>
        <c:lblOffset val="100"/>
        <c:tickLblSkip val="1"/>
        <c:tickMarkSkip val="1"/>
      </c:catAx>
      <c:valAx>
        <c:axId val="8030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30144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5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Сумм!$F$252:$J$252</c:f>
              <c:numCache>
                <c:formatCode>#,##0</c:formatCode>
                <c:ptCount val="5"/>
                <c:pt idx="0">
                  <c:v>0</c:v>
                </c:pt>
                <c:pt idx="1">
                  <c:v>154309.67321428572</c:v>
                </c:pt>
                <c:pt idx="2">
                  <c:v>383372.71535714273</c:v>
                </c:pt>
                <c:pt idx="3">
                  <c:v>451819.46799999999</c:v>
                </c:pt>
                <c:pt idx="4">
                  <c:v>578857.47715714283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Сумм!$F$254:$J$254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Сумм!$F$256:$J$256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Сумм!$F$258:$J$258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Сумм!$F$260:$J$260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Сумм!$F$262:$J$262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81699968"/>
        <c:axId val="81701504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Сумм!$F$250:$J$250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Сумм!$F$271:$J$271</c:f>
              <c:numCache>
                <c:formatCode>#,##0</c:formatCode>
                <c:ptCount val="5"/>
                <c:pt idx="0">
                  <c:v>0</c:v>
                </c:pt>
                <c:pt idx="1">
                  <c:v>212916.81607142859</c:v>
                </c:pt>
                <c:pt idx="2">
                  <c:v>419087.00107142841</c:v>
                </c:pt>
                <c:pt idx="3">
                  <c:v>478605.18228571425</c:v>
                </c:pt>
                <c:pt idx="4">
                  <c:v>596714.62001428567</c:v>
                </c:pt>
              </c:numCache>
            </c:numRef>
          </c:val>
        </c:ser>
        <c:marker val="1"/>
        <c:axId val="81699968"/>
        <c:axId val="81701504"/>
      </c:lineChart>
      <c:catAx>
        <c:axId val="81699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701504"/>
        <c:crosses val="autoZero"/>
        <c:auto val="1"/>
        <c:lblAlgn val="ctr"/>
        <c:lblOffset val="100"/>
        <c:tickLblSkip val="1"/>
        <c:tickMarkSkip val="1"/>
      </c:catAx>
      <c:valAx>
        <c:axId val="81701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69996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Сумм!$G$49:$J$49</c:f>
              <c:numCache>
                <c:formatCode>#,##0</c:formatCode>
                <c:ptCount val="4"/>
                <c:pt idx="0">
                  <c:v>361607.14285714284</c:v>
                </c:pt>
                <c:pt idx="1">
                  <c:v>795535.7142857142</c:v>
                </c:pt>
                <c:pt idx="2">
                  <c:v>875089.28571428568</c:v>
                </c:pt>
                <c:pt idx="3">
                  <c:v>962598.21428571432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Сумм!$G$65:$J$65</c:f>
              <c:numCache>
                <c:formatCode>#,##0</c:formatCode>
                <c:ptCount val="4"/>
                <c:pt idx="0">
                  <c:v>148289.00714285715</c:v>
                </c:pt>
                <c:pt idx="1">
                  <c:v>313422.56571428559</c:v>
                </c:pt>
                <c:pt idx="2">
                  <c:v>350514.82228571433</c:v>
                </c:pt>
                <c:pt idx="3">
                  <c:v>391316.30451428564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Сумм!$G$83:$J$83</c:f>
              <c:numCache>
                <c:formatCode>#,##0</c:formatCode>
                <c:ptCount val="4"/>
                <c:pt idx="0">
                  <c:v>148289.00714285715</c:v>
                </c:pt>
                <c:pt idx="1">
                  <c:v>232495.60142857133</c:v>
                </c:pt>
                <c:pt idx="2">
                  <c:v>278515.17942857149</c:v>
                </c:pt>
                <c:pt idx="3">
                  <c:v>352305.23308571422</c:v>
                </c:pt>
              </c:numCache>
            </c:numRef>
          </c:val>
        </c:ser>
        <c:marker val="1"/>
        <c:axId val="80436224"/>
        <c:axId val="80446592"/>
      </c:lineChart>
      <c:catAx>
        <c:axId val="8043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446592"/>
        <c:crosses val="autoZero"/>
        <c:auto val="1"/>
        <c:lblAlgn val="ctr"/>
        <c:lblOffset val="100"/>
        <c:tickLblSkip val="1"/>
        <c:tickMarkSkip val="1"/>
      </c:catAx>
      <c:valAx>
        <c:axId val="8044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43622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Сумм!$G$47:$J$47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Сумм!$G$87:$J$87</c:f>
              <c:numCache>
                <c:formatCode>#,##0</c:formatCode>
                <c:ptCount val="4"/>
                <c:pt idx="0">
                  <c:v>118631.20571428572</c:v>
                </c:pt>
                <c:pt idx="1">
                  <c:v>185996.48114285705</c:v>
                </c:pt>
                <c:pt idx="2">
                  <c:v>222812.1435428572</c:v>
                </c:pt>
                <c:pt idx="3">
                  <c:v>281844.18646857137</c:v>
                </c:pt>
              </c:numCache>
            </c:numRef>
          </c:val>
        </c:ser>
        <c:axId val="81858944"/>
        <c:axId val="81860480"/>
      </c:barChart>
      <c:catAx>
        <c:axId val="81858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860480"/>
        <c:crosses val="autoZero"/>
        <c:auto val="1"/>
        <c:lblAlgn val="ctr"/>
        <c:lblOffset val="100"/>
        <c:tickLblSkip val="1"/>
        <c:tickMarkSkip val="1"/>
      </c:catAx>
      <c:valAx>
        <c:axId val="81860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8589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Сумм!$F$166:$J$166</c:f>
              <c:numCache>
                <c:formatCode>#,##0</c:formatCode>
                <c:ptCount val="5"/>
                <c:pt idx="0">
                  <c:v>0</c:v>
                </c:pt>
                <c:pt idx="1">
                  <c:v>118631.20571428572</c:v>
                </c:pt>
                <c:pt idx="2">
                  <c:v>302103.62399999995</c:v>
                </c:pt>
                <c:pt idx="3">
                  <c:v>280312.1435428572</c:v>
                </c:pt>
                <c:pt idx="4">
                  <c:v>339344.18646857148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Сумм!$F$196:$J$196</c:f>
              <c:numCache>
                <c:formatCode>#,##0</c:formatCode>
                <c:ptCount val="5"/>
                <c:pt idx="0">
                  <c:v>0</c:v>
                </c:pt>
                <c:pt idx="1">
                  <c:v>149839.77265873016</c:v>
                </c:pt>
                <c:pt idx="2">
                  <c:v>224565.61758730153</c:v>
                </c:pt>
                <c:pt idx="3">
                  <c:v>67550.020131746132</c:v>
                </c:pt>
                <c:pt idx="4">
                  <c:v>126051.60339492065</c:v>
                </c:pt>
              </c:numCache>
            </c:numRef>
          </c:val>
        </c:ser>
        <c:overlap val="50"/>
        <c:axId val="81897728"/>
        <c:axId val="81899520"/>
      </c:barChart>
      <c:catAx>
        <c:axId val="81897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899520"/>
        <c:crosses val="autoZero"/>
        <c:auto val="1"/>
        <c:lblAlgn val="ctr"/>
        <c:lblOffset val="100"/>
        <c:tickLblSkip val="1"/>
        <c:tickMarkSkip val="1"/>
      </c:catAx>
      <c:valAx>
        <c:axId val="81899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89772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Сумм!$F$147:$J$147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Сумм!$F$197:$J$197</c:f>
              <c:numCache>
                <c:formatCode>#,##0</c:formatCode>
                <c:ptCount val="5"/>
                <c:pt idx="0">
                  <c:v>0</c:v>
                </c:pt>
                <c:pt idx="1">
                  <c:v>149839.77265873016</c:v>
                </c:pt>
                <c:pt idx="2">
                  <c:v>374405.39024603169</c:v>
                </c:pt>
                <c:pt idx="3">
                  <c:v>441955.41037777782</c:v>
                </c:pt>
                <c:pt idx="4">
                  <c:v>568007.01377269847</c:v>
                </c:pt>
              </c:numCache>
            </c:numRef>
          </c:val>
        </c:ser>
        <c:marker val="1"/>
        <c:axId val="81914496"/>
        <c:axId val="81937152"/>
      </c:lineChart>
      <c:catAx>
        <c:axId val="81914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937152"/>
        <c:crosses val="autoZero"/>
        <c:auto val="1"/>
        <c:lblAlgn val="ctr"/>
        <c:lblOffset val="100"/>
        <c:tickLblSkip val="1"/>
        <c:tickMarkSkip val="1"/>
      </c:catAx>
      <c:valAx>
        <c:axId val="8193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91449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Сумм!$G$364:$J$364</c:f>
              <c:numCache>
                <c:formatCode>0.00</c:formatCode>
                <c:ptCount val="4"/>
                <c:pt idx="0">
                  <c:v>5.9676558717503365</c:v>
                </c:pt>
                <c:pt idx="1">
                  <c:v>7.8132647483884856</c:v>
                </c:pt>
                <c:pt idx="2">
                  <c:v>6.8595108151082789</c:v>
                </c:pt>
                <c:pt idx="3">
                  <c:v>6.9818688572026337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Сумм!$G$365:$J$365</c:f>
              <c:numCache>
                <c:formatCode>0.00</c:formatCode>
                <c:ptCount val="4"/>
                <c:pt idx="0">
                  <c:v>4.325008444218791</c:v>
                </c:pt>
                <c:pt idx="1">
                  <c:v>7.1474240783798662</c:v>
                </c:pt>
                <c:pt idx="2">
                  <c:v>6.4756100475575185</c:v>
                </c:pt>
                <c:pt idx="3">
                  <c:v>6.7729310745320515</c:v>
                </c:pt>
              </c:numCache>
            </c:numRef>
          </c:val>
          <c:smooth val="1"/>
        </c:ser>
        <c:marker val="1"/>
        <c:axId val="82068224"/>
        <c:axId val="82070144"/>
      </c:lineChart>
      <c:catAx>
        <c:axId val="82068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70144"/>
        <c:crosses val="autoZero"/>
        <c:auto val="1"/>
        <c:lblAlgn val="ctr"/>
        <c:lblOffset val="100"/>
        <c:tickLblSkip val="1"/>
        <c:tickMarkSkip val="1"/>
      </c:catAx>
      <c:valAx>
        <c:axId val="8207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6822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Сумм!$G$348:$J$348</c:f>
              <c:numCache>
                <c:formatCode>0.0%</c:formatCode>
                <c:ptCount val="4"/>
                <c:pt idx="0">
                  <c:v>0.16915666537232812</c:v>
                </c:pt>
                <c:pt idx="1">
                  <c:v>0.24544671294785836</c:v>
                </c:pt>
                <c:pt idx="2">
                  <c:v>0.27180865794312098</c:v>
                </c:pt>
                <c:pt idx="3">
                  <c:v>0.32773291317832259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Сумм!$G$350:$J$350</c:f>
              <c:numCache>
                <c:formatCode>0.0%</c:formatCode>
                <c:ptCount val="4"/>
                <c:pt idx="0">
                  <c:v>0.24290118903107863</c:v>
                </c:pt>
                <c:pt idx="1">
                  <c:v>0.42101062829426011</c:v>
                </c:pt>
                <c:pt idx="2">
                  <c:v>0.60074530757823796</c:v>
                </c:pt>
                <c:pt idx="3">
                  <c:v>0.87441963668919664</c:v>
                </c:pt>
              </c:numCache>
            </c:numRef>
          </c:val>
          <c:smooth val="1"/>
        </c:ser>
        <c:marker val="1"/>
        <c:axId val="81987840"/>
        <c:axId val="81994112"/>
      </c:lineChart>
      <c:catAx>
        <c:axId val="8198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994112"/>
        <c:crosses val="autoZero"/>
        <c:auto val="1"/>
        <c:lblAlgn val="ctr"/>
        <c:lblOffset val="100"/>
        <c:tickLblSkip val="1"/>
        <c:tickMarkSkip val="1"/>
      </c:catAx>
      <c:valAx>
        <c:axId val="8199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98784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Сумм!$G$346:$J$346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Сумм!$G$367:$J$367</c:f>
              <c:numCache>
                <c:formatCode>#,##0</c:formatCode>
                <c:ptCount val="4"/>
                <c:pt idx="0">
                  <c:v>177238.34857142859</c:v>
                </c:pt>
                <c:pt idx="1">
                  <c:v>365449.1154285713</c:v>
                </c:pt>
                <c:pt idx="2">
                  <c:v>408832.68754285708</c:v>
                </c:pt>
                <c:pt idx="3">
                  <c:v>511248.30258285708</c:v>
                </c:pt>
              </c:numCache>
            </c:numRef>
          </c:val>
        </c:ser>
        <c:axId val="82005376"/>
        <c:axId val="82031744"/>
      </c:barChart>
      <c:catAx>
        <c:axId val="8200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31744"/>
        <c:crosses val="autoZero"/>
        <c:auto val="1"/>
        <c:lblAlgn val="ctr"/>
        <c:lblOffset val="100"/>
        <c:tickLblSkip val="1"/>
        <c:tickMarkSkip val="1"/>
      </c:catAx>
      <c:valAx>
        <c:axId val="8203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00537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Сумм!$F$451:$J$451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Сумм!$F$473:$J$473</c:f>
              <c:numCache>
                <c:formatCode>#,##0</c:formatCode>
                <c:ptCount val="5"/>
                <c:pt idx="0">
                  <c:v>0</c:v>
                </c:pt>
                <c:pt idx="1">
                  <c:v>-330966.85611772491</c:v>
                </c:pt>
                <c:pt idx="2">
                  <c:v>-58643.51057098771</c:v>
                </c:pt>
                <c:pt idx="3">
                  <c:v>149336.8251534024</c:v>
                </c:pt>
                <c:pt idx="4">
                  <c:v>335472.82216098375</c:v>
                </c:pt>
              </c:numCache>
            </c:numRef>
          </c:val>
          <c:smooth val="1"/>
        </c:ser>
        <c:marker val="1"/>
        <c:axId val="82198912"/>
        <c:axId val="82200832"/>
      </c:lineChart>
      <c:catAx>
        <c:axId val="82198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200832"/>
        <c:crosses val="autoZero"/>
        <c:auto val="1"/>
        <c:lblAlgn val="ctr"/>
        <c:lblOffset val="100"/>
        <c:tickLblSkip val="1"/>
        <c:tickMarkSkip val="1"/>
      </c:catAx>
      <c:valAx>
        <c:axId val="8220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9891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82122624"/>
        <c:axId val="82149376"/>
      </c:lineChart>
      <c:catAx>
        <c:axId val="82122624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49376"/>
        <c:crosses val="autoZero"/>
        <c:auto val="1"/>
        <c:lblAlgn val="ctr"/>
        <c:lblOffset val="100"/>
        <c:tickLblSkip val="1"/>
        <c:tickMarkSkip val="1"/>
      </c:catAx>
      <c:valAx>
        <c:axId val="8214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2262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24"/>
          <c:w val="0.35163204747774485"/>
          <c:h val="6.37684202518165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cat>
            <c:numRef>
              <c:f>Проект!$G$748:$J$748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Проект!$G$769:$J$769</c:f>
              <c:numCache>
                <c:formatCode>#,##0</c:formatCode>
                <c:ptCount val="4"/>
                <c:pt idx="0">
                  <c:v>118631.20571428572</c:v>
                </c:pt>
                <c:pt idx="1">
                  <c:v>185996.48114285705</c:v>
                </c:pt>
                <c:pt idx="2">
                  <c:v>222812.1435428572</c:v>
                </c:pt>
                <c:pt idx="3">
                  <c:v>281844.18646857137</c:v>
                </c:pt>
              </c:numCache>
            </c:numRef>
          </c:val>
        </c:ser>
        <c:dLbls>
          <c:showVal val="1"/>
        </c:dLbls>
        <c:overlap val="-25"/>
        <c:axId val="80336768"/>
        <c:axId val="80338304"/>
      </c:barChart>
      <c:catAx>
        <c:axId val="803367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0338304"/>
        <c:crosses val="autoZero"/>
        <c:auto val="1"/>
        <c:lblAlgn val="ctr"/>
        <c:lblOffset val="100"/>
        <c:tickLblSkip val="1"/>
        <c:tickMarkSkip val="1"/>
      </c:catAx>
      <c:valAx>
        <c:axId val="80338304"/>
        <c:scaling>
          <c:orientation val="minMax"/>
        </c:scaling>
        <c:delete val="1"/>
        <c:axPos val="l"/>
        <c:numFmt formatCode="#,##0" sourceLinked="1"/>
        <c:tickLblPos val="none"/>
        <c:crossAx val="80336768"/>
        <c:crosses val="autoZero"/>
        <c:crossBetween val="between"/>
      </c:valAx>
    </c:plotArea>
    <c:legend>
      <c:legendPos val="t"/>
    </c:legend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82156160"/>
        <c:axId val="82178816"/>
      </c:lineChart>
      <c:catAx>
        <c:axId val="82156160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78816"/>
        <c:crosses val="autoZero"/>
        <c:auto val="1"/>
        <c:lblAlgn val="ctr"/>
        <c:lblOffset val="100"/>
        <c:tickLblSkip val="1"/>
        <c:tickMarkSkip val="1"/>
      </c:catAx>
      <c:valAx>
        <c:axId val="8217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215616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24"/>
          <c:w val="0.35163204747774485"/>
          <c:h val="6.37684202518165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Проект!$G$1025:$J$1025</c:f>
              <c:numCache>
                <c:formatCode>0.00</c:formatCode>
                <c:ptCount val="4"/>
                <c:pt idx="0">
                  <c:v>5.9676558717503365</c:v>
                </c:pt>
                <c:pt idx="1">
                  <c:v>7.8132647483884856</c:v>
                </c:pt>
                <c:pt idx="2">
                  <c:v>6.8595108151082789</c:v>
                </c:pt>
                <c:pt idx="3">
                  <c:v>6.9818688572026337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Проект!$G$1026:$J$1026</c:f>
              <c:numCache>
                <c:formatCode>0.00</c:formatCode>
                <c:ptCount val="4"/>
                <c:pt idx="0">
                  <c:v>4.325008444218791</c:v>
                </c:pt>
                <c:pt idx="1">
                  <c:v>7.1474240783798662</c:v>
                </c:pt>
                <c:pt idx="2">
                  <c:v>6.4756100475575185</c:v>
                </c:pt>
                <c:pt idx="3">
                  <c:v>6.7729310745320515</c:v>
                </c:pt>
              </c:numCache>
            </c:numRef>
          </c:val>
          <c:smooth val="1"/>
        </c:ser>
        <c:marker val="1"/>
        <c:axId val="80243712"/>
        <c:axId val="80274560"/>
      </c:lineChart>
      <c:catAx>
        <c:axId val="8024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274560"/>
        <c:crosses val="autoZero"/>
        <c:auto val="1"/>
        <c:lblAlgn val="ctr"/>
        <c:lblOffset val="100"/>
        <c:tickLblSkip val="1"/>
        <c:tickMarkSkip val="1"/>
      </c:catAx>
      <c:valAx>
        <c:axId val="80274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24371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88"/>
          <c:y val="0.9156976744186055"/>
          <c:w val="0.64732236595425496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583"/>
          <c:h val="0.73255813953488436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Проект!$G$1009:$J$1009</c:f>
              <c:numCache>
                <c:formatCode>0.0%</c:formatCode>
                <c:ptCount val="4"/>
                <c:pt idx="0">
                  <c:v>0.16915666537232812</c:v>
                </c:pt>
                <c:pt idx="1">
                  <c:v>0.24544671294785836</c:v>
                </c:pt>
                <c:pt idx="2">
                  <c:v>0.27180865794312098</c:v>
                </c:pt>
                <c:pt idx="3">
                  <c:v>0.32773291317832259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Проект!$G$1011:$J$1011</c:f>
              <c:numCache>
                <c:formatCode>0.0%</c:formatCode>
                <c:ptCount val="4"/>
                <c:pt idx="0">
                  <c:v>0.24290118903107863</c:v>
                </c:pt>
                <c:pt idx="1">
                  <c:v>0.42101062829426011</c:v>
                </c:pt>
                <c:pt idx="2">
                  <c:v>0.60074530757823796</c:v>
                </c:pt>
                <c:pt idx="3">
                  <c:v>0.87441963668919664</c:v>
                </c:pt>
              </c:numCache>
            </c:numRef>
          </c:val>
          <c:smooth val="1"/>
        </c:ser>
        <c:marker val="1"/>
        <c:axId val="80372480"/>
        <c:axId val="80374400"/>
      </c:lineChart>
      <c:catAx>
        <c:axId val="8037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374400"/>
        <c:crosses val="autoZero"/>
        <c:auto val="1"/>
        <c:lblAlgn val="ctr"/>
        <c:lblOffset val="100"/>
        <c:tickLblSkip val="1"/>
        <c:tickMarkSkip val="1"/>
      </c:catAx>
      <c:valAx>
        <c:axId val="80374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37248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5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33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Проект!$F$867:$J$867</c:f>
              <c:numCache>
                <c:formatCode>#,##0</c:formatCode>
                <c:ptCount val="5"/>
                <c:pt idx="0">
                  <c:v>0</c:v>
                </c:pt>
                <c:pt idx="1">
                  <c:v>118631.20571428572</c:v>
                </c:pt>
                <c:pt idx="2">
                  <c:v>302103.62399999989</c:v>
                </c:pt>
                <c:pt idx="3">
                  <c:v>280312.1435428572</c:v>
                </c:pt>
                <c:pt idx="4">
                  <c:v>339344.18646857148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Проект!$F$886:$J$886</c:f>
              <c:numCache>
                <c:formatCode>#,##0</c:formatCode>
                <c:ptCount val="5"/>
                <c:pt idx="0">
                  <c:v>0</c:v>
                </c:pt>
                <c:pt idx="1">
                  <c:v>149839.77265873016</c:v>
                </c:pt>
                <c:pt idx="2">
                  <c:v>224565.61758730147</c:v>
                </c:pt>
                <c:pt idx="3">
                  <c:v>67550.020131746132</c:v>
                </c:pt>
                <c:pt idx="4">
                  <c:v>126051.60339492065</c:v>
                </c:pt>
              </c:numCache>
            </c:numRef>
          </c:val>
        </c:ser>
        <c:overlap val="50"/>
        <c:axId val="80386688"/>
        <c:axId val="80408960"/>
      </c:barChart>
      <c:catAx>
        <c:axId val="80386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408960"/>
        <c:crosses val="autoZero"/>
        <c:auto val="1"/>
        <c:lblAlgn val="ctr"/>
        <c:lblOffset val="100"/>
        <c:tickLblSkip val="1"/>
        <c:tickMarkSkip val="1"/>
      </c:catAx>
      <c:valAx>
        <c:axId val="80408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38668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92"/>
          <c:y val="0.9156976744186055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33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Проект!$F$856:$J$856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Проект!$F$887:$J$887</c:f>
              <c:numCache>
                <c:formatCode>#,##0</c:formatCode>
                <c:ptCount val="5"/>
                <c:pt idx="0">
                  <c:v>0</c:v>
                </c:pt>
                <c:pt idx="1">
                  <c:v>149839.77265873016</c:v>
                </c:pt>
                <c:pt idx="2">
                  <c:v>374405.39024603163</c:v>
                </c:pt>
                <c:pt idx="3">
                  <c:v>441955.41037777776</c:v>
                </c:pt>
                <c:pt idx="4">
                  <c:v>568007.01377269835</c:v>
                </c:pt>
              </c:numCache>
            </c:numRef>
          </c:val>
        </c:ser>
        <c:marker val="1"/>
        <c:axId val="80165888"/>
        <c:axId val="80176256"/>
      </c:lineChart>
      <c:catAx>
        <c:axId val="80165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76256"/>
        <c:crosses val="autoZero"/>
        <c:auto val="1"/>
        <c:lblAlgn val="ctr"/>
        <c:lblOffset val="100"/>
        <c:tickLblSkip val="1"/>
        <c:tickMarkSkip val="1"/>
      </c:catAx>
      <c:valAx>
        <c:axId val="80176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16588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57"/>
          <c:y val="0.9156976744186055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Проект!$G$940:$J$940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Проект!$G$942:$J$942</c:f>
              <c:numCache>
                <c:formatCode>#,##0</c:formatCode>
                <c:ptCount val="4"/>
                <c:pt idx="0">
                  <c:v>154309.67321428572</c:v>
                </c:pt>
                <c:pt idx="1">
                  <c:v>383372.71535714273</c:v>
                </c:pt>
                <c:pt idx="2">
                  <c:v>451819.46799999999</c:v>
                </c:pt>
                <c:pt idx="3">
                  <c:v>578857.47715714283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Проект!$G$943:$J$943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Проект!$G$944:$J$944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Проект!$G$945:$J$945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Проект!$G$946:$J$946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Проект!$G$947:$J$947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80504704"/>
        <c:axId val="80506240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Проект!$G$951:$J$951</c:f>
              <c:numCache>
                <c:formatCode>#,##0</c:formatCode>
                <c:ptCount val="4"/>
                <c:pt idx="0">
                  <c:v>212916.81607142859</c:v>
                </c:pt>
                <c:pt idx="1">
                  <c:v>419087.00107142841</c:v>
                </c:pt>
                <c:pt idx="2">
                  <c:v>478605.18228571425</c:v>
                </c:pt>
                <c:pt idx="3">
                  <c:v>596714.62001428567</c:v>
                </c:pt>
              </c:numCache>
            </c:numRef>
          </c:val>
        </c:ser>
        <c:marker val="1"/>
        <c:axId val="80504704"/>
        <c:axId val="80506240"/>
      </c:lineChart>
      <c:catAx>
        <c:axId val="80504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506240"/>
        <c:crosses val="autoZero"/>
        <c:auto val="1"/>
        <c:lblAlgn val="ctr"/>
        <c:lblOffset val="100"/>
        <c:tickLblSkip val="1"/>
        <c:tickMarkSkip val="1"/>
      </c:catAx>
      <c:valAx>
        <c:axId val="8050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5047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61"/>
          <c:h val="0.174418604651163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48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33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Проект!$G$1007:$J$1007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Проект!$G$1028:$J$1028</c:f>
              <c:numCache>
                <c:formatCode>#,##0</c:formatCode>
                <c:ptCount val="4"/>
                <c:pt idx="0">
                  <c:v>177238.34857142859</c:v>
                </c:pt>
                <c:pt idx="1">
                  <c:v>365449.1154285713</c:v>
                </c:pt>
                <c:pt idx="2">
                  <c:v>408832.68754285708</c:v>
                </c:pt>
                <c:pt idx="3">
                  <c:v>511248.30258285708</c:v>
                </c:pt>
              </c:numCache>
            </c:numRef>
          </c:val>
        </c:ser>
        <c:axId val="80530048"/>
        <c:axId val="81408384"/>
      </c:barChart>
      <c:catAx>
        <c:axId val="80530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1408384"/>
        <c:crosses val="autoZero"/>
        <c:auto val="1"/>
        <c:lblAlgn val="ctr"/>
        <c:lblOffset val="100"/>
        <c:tickLblSkip val="1"/>
        <c:tickMarkSkip val="1"/>
      </c:catAx>
      <c:valAx>
        <c:axId val="8140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053004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5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layout>
        <c:manualLayout>
          <c:xMode val="edge"/>
          <c:yMode val="edge"/>
          <c:x val="0.31398856392950991"/>
          <c:y val="3.4883720930232558E-2"/>
        </c:manualLayout>
      </c:layout>
    </c:title>
    <c:plotArea>
      <c:layout>
        <c:manualLayout>
          <c:layoutTarget val="inner"/>
          <c:xMode val="edge"/>
          <c:yMode val="edge"/>
          <c:x val="0.10119062324251211"/>
          <c:y val="9.5930232558139567E-2"/>
          <c:w val="0.86160839496197661"/>
          <c:h val="0.7906976744186055"/>
        </c:manualLayout>
      </c:layout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cat>
            <c:strRef>
              <c:f>Проект!$F$1112:$J$1112</c:f>
              <c:strCache>
                <c:ptCount val="5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Проект!$F$1136:$J$1136</c:f>
              <c:numCache>
                <c:formatCode>#,##0</c:formatCode>
                <c:ptCount val="5"/>
                <c:pt idx="0">
                  <c:v>0</c:v>
                </c:pt>
                <c:pt idx="1">
                  <c:v>-361054.75212842709</c:v>
                </c:pt>
                <c:pt idx="2">
                  <c:v>-36967.464866194525</c:v>
                </c:pt>
                <c:pt idx="3">
                  <c:v>233047.57655510225</c:v>
                </c:pt>
                <c:pt idx="4">
                  <c:v>496671.37506266352</c:v>
                </c:pt>
              </c:numCache>
            </c:numRef>
          </c:val>
          <c:smooth val="1"/>
        </c:ser>
        <c:marker val="1"/>
        <c:axId val="81423744"/>
        <c:axId val="81429632"/>
      </c:lineChart>
      <c:catAx>
        <c:axId val="814237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1429632"/>
        <c:crosses val="autoZero"/>
        <c:auto val="1"/>
        <c:lblAlgn val="ctr"/>
        <c:lblOffset val="100"/>
        <c:tickLblSkip val="1"/>
        <c:tickMarkSkip val="1"/>
      </c:catAx>
      <c:valAx>
        <c:axId val="8142963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814237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1994094488189012"/>
          <c:y val="0.9156976744186055"/>
          <c:w val="0.42261967254093236"/>
          <c:h val="6.3953488372093026E-2"/>
        </c:manualLayout>
      </c:layout>
    </c:legend>
    <c:plotVisOnly val="1"/>
    <c:dispBlanksAs val="gap"/>
  </c:chart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023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799</xdr:row>
      <xdr:rowOff>9525</xdr:rowOff>
    </xdr:from>
    <xdr:to>
      <xdr:col>5</xdr:col>
      <xdr:colOff>628650</xdr:colOff>
      <xdr:row>819</xdr:row>
      <xdr:rowOff>19050</xdr:rowOff>
    </xdr:to>
    <xdr:graphicFrame macro="">
      <xdr:nvGraphicFramePr>
        <xdr:cNvPr id="200024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025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026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027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028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029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030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9526</xdr:colOff>
      <xdr:row>1155</xdr:row>
      <xdr:rowOff>9525</xdr:rowOff>
    </xdr:from>
    <xdr:to>
      <xdr:col>2</xdr:col>
      <xdr:colOff>714376</xdr:colOff>
      <xdr:row>1173</xdr:row>
      <xdr:rowOff>133350</xdr:rowOff>
    </xdr:to>
    <xdr:graphicFrame macro="">
      <xdr:nvGraphicFramePr>
        <xdr:cNvPr id="200031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1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2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22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23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2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25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2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2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L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0" width="11.83203125" style="1" customWidth="1"/>
    <col min="11" max="11" width="1.6640625" style="1" customWidth="1"/>
    <col min="12" max="12" width="12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OFFSET(Язык!$A$677,0,LANGUAGE)</f>
        <v>Описание компании</v>
      </c>
      <c r="B2" s="6"/>
      <c r="C2" s="6"/>
    </row>
    <row r="4" spans="1:12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84"/>
    </row>
    <row r="5" spans="1:12">
      <c r="A5" s="121"/>
      <c r="B5" s="121"/>
      <c r="C5" s="121"/>
      <c r="D5" s="121"/>
      <c r="E5" s="124"/>
    </row>
    <row r="6" spans="1:12" ht="16.5" customHeight="1">
      <c r="A6" s="121"/>
      <c r="B6" s="121"/>
      <c r="C6" s="121"/>
      <c r="D6" s="121"/>
      <c r="E6" s="124"/>
    </row>
    <row r="7" spans="1:12">
      <c r="A7" s="121"/>
      <c r="B7" s="121"/>
      <c r="C7" s="121"/>
      <c r="D7" s="121"/>
      <c r="E7" s="124"/>
    </row>
    <row r="8" spans="1:12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2">
      <c r="A9" s="129" t="str">
        <f>Проект!PRJ_Name</f>
        <v>Химчистка</v>
      </c>
      <c r="B9" s="130" t="s">
        <v>159</v>
      </c>
      <c r="C9" s="121"/>
      <c r="D9" s="121"/>
      <c r="E9" s="124"/>
    </row>
    <row r="10" spans="1:12">
      <c r="A10" s="122"/>
      <c r="B10" s="122"/>
      <c r="C10" s="122"/>
      <c r="D10" s="122"/>
      <c r="E10" s="125"/>
    </row>
    <row r="11" spans="1:12" collapsed="1"/>
    <row r="12" spans="1:12" hidden="1" outlineLevel="1">
      <c r="A12" s="223" t="str">
        <f ca="1">OFFSET(Язык!$A$681,0,LANGUAGE)</f>
        <v>Номера периодов</v>
      </c>
      <c r="B12" s="223"/>
      <c r="C12" s="223"/>
      <c r="D12" s="223"/>
      <c r="E12" s="223"/>
      <c r="F12" s="224">
        <v>0</v>
      </c>
      <c r="G12" s="224">
        <v>1</v>
      </c>
      <c r="H12" s="224">
        <v>2</v>
      </c>
      <c r="I12" s="224">
        <v>3</v>
      </c>
      <c r="J12" s="224">
        <v>3</v>
      </c>
    </row>
    <row r="13" spans="1:12" ht="12" thickBot="1"/>
    <row r="14" spans="1:12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84"/>
    </row>
    <row r="15" spans="1:12" ht="12" outlineLevel="1" thickTop="1"/>
    <row r="16" spans="1:12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1781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2" ht="12" outlineLevel="1" thickBot="1"/>
    <row r="82" spans="1:12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84"/>
    </row>
    <row r="83" spans="1:12" ht="12" outlineLevel="1" thickTop="1"/>
    <row r="84" spans="1:12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2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2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2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2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2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2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2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2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2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2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2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2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2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2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2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2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2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2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2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2" outlineLevel="1"/>
    <row r="105" spans="1:12" ht="12" outlineLevel="1" thickBot="1"/>
    <row r="106" spans="1:12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J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/>
      <c r="L106" s="23" t="str">
        <f ca="1">OFFSET(Язык!$A$77,0,LANGUAGE)</f>
        <v>ИТОГО</v>
      </c>
    </row>
    <row r="107" spans="1:12" ht="12" outlineLevel="1" thickTop="1"/>
    <row r="108" spans="1:12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1736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2" outlineLevel="1"/>
    <row r="110" spans="1:12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1316</v>
      </c>
      <c r="G110" s="181">
        <v>0</v>
      </c>
      <c r="H110" s="181">
        <f t="shared" ref="H110:J110" si="2">G110</f>
        <v>0</v>
      </c>
      <c r="I110" s="181">
        <f t="shared" si="2"/>
        <v>0</v>
      </c>
      <c r="J110" s="181">
        <f t="shared" si="2"/>
        <v>0</v>
      </c>
      <c r="K110" s="182"/>
      <c r="L110" s="183"/>
    </row>
    <row r="111" spans="1:12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1316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2"/>
      <c r="L111" s="183"/>
    </row>
    <row r="112" spans="1:12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1747</v>
      </c>
      <c r="F112" s="181">
        <v>1</v>
      </c>
      <c r="G112" s="181">
        <f t="shared" ref="G112:J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2"/>
      <c r="L112" s="182"/>
    </row>
    <row r="113" spans="1:12" outlineLevel="1">
      <c r="C113" s="132"/>
    </row>
    <row r="114" spans="1:12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1316</v>
      </c>
      <c r="F114" s="134">
        <f>H85</f>
        <v>0</v>
      </c>
      <c r="G114" s="134">
        <f t="shared" ref="G114:J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/>
      <c r="L114" s="136">
        <f>SUM(F114:J114)</f>
        <v>0</v>
      </c>
    </row>
    <row r="115" spans="1:12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1316</v>
      </c>
      <c r="F115" s="134">
        <f t="shared" ref="F115:I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ref="J115" si="6">J114*$B115*J112</f>
        <v>0</v>
      </c>
      <c r="K115" s="134"/>
      <c r="L115" s="136">
        <f>SUM(F115:J115)</f>
        <v>0</v>
      </c>
    </row>
    <row r="116" spans="1:12" outlineLevel="1">
      <c r="C116" s="132"/>
    </row>
    <row r="117" spans="1:12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1316</v>
      </c>
      <c r="G117" s="181">
        <v>0</v>
      </c>
      <c r="H117" s="181">
        <f t="shared" ref="H117:J117" si="7">G117</f>
        <v>0</v>
      </c>
      <c r="I117" s="181">
        <f t="shared" si="7"/>
        <v>0</v>
      </c>
      <c r="J117" s="181">
        <f t="shared" si="7"/>
        <v>0</v>
      </c>
      <c r="K117" s="180"/>
      <c r="L117" s="183"/>
    </row>
    <row r="118" spans="1:12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1316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/>
      <c r="L118" s="183"/>
    </row>
    <row r="119" spans="1:12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1747</v>
      </c>
      <c r="G119" s="181">
        <v>1</v>
      </c>
      <c r="H119" s="181">
        <f t="shared" ref="H119:J119" si="8">G119</f>
        <v>1</v>
      </c>
      <c r="I119" s="181">
        <f t="shared" si="8"/>
        <v>1</v>
      </c>
      <c r="J119" s="181">
        <f t="shared" si="8"/>
        <v>1</v>
      </c>
      <c r="K119" s="180"/>
      <c r="L119" s="180"/>
    </row>
    <row r="120" spans="1:12" outlineLevel="1">
      <c r="C120" s="132"/>
    </row>
    <row r="121" spans="1:12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1316</v>
      </c>
      <c r="F121" s="134">
        <f>H86+H88+H89</f>
        <v>0</v>
      </c>
      <c r="G121" s="134">
        <f t="shared" ref="G121:I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ref="J121" si="10">SUM(J123:J130)</f>
        <v>0</v>
      </c>
      <c r="K121" s="134"/>
      <c r="L121" s="136">
        <f>SUM(F121:J121)</f>
        <v>0</v>
      </c>
    </row>
    <row r="122" spans="1:12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6"/>
    </row>
    <row r="123" spans="1:12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1316</v>
      </c>
      <c r="F123" s="134">
        <f t="shared" ref="F123:F130" si="12">F$121*$B123</f>
        <v>0</v>
      </c>
      <c r="G123" s="134">
        <f t="shared" ref="G123:J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/>
      <c r="L123" s="136">
        <f t="shared" ref="L123:L131" si="14">SUM(F123:J123)</f>
        <v>0</v>
      </c>
    </row>
    <row r="124" spans="1:12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1316</v>
      </c>
      <c r="F124" s="134">
        <f t="shared" si="12"/>
        <v>0</v>
      </c>
      <c r="G124" s="134">
        <f t="shared" ref="G124:J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/>
      <c r="L124" s="136">
        <f t="shared" si="14"/>
        <v>0</v>
      </c>
    </row>
    <row r="125" spans="1:12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1316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/>
      <c r="L125" s="136">
        <f t="shared" si="14"/>
        <v>0</v>
      </c>
    </row>
    <row r="126" spans="1:12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1316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/>
      <c r="L126" s="136">
        <f t="shared" si="14"/>
        <v>0</v>
      </c>
    </row>
    <row r="127" spans="1:12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1316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/>
      <c r="L127" s="136">
        <f t="shared" si="14"/>
        <v>0</v>
      </c>
    </row>
    <row r="128" spans="1:12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1316</v>
      </c>
      <c r="F128" s="134">
        <f t="shared" si="12"/>
        <v>0</v>
      </c>
      <c r="G128" s="134">
        <f t="shared" ref="G128:I128" si="16">G169</f>
        <v>0</v>
      </c>
      <c r="H128" s="134">
        <f t="shared" si="16"/>
        <v>0</v>
      </c>
      <c r="I128" s="134">
        <f t="shared" si="16"/>
        <v>0</v>
      </c>
      <c r="J128" s="134">
        <f t="shared" ref="J128" si="17">J169</f>
        <v>0</v>
      </c>
      <c r="K128" s="134"/>
      <c r="L128" s="136">
        <f t="shared" si="14"/>
        <v>0</v>
      </c>
    </row>
    <row r="129" spans="1:12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1316</v>
      </c>
      <c r="F129" s="134">
        <f t="shared" si="12"/>
        <v>0</v>
      </c>
      <c r="G129" s="134">
        <f t="shared" ref="G129:J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/>
      <c r="L129" s="136">
        <f t="shared" si="14"/>
        <v>0</v>
      </c>
    </row>
    <row r="130" spans="1:12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1316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/>
      <c r="L130" s="136">
        <f t="shared" si="14"/>
        <v>0</v>
      </c>
    </row>
    <row r="131" spans="1:12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1316</v>
      </c>
      <c r="E131" s="170"/>
      <c r="F131" s="188">
        <f t="shared" ref="F131:I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ref="J131" si="20">(J123+J126+J129+J130)*$B131</f>
        <v>0</v>
      </c>
      <c r="K131" s="188"/>
      <c r="L131" s="189">
        <f t="shared" si="14"/>
        <v>0</v>
      </c>
    </row>
    <row r="132" spans="1:12" outlineLevel="1"/>
    <row r="133" spans="1:12" ht="12" outlineLevel="1" thickBot="1"/>
    <row r="134" spans="1:12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J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/>
      <c r="L134" s="21"/>
    </row>
    <row r="135" spans="1:12" ht="12" outlineLevel="1" thickTop="1"/>
    <row r="136" spans="1:12" outlineLevel="1">
      <c r="B136" s="132" t="s">
        <v>1936</v>
      </c>
    </row>
    <row r="137" spans="1:12" outlineLevel="1">
      <c r="A137" s="1" t="str">
        <f ca="1">OFFSET(Язык!$A787,0,LANGUAGE)</f>
        <v>Запасы материалов и комплектующих</v>
      </c>
      <c r="B137" s="227">
        <f>IF(F121&gt;0,G30/F121*PRJ_Step,0)</f>
        <v>0</v>
      </c>
      <c r="C137" s="132" t="str">
        <f t="shared" ref="C137:C142" ca="1" si="22">CUR_Main</f>
        <v>$</v>
      </c>
      <c r="D137" s="1" t="s">
        <v>1737</v>
      </c>
      <c r="F137" s="134">
        <f>G30</f>
        <v>0</v>
      </c>
      <c r="G137" s="134">
        <f t="shared" ref="G137:J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/>
      <c r="L137" s="134"/>
    </row>
    <row r="138" spans="1:12" outlineLevel="1">
      <c r="A138" s="1" t="str">
        <f ca="1">OFFSET(Язык!$A788,0,LANGUAGE)</f>
        <v>Незавершенное производство</v>
      </c>
      <c r="B138" s="227">
        <f>IF(F121&gt;0,G32/F121*PRJ_Step,0)</f>
        <v>0</v>
      </c>
      <c r="C138" s="132" t="str">
        <f t="shared" ca="1" si="22"/>
        <v>$</v>
      </c>
      <c r="D138" s="1" t="s">
        <v>1737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/>
      <c r="L138" s="134"/>
    </row>
    <row r="139" spans="1:12" outlineLevel="1">
      <c r="A139" s="1" t="str">
        <f ca="1">OFFSET(Язык!$A789,0,LANGUAGE)</f>
        <v>Готовая продукция</v>
      </c>
      <c r="B139" s="227">
        <f>IF(F121&gt;0,(G33+G34)/F121*PRJ_Step,0)</f>
        <v>0</v>
      </c>
      <c r="C139" s="132" t="str">
        <f t="shared" ca="1" si="22"/>
        <v>$</v>
      </c>
      <c r="D139" s="1" t="s">
        <v>1737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/>
      <c r="L139" s="134"/>
    </row>
    <row r="140" spans="1:12" outlineLevel="1">
      <c r="A140" s="1" t="str">
        <f ca="1">OFFSET(Язык!$A790,0,LANGUAGE)</f>
        <v>Дебиторская задолженность</v>
      </c>
      <c r="B140" s="227">
        <f>IF(F114&gt;0,(G38+G40)/F114*PRJ_Step,0)</f>
        <v>0</v>
      </c>
      <c r="C140" s="132" t="str">
        <f t="shared" ca="1" si="22"/>
        <v>$</v>
      </c>
      <c r="D140" s="1" t="s">
        <v>1737</v>
      </c>
      <c r="F140" s="134">
        <f>G38+G40</f>
        <v>0</v>
      </c>
      <c r="G140" s="134">
        <f t="shared" ref="G140:J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/>
      <c r="L140" s="134"/>
    </row>
    <row r="141" spans="1:12" outlineLevel="1">
      <c r="A141" s="1" t="str">
        <f ca="1">OFFSET(Язык!$A791,0,LANGUAGE)</f>
        <v>Авансы уплаченные</v>
      </c>
      <c r="B141" s="227">
        <v>0</v>
      </c>
      <c r="C141" s="132" t="str">
        <f t="shared" ca="1" si="22"/>
        <v>$</v>
      </c>
      <c r="D141" s="1" t="s">
        <v>1737</v>
      </c>
      <c r="F141" s="134">
        <v>0</v>
      </c>
      <c r="G141" s="134">
        <f t="shared" ref="G141:J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/>
      <c r="L141" s="134"/>
    </row>
    <row r="142" spans="1:12" outlineLevel="1">
      <c r="A142" s="1" t="str">
        <f ca="1">OFFSET(Язык!$A792,0,LANGUAGE)</f>
        <v>НДС уплаченный</v>
      </c>
      <c r="B142" s="227">
        <f>IF(F121&gt;0,G37/F121*PRJ_Step,0)</f>
        <v>0</v>
      </c>
      <c r="C142" s="132" t="str">
        <f t="shared" ca="1" si="22"/>
        <v>$</v>
      </c>
      <c r="D142" s="1" t="s">
        <v>1737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/>
      <c r="L142" s="134"/>
    </row>
    <row r="143" spans="1:12" outlineLevel="1">
      <c r="F143" s="134"/>
      <c r="G143" s="134"/>
      <c r="H143" s="134"/>
      <c r="I143" s="134"/>
      <c r="J143" s="134"/>
      <c r="K143" s="134"/>
      <c r="L143" s="134"/>
    </row>
    <row r="144" spans="1:12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1737</v>
      </c>
      <c r="F144" s="134">
        <f t="shared" ref="F144:I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ref="J144" si="27">SUM(J137:J142)</f>
        <v>0</v>
      </c>
      <c r="K144" s="134"/>
      <c r="L144" s="134"/>
    </row>
    <row r="145" spans="1:12" outlineLevel="1">
      <c r="F145" s="134"/>
      <c r="G145" s="134"/>
      <c r="H145" s="134"/>
      <c r="I145" s="134"/>
      <c r="J145" s="134"/>
      <c r="K145" s="134"/>
      <c r="L145" s="134"/>
    </row>
    <row r="146" spans="1:12" outlineLevel="1">
      <c r="A146" s="1" t="str">
        <f ca="1">OFFSET(Язык!$A794,0,LANGUAGE)</f>
        <v>Кредиторская задолженность</v>
      </c>
      <c r="B146" s="227">
        <f>IF(F121&gt;0,(G67-G70-G71-G72)/F121*PRJ_Step,0)</f>
        <v>0</v>
      </c>
      <c r="C146" s="132" t="str">
        <f ca="1">CUR_Main</f>
        <v>$</v>
      </c>
      <c r="D146" s="1" t="s">
        <v>1737</v>
      </c>
      <c r="F146" s="134">
        <f>G67-G70-G71-G72</f>
        <v>0</v>
      </c>
      <c r="G146" s="134">
        <f t="shared" ref="G146:J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/>
      <c r="L146" s="134"/>
    </row>
    <row r="147" spans="1:12" outlineLevel="1">
      <c r="A147" s="1" t="str">
        <f ca="1">OFFSET(Язык!$A795,0,LANGUAGE)</f>
        <v>Авансы покупателей</v>
      </c>
      <c r="B147" s="227">
        <v>0</v>
      </c>
      <c r="C147" s="132" t="str">
        <f ca="1">CUR_Main</f>
        <v>$</v>
      </c>
      <c r="D147" s="1" t="s">
        <v>1737</v>
      </c>
      <c r="F147" s="134">
        <v>0</v>
      </c>
      <c r="G147" s="134">
        <f t="shared" ref="G147:J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/>
      <c r="L147" s="134"/>
    </row>
    <row r="148" spans="1:12" outlineLevel="1">
      <c r="A148" s="1" t="str">
        <f ca="1">OFFSET(Язык!$A796,0,LANGUAGE)</f>
        <v>Расчеты с бюджетом и внебюджетными фондами</v>
      </c>
      <c r="B148" s="227">
        <f>IF(F121&gt;0,(G71+G72)/F121*PRJ_Step,0)</f>
        <v>0</v>
      </c>
      <c r="C148" s="132" t="str">
        <f ca="1">CUR_Main</f>
        <v>$</v>
      </c>
      <c r="D148" s="1" t="s">
        <v>1737</v>
      </c>
      <c r="F148" s="134">
        <f>G71+G72</f>
        <v>0</v>
      </c>
      <c r="G148" s="134">
        <f t="shared" ref="G148:J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/>
      <c r="L148" s="134"/>
    </row>
    <row r="149" spans="1:12" outlineLevel="1">
      <c r="A149" s="1" t="str">
        <f ca="1">OFFSET(Язык!$A797,0,LANGUAGE)</f>
        <v>Расчеты с персоналом</v>
      </c>
      <c r="B149" s="227">
        <f>IF(F121&gt;0,G70/F121*PRJ_Step,0)</f>
        <v>0</v>
      </c>
      <c r="C149" s="132" t="str">
        <f ca="1">CUR_Main</f>
        <v>$</v>
      </c>
      <c r="D149" s="1" t="s">
        <v>1737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/>
      <c r="L149" s="134"/>
    </row>
    <row r="150" spans="1:12" outlineLevel="1">
      <c r="F150" s="134"/>
      <c r="G150" s="134"/>
      <c r="H150" s="134"/>
      <c r="I150" s="134"/>
      <c r="J150" s="134"/>
      <c r="K150" s="134"/>
      <c r="L150" s="134"/>
    </row>
    <row r="151" spans="1:12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1737</v>
      </c>
      <c r="F151" s="134">
        <f t="shared" ref="F151:I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ref="J151" si="32">SUM(J146:J149)</f>
        <v>0</v>
      </c>
      <c r="K151" s="134"/>
      <c r="L151" s="134"/>
    </row>
    <row r="152" spans="1:12" outlineLevel="1">
      <c r="F152" s="134"/>
      <c r="G152" s="134"/>
      <c r="H152" s="134"/>
      <c r="I152" s="134"/>
      <c r="J152" s="134"/>
      <c r="K152" s="134"/>
      <c r="L152" s="134"/>
    </row>
    <row r="153" spans="1:12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1737</v>
      </c>
      <c r="E153" s="170"/>
      <c r="F153" s="188">
        <f t="shared" ref="F153:I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ref="J153" si="34">J144-J151</f>
        <v>0</v>
      </c>
      <c r="K153" s="188"/>
      <c r="L153" s="188"/>
    </row>
    <row r="154" spans="1:12" outlineLevel="1"/>
    <row r="155" spans="1:12" ht="12" outlineLevel="1" thickBot="1"/>
    <row r="156" spans="1:12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J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/>
      <c r="L156" s="23" t="str">
        <f ca="1">OFFSET(Язык!$A$77,0,LANGUAGE)</f>
        <v>ИТОГО</v>
      </c>
    </row>
    <row r="157" spans="1:12" ht="12" outlineLevel="1" thickTop="1"/>
    <row r="158" spans="1:12" outlineLevel="1">
      <c r="A158" s="1" t="str">
        <f ca="1">OFFSET(Язык!$A801,0,LANGUAGE)</f>
        <v>Незавершенные капитальные вложения</v>
      </c>
      <c r="D158" s="1" t="s">
        <v>1737</v>
      </c>
      <c r="F158" s="134">
        <f>G21</f>
        <v>0</v>
      </c>
      <c r="G158" s="134">
        <f t="shared" ref="G158:J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</row>
    <row r="159" spans="1:12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8">
        <v>1</v>
      </c>
    </row>
    <row r="160" spans="1:12" outlineLevel="1">
      <c r="A160" s="177"/>
    </row>
    <row r="161" spans="1:12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20">
        <v>0</v>
      </c>
      <c r="H161" s="220">
        <v>0</v>
      </c>
      <c r="I161" s="220">
        <v>0</v>
      </c>
      <c r="J161" s="220">
        <v>0</v>
      </c>
    </row>
    <row r="162" spans="1:12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1747</v>
      </c>
      <c r="F162" s="216">
        <v>1</v>
      </c>
      <c r="G162" s="216">
        <f t="shared" ref="G162:J162" si="37">F162</f>
        <v>1</v>
      </c>
      <c r="H162" s="216">
        <f t="shared" si="37"/>
        <v>1</v>
      </c>
      <c r="I162" s="216">
        <f t="shared" si="37"/>
        <v>1</v>
      </c>
      <c r="J162" s="216">
        <f t="shared" si="37"/>
        <v>1</v>
      </c>
    </row>
    <row r="163" spans="1:12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</row>
    <row r="164" spans="1:12" outlineLevel="1">
      <c r="A164" s="1" t="str">
        <f ca="1">OFFSET(Язык!$A806,0,LANGUAGE)</f>
        <v>Индекс роста цен</v>
      </c>
      <c r="D164" s="1" t="s">
        <v>1737</v>
      </c>
      <c r="F164" s="139">
        <v>1</v>
      </c>
      <c r="G164" s="180">
        <f t="shared" ref="G164:J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</row>
    <row r="165" spans="1:12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I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ref="J165" si="40">J161*J164</f>
        <v>0</v>
      </c>
      <c r="K165" s="134"/>
      <c r="L165" s="136">
        <f>SUM(F165:J165)</f>
        <v>0</v>
      </c>
    </row>
    <row r="166" spans="1:12" outlineLevel="1">
      <c r="A166" s="177"/>
      <c r="G166" s="180"/>
      <c r="H166" s="180"/>
      <c r="I166" s="180"/>
      <c r="J166" s="180"/>
    </row>
    <row r="167" spans="1:12" outlineLevel="1">
      <c r="A167" s="1" t="str">
        <f ca="1">OFFSET(Язык!$A808,0,LANGUAGE)</f>
        <v>Полная стоимость внеоборотных активов</v>
      </c>
      <c r="D167" s="1" t="s">
        <v>1737</v>
      </c>
      <c r="F167" s="134">
        <f>G20+G19</f>
        <v>0</v>
      </c>
      <c r="G167" s="219">
        <f t="shared" ref="G167:J167" si="41">IF(G12&gt;=$B159,F167+F158+G165,F167)</f>
        <v>0</v>
      </c>
      <c r="H167" s="219">
        <f t="shared" si="41"/>
        <v>0</v>
      </c>
      <c r="I167" s="219">
        <f t="shared" si="41"/>
        <v>0</v>
      </c>
      <c r="J167" s="219">
        <f t="shared" si="41"/>
        <v>0</v>
      </c>
    </row>
    <row r="168" spans="1:12" outlineLevel="1">
      <c r="A168" s="1" t="str">
        <f ca="1">OFFSET(Язык!$A809,0,LANGUAGE)</f>
        <v>Остаточная стоимость внеоборотных активов</v>
      </c>
      <c r="D168" s="1" t="s">
        <v>1737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</row>
    <row r="169" spans="1:12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J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L169" s="136">
        <f>SUM(G169:J169)</f>
        <v>0</v>
      </c>
    </row>
    <row r="170" spans="1:12" outlineLevel="1">
      <c r="A170" s="177"/>
    </row>
    <row r="171" spans="1:12" outlineLevel="1">
      <c r="A171" s="1" t="str">
        <f ca="1">OFFSET(Язык!$A811,0,LANGUAGE)</f>
        <v>Реализация основных средств (все строки без НДС):</v>
      </c>
      <c r="G171" s="217">
        <v>0</v>
      </c>
      <c r="H171" s="217">
        <v>0</v>
      </c>
      <c r="I171" s="217">
        <v>0</v>
      </c>
      <c r="J171" s="217">
        <v>0</v>
      </c>
    </row>
    <row r="172" spans="1:12" outlineLevel="1">
      <c r="A172" s="1" t="str">
        <f ca="1">OFFSET(Язык!$A812,0,LANGUAGE)</f>
        <v xml:space="preserve">    остаточная стоимость реализуемых активов</v>
      </c>
      <c r="G172" s="217">
        <v>0</v>
      </c>
      <c r="H172" s="217">
        <v>0</v>
      </c>
      <c r="I172" s="217">
        <v>0</v>
      </c>
      <c r="J172" s="217">
        <v>0</v>
      </c>
    </row>
    <row r="173" spans="1:12" outlineLevel="1">
      <c r="A173" s="1" t="str">
        <f ca="1">OFFSET(Язык!$A813,0,LANGUAGE)</f>
        <v xml:space="preserve">    затраты по реализации активов</v>
      </c>
      <c r="G173" s="217">
        <v>0</v>
      </c>
      <c r="H173" s="217">
        <v>0</v>
      </c>
      <c r="I173" s="217">
        <v>0</v>
      </c>
      <c r="J173" s="217">
        <v>0</v>
      </c>
    </row>
    <row r="174" spans="1:12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I174" si="43">G171-G172-G173</f>
        <v>0</v>
      </c>
      <c r="H174" s="1">
        <f t="shared" si="43"/>
        <v>0</v>
      </c>
      <c r="I174" s="1">
        <f t="shared" si="43"/>
        <v>0</v>
      </c>
      <c r="J174" s="1">
        <f t="shared" ref="J174" si="44">J171-J172-J173</f>
        <v>0</v>
      </c>
    </row>
    <row r="175" spans="1:12" outlineLevel="1">
      <c r="A175" s="177"/>
    </row>
    <row r="176" spans="1:12" outlineLevel="1">
      <c r="A176" s="170" t="str">
        <f ca="1">OFFSET(Язык!$A815,0,LANGUAGE)</f>
        <v>НДС уплаченный по постоянным активам</v>
      </c>
      <c r="B176" s="221">
        <f>VAT</f>
        <v>0.12</v>
      </c>
      <c r="C176" s="170"/>
      <c r="D176" s="170"/>
      <c r="E176" s="170"/>
      <c r="F176" s="170"/>
      <c r="G176" s="170">
        <f t="shared" ref="G176:I176" si="45">G165*$B176</f>
        <v>0</v>
      </c>
      <c r="H176" s="170">
        <f t="shared" si="45"/>
        <v>0</v>
      </c>
      <c r="I176" s="170">
        <f t="shared" si="45"/>
        <v>0</v>
      </c>
      <c r="J176" s="170">
        <f t="shared" ref="J176" si="46">J165*$B176</f>
        <v>0</v>
      </c>
      <c r="K176" s="170"/>
      <c r="L176" s="170"/>
    </row>
    <row r="177" spans="1:12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</row>
    <row r="178" spans="1:12" ht="12" outlineLevel="1" thickBot="1"/>
    <row r="179" spans="1:12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J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/>
      <c r="L179" s="23" t="str">
        <f ca="1">OFFSET(Язык!$A$77,0,LANGUAGE)</f>
        <v>ИТОГО</v>
      </c>
    </row>
    <row r="180" spans="1:12" ht="12" outlineLevel="1" thickTop="1"/>
    <row r="181" spans="1:12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J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/>
      <c r="L181" s="136">
        <f>SUM(F181:J181)</f>
        <v>0</v>
      </c>
    </row>
    <row r="182" spans="1:12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I182" si="49">G165+G176</f>
        <v>0</v>
      </c>
      <c r="H182" s="134">
        <f t="shared" si="49"/>
        <v>0</v>
      </c>
      <c r="I182" s="134">
        <f t="shared" si="49"/>
        <v>0</v>
      </c>
      <c r="J182" s="134">
        <f t="shared" ref="J182" si="50">J165+J176</f>
        <v>0</v>
      </c>
      <c r="K182" s="134"/>
      <c r="L182" s="136">
        <f>SUM(F182:J182)</f>
        <v>0</v>
      </c>
    </row>
    <row r="183" spans="1:12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I183" si="51">G181+G182</f>
        <v>0</v>
      </c>
      <c r="H183" s="134">
        <f t="shared" si="51"/>
        <v>0</v>
      </c>
      <c r="I183" s="134">
        <f t="shared" si="51"/>
        <v>0</v>
      </c>
      <c r="J183" s="134">
        <f t="shared" ref="J183" si="52">J181+J182</f>
        <v>0</v>
      </c>
      <c r="K183" s="134"/>
      <c r="L183" s="136">
        <f>SUM(F183:J183)</f>
        <v>0</v>
      </c>
    </row>
    <row r="184" spans="1:12" outlineLevel="1">
      <c r="G184" s="134"/>
      <c r="H184" s="134"/>
      <c r="I184" s="134"/>
      <c r="J184" s="134"/>
      <c r="K184" s="134"/>
      <c r="L184" s="134"/>
    </row>
    <row r="185" spans="1:12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34"/>
      <c r="L185" s="136">
        <f>SUM(F185:J185)</f>
        <v>0</v>
      </c>
    </row>
    <row r="186" spans="1:12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1737</v>
      </c>
      <c r="F186" s="134">
        <f>G51</f>
        <v>0</v>
      </c>
      <c r="G186" s="134">
        <f t="shared" ref="G186:J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/>
      <c r="L186" s="134"/>
    </row>
    <row r="187" spans="1:12" outlineLevel="1">
      <c r="G187" s="134"/>
      <c r="H187" s="134"/>
      <c r="I187" s="134"/>
      <c r="J187" s="134"/>
      <c r="K187" s="134"/>
      <c r="L187" s="134"/>
    </row>
    <row r="188" spans="1:12" outlineLevel="1">
      <c r="A188" s="222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</row>
    <row r="189" spans="1:12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34"/>
      <c r="L189" s="136">
        <f>SUM(F189:J189)</f>
        <v>0</v>
      </c>
    </row>
    <row r="190" spans="1:12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34"/>
      <c r="L190" s="136">
        <f>SUM(F190:J190)</f>
        <v>0</v>
      </c>
    </row>
    <row r="191" spans="1:12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1737</v>
      </c>
      <c r="F191" s="134">
        <f>G66</f>
        <v>0</v>
      </c>
      <c r="G191" s="134">
        <f t="shared" ref="G191:J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/>
      <c r="L191" s="134"/>
    </row>
    <row r="192" spans="1:12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J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/>
      <c r="L192" s="136">
        <f>SUM(F192:J192)</f>
        <v>0</v>
      </c>
    </row>
    <row r="193" spans="1:12" outlineLevel="1">
      <c r="G193" s="134"/>
      <c r="H193" s="134"/>
      <c r="I193" s="134"/>
      <c r="J193" s="134"/>
      <c r="K193" s="134"/>
      <c r="L193" s="134"/>
    </row>
    <row r="194" spans="1:12" outlineLevel="1">
      <c r="A194" s="222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</row>
    <row r="195" spans="1:12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34"/>
      <c r="L195" s="136">
        <f>SUM(F195:J195)</f>
        <v>0</v>
      </c>
    </row>
    <row r="196" spans="1:12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34"/>
      <c r="L196" s="136">
        <f>SUM(F196:J196)</f>
        <v>0</v>
      </c>
    </row>
    <row r="197" spans="1:12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1737</v>
      </c>
      <c r="F197" s="134">
        <f>G61</f>
        <v>0</v>
      </c>
      <c r="G197" s="134">
        <f t="shared" ref="G197:J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/>
      <c r="L197" s="134"/>
    </row>
    <row r="198" spans="1:12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J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/>
      <c r="L198" s="136">
        <f>SUM(F198:J198)</f>
        <v>0</v>
      </c>
    </row>
    <row r="199" spans="1:12" outlineLevel="1">
      <c r="G199" s="134"/>
      <c r="H199" s="134"/>
      <c r="I199" s="134"/>
      <c r="J199" s="134"/>
      <c r="K199" s="134"/>
      <c r="L199" s="134"/>
    </row>
    <row r="200" spans="1:12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I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ref="J200" si="59">J185+J189+J195</f>
        <v>0</v>
      </c>
      <c r="K200" s="134"/>
      <c r="L200" s="136">
        <f>SUM(F200:J200)</f>
        <v>0</v>
      </c>
    </row>
    <row r="201" spans="1:12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</row>
    <row r="202" spans="1:12" outlineLevel="1"/>
    <row r="203" spans="1:12" ht="12" outlineLevel="1" thickBot="1"/>
    <row r="204" spans="1:12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J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/>
      <c r="L204" s="23" t="str">
        <f ca="1">OFFSET(Язык!$A$77,0,LANGUAGE)</f>
        <v>ИТОГО</v>
      </c>
    </row>
    <row r="205" spans="1:12" ht="12" outlineLevel="1" thickTop="1"/>
    <row r="206" spans="1:12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134">
        <f t="shared" ref="F206:I206" si="62">F114</f>
        <v>0</v>
      </c>
      <c r="G206" s="134">
        <f t="shared" si="62"/>
        <v>0</v>
      </c>
      <c r="H206" s="134">
        <f t="shared" si="62"/>
        <v>0</v>
      </c>
      <c r="I206" s="134">
        <f t="shared" si="62"/>
        <v>0</v>
      </c>
      <c r="J206" s="134">
        <f t="shared" ref="J206" si="63">J114</f>
        <v>0</v>
      </c>
      <c r="K206" s="134"/>
      <c r="L206" s="136">
        <f t="shared" ref="L206:L225" si="64">SUM(G206:J206)</f>
        <v>0</v>
      </c>
    </row>
    <row r="207" spans="1:12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134">
        <f t="shared" ref="F207:I207" si="65">SUM(F208:F213)</f>
        <v>0</v>
      </c>
      <c r="G207" s="134">
        <f t="shared" si="65"/>
        <v>0</v>
      </c>
      <c r="H207" s="134">
        <f t="shared" si="65"/>
        <v>0</v>
      </c>
      <c r="I207" s="134">
        <f t="shared" si="65"/>
        <v>0</v>
      </c>
      <c r="J207" s="134">
        <f t="shared" ref="J207" si="66">SUM(J208:J213)</f>
        <v>0</v>
      </c>
      <c r="K207" s="134"/>
      <c r="L207" s="136">
        <f t="shared" si="64"/>
        <v>0</v>
      </c>
    </row>
    <row r="208" spans="1:12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134">
        <f t="shared" ref="F208:F213" si="67">F123</f>
        <v>0</v>
      </c>
      <c r="G208" s="134">
        <f t="shared" ref="G208:I208" si="68">G123</f>
        <v>0</v>
      </c>
      <c r="H208" s="134">
        <f t="shared" si="68"/>
        <v>0</v>
      </c>
      <c r="I208" s="134">
        <f t="shared" si="68"/>
        <v>0</v>
      </c>
      <c r="J208" s="134">
        <f t="shared" ref="J208" si="69">J123</f>
        <v>0</v>
      </c>
      <c r="K208" s="134"/>
      <c r="L208" s="136">
        <f t="shared" si="64"/>
        <v>0</v>
      </c>
    </row>
    <row r="209" spans="1:12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134">
        <f t="shared" si="67"/>
        <v>0</v>
      </c>
      <c r="G209" s="134">
        <f t="shared" ref="G209:I209" si="70">G124</f>
        <v>0</v>
      </c>
      <c r="H209" s="134">
        <f t="shared" si="70"/>
        <v>0</v>
      </c>
      <c r="I209" s="134">
        <f t="shared" si="70"/>
        <v>0</v>
      </c>
      <c r="J209" s="134">
        <f t="shared" ref="J209" si="71">J124</f>
        <v>0</v>
      </c>
      <c r="K209" s="134"/>
      <c r="L209" s="136">
        <f t="shared" si="64"/>
        <v>0</v>
      </c>
    </row>
    <row r="210" spans="1:12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134">
        <f t="shared" si="67"/>
        <v>0</v>
      </c>
      <c r="G210" s="134">
        <f t="shared" ref="G210:I210" si="72">G125</f>
        <v>0</v>
      </c>
      <c r="H210" s="134">
        <f t="shared" si="72"/>
        <v>0</v>
      </c>
      <c r="I210" s="134">
        <f t="shared" si="72"/>
        <v>0</v>
      </c>
      <c r="J210" s="134">
        <f t="shared" ref="J210" si="73">J125</f>
        <v>0</v>
      </c>
      <c r="K210" s="134"/>
      <c r="L210" s="136">
        <f t="shared" si="64"/>
        <v>0</v>
      </c>
    </row>
    <row r="211" spans="1:12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134">
        <f t="shared" si="67"/>
        <v>0</v>
      </c>
      <c r="G211" s="134">
        <f t="shared" ref="G211:I211" si="74">G126</f>
        <v>0</v>
      </c>
      <c r="H211" s="134">
        <f t="shared" si="74"/>
        <v>0</v>
      </c>
      <c r="I211" s="134">
        <f t="shared" si="74"/>
        <v>0</v>
      </c>
      <c r="J211" s="134">
        <f t="shared" ref="J211" si="75">J126</f>
        <v>0</v>
      </c>
      <c r="K211" s="134"/>
      <c r="L211" s="136">
        <f t="shared" si="64"/>
        <v>0</v>
      </c>
    </row>
    <row r="212" spans="1:12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134">
        <f t="shared" si="67"/>
        <v>0</v>
      </c>
      <c r="G212" s="134">
        <f t="shared" ref="G212:I212" si="76">G127</f>
        <v>0</v>
      </c>
      <c r="H212" s="134">
        <f t="shared" si="76"/>
        <v>0</v>
      </c>
      <c r="I212" s="134">
        <f t="shared" si="76"/>
        <v>0</v>
      </c>
      <c r="J212" s="134">
        <f t="shared" ref="J212" si="77">J127</f>
        <v>0</v>
      </c>
      <c r="K212" s="134"/>
      <c r="L212" s="136">
        <f t="shared" si="64"/>
        <v>0</v>
      </c>
    </row>
    <row r="213" spans="1:12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134">
        <f t="shared" si="67"/>
        <v>0</v>
      </c>
      <c r="G213" s="134">
        <f t="shared" ref="G213:I213" si="78">G128</f>
        <v>0</v>
      </c>
      <c r="H213" s="134">
        <f t="shared" si="78"/>
        <v>0</v>
      </c>
      <c r="I213" s="134">
        <f t="shared" si="78"/>
        <v>0</v>
      </c>
      <c r="J213" s="134">
        <f t="shared" ref="J213" si="79">J128</f>
        <v>0</v>
      </c>
      <c r="K213" s="134"/>
      <c r="L213" s="136">
        <f t="shared" si="64"/>
        <v>0</v>
      </c>
    </row>
    <row r="214" spans="1:12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134">
        <f t="shared" ref="F214:I214" si="80">F206-F207</f>
        <v>0</v>
      </c>
      <c r="G214" s="134">
        <f t="shared" si="80"/>
        <v>0</v>
      </c>
      <c r="H214" s="134">
        <f t="shared" si="80"/>
        <v>0</v>
      </c>
      <c r="I214" s="134">
        <f t="shared" si="80"/>
        <v>0</v>
      </c>
      <c r="J214" s="134">
        <f t="shared" ref="J214" si="81">J206-J207</f>
        <v>0</v>
      </c>
      <c r="K214" s="134"/>
      <c r="L214" s="136">
        <f t="shared" si="64"/>
        <v>0</v>
      </c>
    </row>
    <row r="215" spans="1:12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134">
        <f t="shared" ref="F215:I215" si="82">F129</f>
        <v>0</v>
      </c>
      <c r="G215" s="134">
        <f t="shared" si="82"/>
        <v>0</v>
      </c>
      <c r="H215" s="134">
        <f t="shared" si="82"/>
        <v>0</v>
      </c>
      <c r="I215" s="134">
        <f t="shared" si="82"/>
        <v>0</v>
      </c>
      <c r="J215" s="134">
        <f t="shared" ref="J215" si="83">J129</f>
        <v>0</v>
      </c>
      <c r="K215" s="134"/>
      <c r="L215" s="136">
        <f t="shared" si="64"/>
        <v>0</v>
      </c>
    </row>
    <row r="216" spans="1:12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134">
        <f t="shared" ref="F216:I216" si="84">F130</f>
        <v>0</v>
      </c>
      <c r="G216" s="134">
        <f t="shared" si="84"/>
        <v>0</v>
      </c>
      <c r="H216" s="134">
        <f t="shared" si="84"/>
        <v>0</v>
      </c>
      <c r="I216" s="134">
        <f t="shared" si="84"/>
        <v>0</v>
      </c>
      <c r="J216" s="134">
        <f t="shared" ref="J216" si="85">J130</f>
        <v>0</v>
      </c>
      <c r="K216" s="134"/>
      <c r="L216" s="136">
        <f t="shared" si="64"/>
        <v>0</v>
      </c>
    </row>
    <row r="217" spans="1:12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134">
        <f t="shared" ref="F217:I217" si="86">F214-F215-F216</f>
        <v>0</v>
      </c>
      <c r="G217" s="134">
        <f t="shared" si="86"/>
        <v>0</v>
      </c>
      <c r="H217" s="134">
        <f t="shared" si="86"/>
        <v>0</v>
      </c>
      <c r="I217" s="134">
        <f t="shared" si="86"/>
        <v>0</v>
      </c>
      <c r="J217" s="134">
        <f t="shared" ref="J217" si="87">J214-J215-J216</f>
        <v>0</v>
      </c>
      <c r="K217" s="134"/>
      <c r="L217" s="136">
        <f t="shared" si="64"/>
        <v>0</v>
      </c>
    </row>
    <row r="218" spans="1:12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/>
      <c r="L218" s="136">
        <f t="shared" si="64"/>
        <v>0</v>
      </c>
    </row>
    <row r="219" spans="1:12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134">
        <f>$H93</f>
        <v>0</v>
      </c>
      <c r="G219" s="134">
        <f t="shared" ref="G219:I219" si="88">G198+G192</f>
        <v>0</v>
      </c>
      <c r="H219" s="134">
        <f t="shared" si="88"/>
        <v>0</v>
      </c>
      <c r="I219" s="134">
        <f t="shared" si="88"/>
        <v>0</v>
      </c>
      <c r="J219" s="134">
        <f t="shared" ref="J219" si="89">J198+J192</f>
        <v>0</v>
      </c>
      <c r="K219" s="134"/>
      <c r="L219" s="136">
        <f t="shared" si="64"/>
        <v>0</v>
      </c>
    </row>
    <row r="220" spans="1:12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134">
        <f>$H95-$H96</f>
        <v>0</v>
      </c>
      <c r="G220" s="134">
        <f t="shared" ref="G220:I220" si="90">$H95-$H96+G174</f>
        <v>0</v>
      </c>
      <c r="H220" s="134">
        <f t="shared" si="90"/>
        <v>0</v>
      </c>
      <c r="I220" s="134">
        <f t="shared" si="90"/>
        <v>0</v>
      </c>
      <c r="J220" s="134">
        <f t="shared" ref="J220" si="91">$H95-$H96+J174</f>
        <v>0</v>
      </c>
      <c r="K220" s="134"/>
      <c r="L220" s="136">
        <f t="shared" si="64"/>
        <v>0</v>
      </c>
    </row>
    <row r="221" spans="1:12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/>
      <c r="L221" s="136">
        <f t="shared" si="64"/>
        <v>0</v>
      </c>
    </row>
    <row r="222" spans="1:12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>
        <f t="shared" ref="F222:I222" si="92">$H97-$H98</f>
        <v>0</v>
      </c>
      <c r="G222" s="134">
        <f t="shared" si="92"/>
        <v>0</v>
      </c>
      <c r="H222" s="134">
        <f t="shared" si="92"/>
        <v>0</v>
      </c>
      <c r="I222" s="134">
        <f t="shared" si="92"/>
        <v>0</v>
      </c>
      <c r="J222" s="134">
        <f t="shared" ref="J222" si="93">$H97-$H98</f>
        <v>0</v>
      </c>
      <c r="K222" s="134"/>
      <c r="L222" s="136">
        <f t="shared" si="64"/>
        <v>0</v>
      </c>
    </row>
    <row r="223" spans="1:12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>
        <f t="shared" ref="F223:I223" si="94">F217-F218-F219+F220+F221+F222</f>
        <v>0</v>
      </c>
      <c r="G223" s="134">
        <f t="shared" si="94"/>
        <v>0</v>
      </c>
      <c r="H223" s="134">
        <f t="shared" si="94"/>
        <v>0</v>
      </c>
      <c r="I223" s="134">
        <f t="shared" si="94"/>
        <v>0</v>
      </c>
      <c r="J223" s="134">
        <f t="shared" ref="J223" si="95">J217-J218-J219+J220+J221+J222</f>
        <v>0</v>
      </c>
      <c r="K223" s="134"/>
      <c r="L223" s="136">
        <f t="shared" si="64"/>
        <v>0</v>
      </c>
    </row>
    <row r="224" spans="1:12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>
        <f>$H102</f>
        <v>0</v>
      </c>
      <c r="G224" s="134">
        <f t="shared" ref="G224:I224" si="96">MAX(G223*$B224,0)</f>
        <v>0</v>
      </c>
      <c r="H224" s="134">
        <f t="shared" si="96"/>
        <v>0</v>
      </c>
      <c r="I224" s="134">
        <f t="shared" si="96"/>
        <v>0</v>
      </c>
      <c r="J224" s="134">
        <f t="shared" ref="J224" si="97">MAX(J223*$B224,0)</f>
        <v>0</v>
      </c>
      <c r="K224" s="134"/>
      <c r="L224" s="136">
        <f t="shared" si="64"/>
        <v>0</v>
      </c>
    </row>
    <row r="225" spans="1:12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>
        <f t="shared" ref="F225:I225" si="98">F223-F224</f>
        <v>0</v>
      </c>
      <c r="G225" s="188">
        <f t="shared" si="98"/>
        <v>0</v>
      </c>
      <c r="H225" s="188">
        <f t="shared" si="98"/>
        <v>0</v>
      </c>
      <c r="I225" s="188">
        <f t="shared" si="98"/>
        <v>0</v>
      </c>
      <c r="J225" s="188">
        <f t="shared" ref="J225" si="99">J223-J224</f>
        <v>0</v>
      </c>
      <c r="K225" s="188"/>
      <c r="L225" s="189">
        <f t="shared" si="64"/>
        <v>0</v>
      </c>
    </row>
    <row r="226" spans="1:12" outlineLevel="1"/>
    <row r="227" spans="1:12" ht="12" outlineLevel="1" thickBot="1"/>
    <row r="228" spans="1:12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J228" si="100">PeriodTitle</f>
        <v>2013</v>
      </c>
      <c r="H228" s="19">
        <f t="shared" si="100"/>
        <v>2014</v>
      </c>
      <c r="I228" s="19">
        <f t="shared" si="100"/>
        <v>2015</v>
      </c>
      <c r="J228" s="19">
        <f t="shared" si="100"/>
        <v>2016</v>
      </c>
      <c r="K228" s="19"/>
      <c r="L228" s="23" t="str">
        <f ca="1">OFFSET(Язык!$A$77,0,LANGUAGE)</f>
        <v>ИТОГО</v>
      </c>
    </row>
    <row r="229" spans="1:12" ht="12" outlineLevel="1" thickTop="1"/>
    <row r="230" spans="1:12" outlineLevel="1">
      <c r="A230" s="2" t="str">
        <f ca="1">OFFSET(Язык!$A$423,0,LANGUAGE)</f>
        <v>Поступления от продаж</v>
      </c>
      <c r="C230" s="132" t="str">
        <f t="shared" ref="C230:C237" ca="1" si="101">CUR_Main</f>
        <v>$</v>
      </c>
      <c r="F230" s="134">
        <f t="shared" ref="F230:I230" si="102">F114+F115</f>
        <v>0</v>
      </c>
      <c r="G230" s="134">
        <f t="shared" si="102"/>
        <v>0</v>
      </c>
      <c r="H230" s="134">
        <f t="shared" si="102"/>
        <v>0</v>
      </c>
      <c r="I230" s="134">
        <f t="shared" si="102"/>
        <v>0</v>
      </c>
      <c r="J230" s="134">
        <f t="shared" ref="J230" si="103">J114+J115</f>
        <v>0</v>
      </c>
      <c r="K230" s="134"/>
      <c r="L230" s="136">
        <f t="shared" ref="L230:L237" si="104">SUM(G230:J230)</f>
        <v>0</v>
      </c>
    </row>
    <row r="231" spans="1:12" outlineLevel="1">
      <c r="A231" s="2" t="str">
        <f ca="1">OFFSET(Язык!$A$424,0,LANGUAGE)</f>
        <v>Затраты на материалы и комплектующие</v>
      </c>
      <c r="C231" s="132" t="str">
        <f t="shared" ca="1" si="101"/>
        <v>$</v>
      </c>
      <c r="F231" s="134">
        <f t="shared" ref="F231:I231" si="105">-F123*(1+$B131)</f>
        <v>0</v>
      </c>
      <c r="G231" s="134">
        <f t="shared" si="105"/>
        <v>0</v>
      </c>
      <c r="H231" s="134">
        <f t="shared" si="105"/>
        <v>0</v>
      </c>
      <c r="I231" s="134">
        <f t="shared" si="105"/>
        <v>0</v>
      </c>
      <c r="J231" s="134">
        <f t="shared" ref="J231" si="106">-J123*(1+$B131)</f>
        <v>0</v>
      </c>
      <c r="K231" s="134"/>
      <c r="L231" s="136">
        <f t="shared" si="104"/>
        <v>0</v>
      </c>
    </row>
    <row r="232" spans="1:12" outlineLevel="1">
      <c r="A232" s="2" t="str">
        <f ca="1">OFFSET(Язык!$A$425,0,LANGUAGE)</f>
        <v>Зарплата</v>
      </c>
      <c r="C232" s="132" t="str">
        <f t="shared" ca="1" si="101"/>
        <v>$</v>
      </c>
      <c r="F232" s="134">
        <f t="shared" ref="F232:I232" si="107">-F124</f>
        <v>0</v>
      </c>
      <c r="G232" s="134">
        <f t="shared" si="107"/>
        <v>0</v>
      </c>
      <c r="H232" s="134">
        <f t="shared" si="107"/>
        <v>0</v>
      </c>
      <c r="I232" s="134">
        <f t="shared" si="107"/>
        <v>0</v>
      </c>
      <c r="J232" s="134">
        <f t="shared" ref="J232" si="108">-J124</f>
        <v>0</v>
      </c>
      <c r="K232" s="134"/>
      <c r="L232" s="136">
        <f t="shared" si="104"/>
        <v>0</v>
      </c>
    </row>
    <row r="233" spans="1:12" outlineLevel="1">
      <c r="A233" s="2" t="str">
        <f ca="1">OFFSET(Язык!$A$426,0,LANGUAGE)</f>
        <v>Общие затраты</v>
      </c>
      <c r="C233" s="132" t="str">
        <f t="shared" ca="1" si="101"/>
        <v>$</v>
      </c>
      <c r="F233" s="134">
        <f t="shared" ref="F233:I233" si="109">-(F126+F129+F130)*(1+$B131)</f>
        <v>0</v>
      </c>
      <c r="G233" s="134">
        <f t="shared" si="109"/>
        <v>0</v>
      </c>
      <c r="H233" s="134">
        <f t="shared" si="109"/>
        <v>0</v>
      </c>
      <c r="I233" s="134">
        <f t="shared" si="109"/>
        <v>0</v>
      </c>
      <c r="J233" s="134">
        <f t="shared" ref="J233" si="110">-(J126+J129+J130)*(1+$B131)</f>
        <v>0</v>
      </c>
      <c r="K233" s="134"/>
      <c r="L233" s="136">
        <f t="shared" si="104"/>
        <v>0</v>
      </c>
    </row>
    <row r="234" spans="1:12" outlineLevel="1">
      <c r="A234" s="2" t="str">
        <f ca="1">OFFSET(Язык!$A$427,0,LANGUAGE)</f>
        <v>Налоги</v>
      </c>
      <c r="C234" s="132" t="str">
        <f t="shared" ca="1" si="101"/>
        <v>$</v>
      </c>
      <c r="F234" s="134">
        <f t="shared" ref="F234:I234" si="111">-(F224+F210+F218+(F115-F131-F176))</f>
        <v>0</v>
      </c>
      <c r="G234" s="134">
        <f t="shared" si="111"/>
        <v>0</v>
      </c>
      <c r="H234" s="134">
        <f t="shared" si="111"/>
        <v>0</v>
      </c>
      <c r="I234" s="134">
        <f t="shared" si="111"/>
        <v>0</v>
      </c>
      <c r="J234" s="134">
        <f t="shared" ref="J234" si="112">-(J224+J210+J218+(J115-J131-J176))</f>
        <v>0</v>
      </c>
      <c r="K234" s="134"/>
      <c r="L234" s="136">
        <f t="shared" si="104"/>
        <v>0</v>
      </c>
    </row>
    <row r="235" spans="1:12" outlineLevel="1">
      <c r="A235" s="2" t="str">
        <f ca="1">OFFSET(Язык!$A$428,0,LANGUAGE)</f>
        <v>Выплата процентов по кредитам</v>
      </c>
      <c r="C235" s="132" t="str">
        <f t="shared" ca="1" si="101"/>
        <v>$</v>
      </c>
      <c r="F235" s="134">
        <f t="shared" ref="F235:I235" si="113">-F219</f>
        <v>0</v>
      </c>
      <c r="G235" s="134">
        <f t="shared" si="113"/>
        <v>0</v>
      </c>
      <c r="H235" s="134">
        <f t="shared" si="113"/>
        <v>0</v>
      </c>
      <c r="I235" s="134">
        <f t="shared" si="113"/>
        <v>0</v>
      </c>
      <c r="J235" s="134">
        <f t="shared" ref="J235" si="114">-J219</f>
        <v>0</v>
      </c>
      <c r="K235" s="134"/>
      <c r="L235" s="136">
        <f t="shared" si="104"/>
        <v>0</v>
      </c>
    </row>
    <row r="236" spans="1:12" outlineLevel="1">
      <c r="A236" s="2" t="str">
        <f ca="1">OFFSET(Язык!$A$429,0,LANGUAGE)</f>
        <v>Прочие поступления</v>
      </c>
      <c r="C236" s="132" t="str">
        <f t="shared" ca="1" si="101"/>
        <v>$</v>
      </c>
      <c r="F236" s="134">
        <f t="shared" ref="F236:I236" si="115">$H95-$H96+$H97-$H98</f>
        <v>0</v>
      </c>
      <c r="G236" s="134">
        <f t="shared" si="115"/>
        <v>0</v>
      </c>
      <c r="H236" s="134">
        <f t="shared" si="115"/>
        <v>0</v>
      </c>
      <c r="I236" s="134">
        <f t="shared" si="115"/>
        <v>0</v>
      </c>
      <c r="J236" s="134">
        <f t="shared" ref="J236" si="116">$H95-$H96+$H97-$H98</f>
        <v>0</v>
      </c>
      <c r="K236" s="134"/>
      <c r="L236" s="136">
        <f t="shared" si="104"/>
        <v>0</v>
      </c>
    </row>
    <row r="237" spans="1:12" outlineLevel="1">
      <c r="A237" s="2" t="str">
        <f ca="1">OFFSET(Язык!$A$430,0,LANGUAGE)</f>
        <v>Прочие затраты</v>
      </c>
      <c r="C237" s="132" t="str">
        <f t="shared" ca="1" si="101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/>
      <c r="L237" s="136">
        <f t="shared" si="104"/>
        <v>0</v>
      </c>
    </row>
    <row r="238" spans="1:12" outlineLevel="1">
      <c r="A238" s="2"/>
      <c r="F238" s="134"/>
      <c r="G238" s="134"/>
      <c r="H238" s="134"/>
      <c r="I238" s="134"/>
      <c r="J238" s="134"/>
      <c r="K238" s="134"/>
      <c r="L238" s="134"/>
    </row>
    <row r="239" spans="1:12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I239" si="117">SUM(F230:F237)</f>
        <v>0</v>
      </c>
      <c r="G239" s="134">
        <f t="shared" si="117"/>
        <v>0</v>
      </c>
      <c r="H239" s="134">
        <f t="shared" si="117"/>
        <v>0</v>
      </c>
      <c r="I239" s="134">
        <f t="shared" si="117"/>
        <v>0</v>
      </c>
      <c r="J239" s="134">
        <f t="shared" ref="J239" si="118">SUM(J230:J237)</f>
        <v>0</v>
      </c>
      <c r="K239" s="134"/>
      <c r="L239" s="136">
        <f>SUM(G239:J239)</f>
        <v>0</v>
      </c>
    </row>
    <row r="240" spans="1:12" outlineLevel="1">
      <c r="A240" s="2"/>
      <c r="F240" s="134"/>
      <c r="G240" s="134"/>
      <c r="H240" s="134"/>
      <c r="I240" s="134"/>
      <c r="J240" s="134"/>
      <c r="K240" s="134"/>
      <c r="L240" s="134"/>
    </row>
    <row r="241" spans="1:12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/>
      <c r="L241" s="136">
        <f>SUM(G241:J241)</f>
        <v>0</v>
      </c>
    </row>
    <row r="242" spans="1:12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I242" si="119">-F182</f>
        <v>0</v>
      </c>
      <c r="G242" s="134">
        <f t="shared" si="119"/>
        <v>0</v>
      </c>
      <c r="H242" s="134">
        <f t="shared" si="119"/>
        <v>0</v>
      </c>
      <c r="I242" s="134">
        <f t="shared" si="119"/>
        <v>0</v>
      </c>
      <c r="J242" s="134">
        <f t="shared" ref="J242" si="120">-J182</f>
        <v>0</v>
      </c>
      <c r="K242" s="134"/>
      <c r="L242" s="136">
        <f>SUM(G242:J242)</f>
        <v>0</v>
      </c>
    </row>
    <row r="243" spans="1:12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/>
      <c r="L243" s="136">
        <f>SUM(G243:J243)</f>
        <v>0</v>
      </c>
    </row>
    <row r="244" spans="1:12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I244" si="121">-F181</f>
        <v>0</v>
      </c>
      <c r="G244" s="134">
        <f t="shared" si="121"/>
        <v>0</v>
      </c>
      <c r="H244" s="134">
        <f t="shared" si="121"/>
        <v>0</v>
      </c>
      <c r="I244" s="134">
        <f t="shared" si="121"/>
        <v>0</v>
      </c>
      <c r="J244" s="134">
        <f t="shared" ref="J244" si="122">-J181</f>
        <v>0</v>
      </c>
      <c r="K244" s="134"/>
      <c r="L244" s="136">
        <f>SUM(G244:J244)</f>
        <v>0</v>
      </c>
    </row>
    <row r="245" spans="1:12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I245" si="123">F171</f>
        <v>0</v>
      </c>
      <c r="G245" s="134">
        <f t="shared" si="123"/>
        <v>0</v>
      </c>
      <c r="H245" s="134">
        <f t="shared" si="123"/>
        <v>0</v>
      </c>
      <c r="I245" s="134">
        <f t="shared" si="123"/>
        <v>0</v>
      </c>
      <c r="J245" s="134">
        <f t="shared" ref="J245" si="124">J171</f>
        <v>0</v>
      </c>
      <c r="K245" s="134"/>
      <c r="L245" s="136">
        <f>SUM(G245:J245)</f>
        <v>0</v>
      </c>
    </row>
    <row r="246" spans="1:12" outlineLevel="1">
      <c r="A246" s="2"/>
      <c r="F246" s="134"/>
      <c r="G246" s="134"/>
      <c r="H246" s="134"/>
      <c r="I246" s="134"/>
      <c r="J246" s="134"/>
      <c r="K246" s="134"/>
      <c r="L246" s="134"/>
    </row>
    <row r="247" spans="1:12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I247" si="125">SUM(F241:F245)</f>
        <v>0</v>
      </c>
      <c r="G247" s="134">
        <f t="shared" si="125"/>
        <v>0</v>
      </c>
      <c r="H247" s="134">
        <f t="shared" si="125"/>
        <v>0</v>
      </c>
      <c r="I247" s="134">
        <f t="shared" si="125"/>
        <v>0</v>
      </c>
      <c r="J247" s="134">
        <f t="shared" ref="J247" si="126">SUM(J241:J245)</f>
        <v>0</v>
      </c>
      <c r="K247" s="134"/>
      <c r="L247" s="136">
        <f>SUM(G247:J247)</f>
        <v>0</v>
      </c>
    </row>
    <row r="248" spans="1:12" outlineLevel="1">
      <c r="A248" s="2"/>
      <c r="F248" s="134"/>
      <c r="G248" s="134"/>
      <c r="H248" s="134"/>
      <c r="I248" s="134"/>
      <c r="J248" s="134"/>
      <c r="K248" s="134"/>
      <c r="L248" s="134"/>
    </row>
    <row r="249" spans="1:12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127">CUR_Main</f>
        <v>$</v>
      </c>
      <c r="F249" s="134">
        <f t="shared" ref="F249:I249" si="128">F185</f>
        <v>0</v>
      </c>
      <c r="G249" s="134">
        <f t="shared" si="128"/>
        <v>0</v>
      </c>
      <c r="H249" s="134">
        <f t="shared" si="128"/>
        <v>0</v>
      </c>
      <c r="I249" s="134">
        <f t="shared" si="128"/>
        <v>0</v>
      </c>
      <c r="J249" s="134">
        <f t="shared" ref="J249" si="129">J185</f>
        <v>0</v>
      </c>
      <c r="K249" s="134"/>
      <c r="L249" s="136">
        <f>SUM(G249:J249)</f>
        <v>0</v>
      </c>
    </row>
    <row r="250" spans="1:12" outlineLevel="1">
      <c r="A250" s="2" t="str">
        <f ca="1">OFFSET(Язык!$A$439,0,LANGUAGE)</f>
        <v>Целевое финансирование</v>
      </c>
      <c r="C250" s="132" t="str">
        <f t="shared" ca="1" si="127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/>
      <c r="L250" s="136"/>
    </row>
    <row r="251" spans="1:12" outlineLevel="1">
      <c r="A251" s="2" t="str">
        <f ca="1">OFFSET(Язык!$A$440,0,LANGUAGE)</f>
        <v>Поступления кредитов</v>
      </c>
      <c r="C251" s="132" t="str">
        <f t="shared" ca="1" si="127"/>
        <v>$</v>
      </c>
      <c r="F251" s="134">
        <f t="shared" ref="F251:I251" si="130">F195+F189</f>
        <v>0</v>
      </c>
      <c r="G251" s="134">
        <f t="shared" si="130"/>
        <v>0</v>
      </c>
      <c r="H251" s="134">
        <f t="shared" si="130"/>
        <v>0</v>
      </c>
      <c r="I251" s="134">
        <f t="shared" si="130"/>
        <v>0</v>
      </c>
      <c r="J251" s="134">
        <f t="shared" ref="J251" si="131">J195+J189</f>
        <v>0</v>
      </c>
      <c r="K251" s="134"/>
      <c r="L251" s="136">
        <f>SUM(G251:J251)</f>
        <v>0</v>
      </c>
    </row>
    <row r="252" spans="1:12" outlineLevel="1">
      <c r="A252" s="2" t="str">
        <f ca="1">OFFSET(Язык!$A$441,0,LANGUAGE)</f>
        <v>Возврат кредитов</v>
      </c>
      <c r="C252" s="132" t="str">
        <f t="shared" ca="1" si="127"/>
        <v>$</v>
      </c>
      <c r="F252" s="134">
        <f t="shared" ref="F252:I252" si="132">-F196-F190</f>
        <v>0</v>
      </c>
      <c r="G252" s="134">
        <f t="shared" si="132"/>
        <v>0</v>
      </c>
      <c r="H252" s="134">
        <f t="shared" si="132"/>
        <v>0</v>
      </c>
      <c r="I252" s="134">
        <f t="shared" si="132"/>
        <v>0</v>
      </c>
      <c r="J252" s="134">
        <f t="shared" ref="J252" si="133">-J196-J190</f>
        <v>0</v>
      </c>
      <c r="K252" s="134"/>
      <c r="L252" s="136">
        <f>SUM(G252:J252)</f>
        <v>0</v>
      </c>
    </row>
    <row r="253" spans="1:12" outlineLevel="1">
      <c r="A253" s="2" t="str">
        <f ca="1">OFFSET(Язык!$A$442,0,LANGUAGE)</f>
        <v>Лизинговые платежи</v>
      </c>
      <c r="C253" s="132" t="str">
        <f t="shared" ca="1" si="127"/>
        <v>$</v>
      </c>
      <c r="F253" s="134">
        <f t="shared" ref="F253:I253" si="134">-F212</f>
        <v>0</v>
      </c>
      <c r="G253" s="134">
        <f t="shared" si="134"/>
        <v>0</v>
      </c>
      <c r="H253" s="134">
        <f t="shared" si="134"/>
        <v>0</v>
      </c>
      <c r="I253" s="134">
        <f t="shared" si="134"/>
        <v>0</v>
      </c>
      <c r="J253" s="134">
        <f t="shared" ref="J253" si="135">-J212</f>
        <v>0</v>
      </c>
      <c r="K253" s="134"/>
      <c r="L253" s="136">
        <f>SUM(G253:J253)</f>
        <v>0</v>
      </c>
    </row>
    <row r="254" spans="1:12" outlineLevel="1">
      <c r="A254" s="2" t="str">
        <f ca="1">OFFSET(Язык!$A$443,0,LANGUAGE)</f>
        <v>Выплата дивидендов</v>
      </c>
      <c r="C254" s="132" t="str">
        <f t="shared" ca="1" si="127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/>
      <c r="L254" s="136">
        <f>SUM(G254:J254)</f>
        <v>0</v>
      </c>
    </row>
    <row r="255" spans="1:12" outlineLevel="1">
      <c r="A255" s="2"/>
      <c r="F255" s="134"/>
      <c r="G255" s="134"/>
      <c r="H255" s="134"/>
      <c r="I255" s="134"/>
      <c r="J255" s="134"/>
      <c r="K255" s="134"/>
      <c r="L255" s="134"/>
    </row>
    <row r="256" spans="1:12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I256" si="136">SUM(F249:F254)</f>
        <v>0</v>
      </c>
      <c r="G256" s="134">
        <f t="shared" si="136"/>
        <v>0</v>
      </c>
      <c r="H256" s="134">
        <f t="shared" si="136"/>
        <v>0</v>
      </c>
      <c r="I256" s="134">
        <f t="shared" si="136"/>
        <v>0</v>
      </c>
      <c r="J256" s="134">
        <f t="shared" ref="J256" si="137">SUM(J249:J254)</f>
        <v>0</v>
      </c>
      <c r="K256" s="134"/>
      <c r="L256" s="136">
        <f>SUM(G256:J256)</f>
        <v>0</v>
      </c>
    </row>
    <row r="257" spans="1:12" outlineLevel="1">
      <c r="A257" s="2"/>
      <c r="F257" s="134"/>
      <c r="G257" s="134"/>
      <c r="H257" s="134"/>
      <c r="I257" s="134"/>
      <c r="J257" s="134"/>
      <c r="K257" s="134"/>
      <c r="L257" s="134"/>
    </row>
    <row r="258" spans="1:12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I258" si="138">F239+F247+F256</f>
        <v>0</v>
      </c>
      <c r="G258" s="134">
        <f t="shared" si="138"/>
        <v>0</v>
      </c>
      <c r="H258" s="134">
        <f t="shared" si="138"/>
        <v>0</v>
      </c>
      <c r="I258" s="134">
        <f t="shared" si="138"/>
        <v>0</v>
      </c>
      <c r="J258" s="134">
        <f t="shared" ref="J258" si="139">J239+J247+J256</f>
        <v>0</v>
      </c>
      <c r="K258" s="134"/>
      <c r="L258" s="136">
        <f>SUM(G258:J258)</f>
        <v>0</v>
      </c>
    </row>
    <row r="259" spans="1:12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1737</v>
      </c>
      <c r="E259" s="170"/>
      <c r="F259" s="188">
        <f>G43</f>
        <v>0</v>
      </c>
      <c r="G259" s="188">
        <f t="shared" ref="G259:J259" si="140">F259+G258</f>
        <v>0</v>
      </c>
      <c r="H259" s="188">
        <f t="shared" si="140"/>
        <v>0</v>
      </c>
      <c r="I259" s="188">
        <f t="shared" si="140"/>
        <v>0</v>
      </c>
      <c r="J259" s="188">
        <f t="shared" si="140"/>
        <v>0</v>
      </c>
      <c r="K259" s="188"/>
      <c r="L259" s="188"/>
    </row>
    <row r="260" spans="1:12" outlineLevel="1"/>
    <row r="261" spans="1:12" ht="12" outlineLevel="1" thickBot="1"/>
    <row r="262" spans="1:12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J262" si="141">PeriodTitle</f>
        <v>2013</v>
      </c>
      <c r="H262" s="19">
        <f t="shared" si="141"/>
        <v>2014</v>
      </c>
      <c r="I262" s="19">
        <f t="shared" si="141"/>
        <v>2015</v>
      </c>
      <c r="J262" s="19">
        <f t="shared" si="141"/>
        <v>2016</v>
      </c>
      <c r="K262" s="19"/>
      <c r="L262" s="84"/>
    </row>
    <row r="263" spans="1:12" ht="12" outlineLevel="1" thickTop="1"/>
    <row r="264" spans="1:12" outlineLevel="1">
      <c r="A264" s="47" t="str">
        <f ca="1">OFFSET(Язык!$A$450,0,LANGUAGE)</f>
        <v>Деньги</v>
      </c>
      <c r="C264" s="132" t="str">
        <f t="shared" ref="C264:C273" ca="1" si="142">CUR_Main</f>
        <v>$</v>
      </c>
      <c r="D264" s="1" t="s">
        <v>1737</v>
      </c>
      <c r="F264" s="134">
        <f t="shared" ref="F264:I264" si="143">F259</f>
        <v>0</v>
      </c>
      <c r="G264" s="134">
        <f t="shared" si="143"/>
        <v>0</v>
      </c>
      <c r="H264" s="134">
        <f t="shared" si="143"/>
        <v>0</v>
      </c>
      <c r="I264" s="134">
        <f t="shared" si="143"/>
        <v>0</v>
      </c>
      <c r="J264" s="134">
        <f t="shared" ref="J264" si="144">J259</f>
        <v>0</v>
      </c>
      <c r="K264" s="134"/>
      <c r="L264" s="134"/>
    </row>
    <row r="265" spans="1:12" outlineLevel="1">
      <c r="A265" s="47" t="str">
        <f ca="1">OFFSET(Язык!$A$451,0,LANGUAGE)</f>
        <v>Дебиторская задолженность</v>
      </c>
      <c r="C265" s="132" t="str">
        <f t="shared" ca="1" si="142"/>
        <v>$</v>
      </c>
      <c r="D265" s="1" t="s">
        <v>1737</v>
      </c>
      <c r="F265" s="134">
        <f t="shared" ref="F265:I266" si="145">F140</f>
        <v>0</v>
      </c>
      <c r="G265" s="134">
        <f t="shared" si="145"/>
        <v>0</v>
      </c>
      <c r="H265" s="134">
        <f t="shared" si="145"/>
        <v>0</v>
      </c>
      <c r="I265" s="134">
        <f t="shared" si="145"/>
        <v>0</v>
      </c>
      <c r="J265" s="134">
        <f t="shared" ref="J265" si="146">J140</f>
        <v>0</v>
      </c>
      <c r="K265" s="134"/>
      <c r="L265" s="134"/>
    </row>
    <row r="266" spans="1:12" outlineLevel="1">
      <c r="A266" s="47" t="str">
        <f ca="1">OFFSET(Язык!$A$452,0,LANGUAGE)</f>
        <v>Авансы уплаченные</v>
      </c>
      <c r="C266" s="132" t="str">
        <f t="shared" ca="1" si="142"/>
        <v>$</v>
      </c>
      <c r="D266" s="1" t="s">
        <v>1737</v>
      </c>
      <c r="F266" s="134">
        <f t="shared" si="145"/>
        <v>0</v>
      </c>
      <c r="G266" s="134">
        <f t="shared" si="145"/>
        <v>0</v>
      </c>
      <c r="H266" s="134">
        <f t="shared" si="145"/>
        <v>0</v>
      </c>
      <c r="I266" s="134">
        <f t="shared" si="145"/>
        <v>0</v>
      </c>
      <c r="J266" s="134">
        <f t="shared" ref="J266" si="147">J141</f>
        <v>0</v>
      </c>
      <c r="K266" s="134"/>
      <c r="L266" s="134"/>
    </row>
    <row r="267" spans="1:12" outlineLevel="1">
      <c r="A267" s="47" t="str">
        <f ca="1">OFFSET(Язык!$A$453,0,LANGUAGE)</f>
        <v>Готовая продукция</v>
      </c>
      <c r="C267" s="132" t="str">
        <f t="shared" ca="1" si="142"/>
        <v>$</v>
      </c>
      <c r="D267" s="1" t="s">
        <v>1737</v>
      </c>
      <c r="F267" s="134">
        <f t="shared" ref="F267:I267" si="148">F139</f>
        <v>0</v>
      </c>
      <c r="G267" s="134">
        <f t="shared" si="148"/>
        <v>0</v>
      </c>
      <c r="H267" s="134">
        <f t="shared" si="148"/>
        <v>0</v>
      </c>
      <c r="I267" s="134">
        <f t="shared" si="148"/>
        <v>0</v>
      </c>
      <c r="J267" s="134">
        <f t="shared" ref="J267" si="149">J139</f>
        <v>0</v>
      </c>
      <c r="K267" s="134"/>
      <c r="L267" s="134"/>
    </row>
    <row r="268" spans="1:12" outlineLevel="1">
      <c r="A268" s="47" t="str">
        <f ca="1">OFFSET(Язык!$A$454,0,LANGUAGE)</f>
        <v>Незавершенное производство</v>
      </c>
      <c r="C268" s="132" t="str">
        <f t="shared" ca="1" si="142"/>
        <v>$</v>
      </c>
      <c r="D268" s="1" t="s">
        <v>1737</v>
      </c>
      <c r="F268" s="134">
        <f t="shared" ref="F268:I268" si="150">F138</f>
        <v>0</v>
      </c>
      <c r="G268" s="134">
        <f t="shared" si="150"/>
        <v>0</v>
      </c>
      <c r="H268" s="134">
        <f t="shared" si="150"/>
        <v>0</v>
      </c>
      <c r="I268" s="134">
        <f t="shared" si="150"/>
        <v>0</v>
      </c>
      <c r="J268" s="134">
        <f t="shared" ref="J268" si="151">J138</f>
        <v>0</v>
      </c>
      <c r="K268" s="134"/>
      <c r="L268" s="134"/>
    </row>
    <row r="269" spans="1:12" outlineLevel="1">
      <c r="A269" s="47" t="str">
        <f ca="1">OFFSET(Язык!$A$455,0,LANGUAGE)</f>
        <v>Материалы и комплектующие</v>
      </c>
      <c r="C269" s="132" t="str">
        <f t="shared" ca="1" si="142"/>
        <v>$</v>
      </c>
      <c r="D269" s="1" t="s">
        <v>1737</v>
      </c>
      <c r="F269" s="134">
        <f t="shared" ref="F269:I269" si="152">F137</f>
        <v>0</v>
      </c>
      <c r="G269" s="134">
        <f t="shared" si="152"/>
        <v>0</v>
      </c>
      <c r="H269" s="134">
        <f t="shared" si="152"/>
        <v>0</v>
      </c>
      <c r="I269" s="134">
        <f t="shared" si="152"/>
        <v>0</v>
      </c>
      <c r="J269" s="134">
        <f t="shared" ref="J269" si="153">J137</f>
        <v>0</v>
      </c>
      <c r="K269" s="134"/>
      <c r="L269" s="134"/>
    </row>
    <row r="270" spans="1:12" outlineLevel="1">
      <c r="A270" s="47" t="str">
        <f ca="1">OFFSET(Язык!$A$456,0,LANGUAGE)</f>
        <v>НДС на приобретенные товары</v>
      </c>
      <c r="C270" s="132" t="str">
        <f t="shared" ca="1" si="142"/>
        <v>$</v>
      </c>
      <c r="D270" s="1" t="s">
        <v>1737</v>
      </c>
      <c r="F270" s="134">
        <f t="shared" ref="F270:I270" si="154">F142</f>
        <v>0</v>
      </c>
      <c r="G270" s="134">
        <f t="shared" si="154"/>
        <v>0</v>
      </c>
      <c r="H270" s="134">
        <f t="shared" si="154"/>
        <v>0</v>
      </c>
      <c r="I270" s="134">
        <f t="shared" si="154"/>
        <v>0</v>
      </c>
      <c r="J270" s="134">
        <f t="shared" ref="J270" si="155">J142</f>
        <v>0</v>
      </c>
      <c r="K270" s="134"/>
      <c r="L270" s="134"/>
    </row>
    <row r="271" spans="1:12" outlineLevel="1">
      <c r="A271" s="47" t="str">
        <f ca="1">OFFSET(Язык!$A$457,0,LANGUAGE)</f>
        <v>Расходы будущих периодов</v>
      </c>
      <c r="C271" s="132" t="str">
        <f t="shared" ca="1" si="142"/>
        <v>$</v>
      </c>
      <c r="D271" s="1" t="s">
        <v>1737</v>
      </c>
      <c r="F271" s="134">
        <f>G35</f>
        <v>0</v>
      </c>
      <c r="G271" s="134">
        <f t="shared" ref="G271:J272" si="156">F271</f>
        <v>0</v>
      </c>
      <c r="H271" s="134">
        <f t="shared" si="156"/>
        <v>0</v>
      </c>
      <c r="I271" s="134">
        <f t="shared" si="156"/>
        <v>0</v>
      </c>
      <c r="J271" s="134">
        <f t="shared" si="156"/>
        <v>0</v>
      </c>
      <c r="K271" s="134"/>
      <c r="L271" s="134"/>
    </row>
    <row r="272" spans="1:12" outlineLevel="1">
      <c r="A272" s="47" t="str">
        <f ca="1">OFFSET(Язык!$A$458,0,LANGUAGE)</f>
        <v>Прочие оборотные активы</v>
      </c>
      <c r="C272" s="132" t="str">
        <f t="shared" ca="1" si="142"/>
        <v>$</v>
      </c>
      <c r="D272" s="1" t="s">
        <v>1737</v>
      </c>
      <c r="F272" s="134">
        <f>G36+G42+G44</f>
        <v>0</v>
      </c>
      <c r="G272" s="134">
        <f t="shared" si="156"/>
        <v>0</v>
      </c>
      <c r="H272" s="134">
        <f t="shared" si="156"/>
        <v>0</v>
      </c>
      <c r="I272" s="134">
        <f t="shared" si="156"/>
        <v>0</v>
      </c>
      <c r="J272" s="134">
        <f t="shared" si="156"/>
        <v>0</v>
      </c>
      <c r="K272" s="134"/>
      <c r="L272" s="134"/>
    </row>
    <row r="273" spans="1:12" outlineLevel="1">
      <c r="A273" s="32" t="str">
        <f ca="1">OFFSET(Язык!$A$459,0,LANGUAGE)</f>
        <v>Суммарные оборотные активы</v>
      </c>
      <c r="C273" s="132" t="str">
        <f t="shared" ca="1" si="142"/>
        <v>$</v>
      </c>
      <c r="D273" s="1" t="s">
        <v>1737</v>
      </c>
      <c r="F273" s="134">
        <f t="shared" ref="F273:I273" si="157">SUM(F264:F272)</f>
        <v>0</v>
      </c>
      <c r="G273" s="134">
        <f t="shared" si="157"/>
        <v>0</v>
      </c>
      <c r="H273" s="134">
        <f t="shared" si="157"/>
        <v>0</v>
      </c>
      <c r="I273" s="134">
        <f t="shared" si="157"/>
        <v>0</v>
      </c>
      <c r="J273" s="134">
        <f t="shared" ref="J273" si="158">SUM(J264:J272)</f>
        <v>0</v>
      </c>
      <c r="K273" s="134"/>
      <c r="L273" s="134"/>
    </row>
    <row r="274" spans="1:12" outlineLevel="1">
      <c r="A274" s="2"/>
      <c r="F274" s="134"/>
      <c r="G274" s="134"/>
      <c r="H274" s="134"/>
      <c r="I274" s="134"/>
      <c r="J274" s="134"/>
      <c r="K274" s="134"/>
      <c r="L274" s="134"/>
    </row>
    <row r="275" spans="1:12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1737</v>
      </c>
      <c r="F275" s="134">
        <f t="shared" ref="F275:I275" si="159">SUM(F276:F277)</f>
        <v>0</v>
      </c>
      <c r="G275" s="134">
        <f t="shared" si="159"/>
        <v>0</v>
      </c>
      <c r="H275" s="134">
        <f t="shared" si="159"/>
        <v>0</v>
      </c>
      <c r="I275" s="134">
        <f t="shared" si="159"/>
        <v>0</v>
      </c>
      <c r="J275" s="134">
        <f t="shared" ref="J275" si="160">SUM(J276:J277)</f>
        <v>0</v>
      </c>
      <c r="K275" s="134"/>
      <c r="L275" s="134"/>
    </row>
    <row r="276" spans="1:12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1737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/>
      <c r="L276" s="134"/>
    </row>
    <row r="277" spans="1:12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1737</v>
      </c>
      <c r="F277" s="134">
        <f t="shared" ref="F277:I277" si="161">$G22+$G23+$G24+$G25+F168</f>
        <v>0</v>
      </c>
      <c r="G277" s="134">
        <f t="shared" si="161"/>
        <v>0</v>
      </c>
      <c r="H277" s="134">
        <f t="shared" si="161"/>
        <v>0</v>
      </c>
      <c r="I277" s="134">
        <f t="shared" si="161"/>
        <v>0</v>
      </c>
      <c r="J277" s="134">
        <f t="shared" ref="J277" si="162">$G22+$G23+$G24+$G25+J168</f>
        <v>0</v>
      </c>
      <c r="K277" s="134"/>
      <c r="L277" s="134"/>
    </row>
    <row r="278" spans="1:12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1737</v>
      </c>
      <c r="F278" s="134">
        <f t="shared" ref="F278:I278" si="163">F158</f>
        <v>0</v>
      </c>
      <c r="G278" s="134">
        <f t="shared" si="163"/>
        <v>0</v>
      </c>
      <c r="H278" s="134">
        <f t="shared" si="163"/>
        <v>0</v>
      </c>
      <c r="I278" s="134">
        <f t="shared" si="163"/>
        <v>0</v>
      </c>
      <c r="J278" s="134">
        <f t="shared" ref="J278" si="164">J158</f>
        <v>0</v>
      </c>
      <c r="K278" s="134"/>
      <c r="L278" s="134"/>
    </row>
    <row r="279" spans="1:12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1737</v>
      </c>
      <c r="F279" s="134">
        <f t="shared" ref="F279:I279" si="165">F275+F278</f>
        <v>0</v>
      </c>
      <c r="G279" s="134">
        <f t="shared" si="165"/>
        <v>0</v>
      </c>
      <c r="H279" s="134">
        <f t="shared" si="165"/>
        <v>0</v>
      </c>
      <c r="I279" s="134">
        <f t="shared" si="165"/>
        <v>0</v>
      </c>
      <c r="J279" s="134">
        <f t="shared" ref="J279" si="166">J275+J278</f>
        <v>0</v>
      </c>
      <c r="K279" s="134"/>
      <c r="L279" s="134"/>
    </row>
    <row r="280" spans="1:12" outlineLevel="1">
      <c r="A280" s="2"/>
      <c r="F280" s="134"/>
      <c r="G280" s="134"/>
      <c r="H280" s="134"/>
      <c r="I280" s="134"/>
      <c r="J280" s="134"/>
      <c r="K280" s="134"/>
      <c r="L280" s="134"/>
    </row>
    <row r="281" spans="1:12" outlineLevel="1">
      <c r="A281" s="32" t="str">
        <f ca="1">OFFSET(Язык!$A$465,0,LANGUAGE)</f>
        <v xml:space="preserve"> = ИТОГО АКТИВОВ</v>
      </c>
      <c r="B281" s="29" t="str">
        <f>IF(COUNTIF(F301:J301,1)&gt;0,"Не сходится!","")</f>
        <v/>
      </c>
      <c r="C281" s="132" t="str">
        <f ca="1">CUR_Main</f>
        <v>$</v>
      </c>
      <c r="D281" s="1" t="s">
        <v>1737</v>
      </c>
      <c r="F281" s="134">
        <f t="shared" ref="F281:I281" si="167">F273+F279</f>
        <v>0</v>
      </c>
      <c r="G281" s="134">
        <f t="shared" si="167"/>
        <v>0</v>
      </c>
      <c r="H281" s="134">
        <f t="shared" si="167"/>
        <v>0</v>
      </c>
      <c r="I281" s="134">
        <f t="shared" si="167"/>
        <v>0</v>
      </c>
      <c r="J281" s="134">
        <f t="shared" ref="J281" si="168">J273+J279</f>
        <v>0</v>
      </c>
      <c r="K281" s="134"/>
      <c r="L281" s="134"/>
    </row>
    <row r="282" spans="1:12" outlineLevel="1">
      <c r="A282" s="2"/>
      <c r="F282" s="134"/>
      <c r="G282" s="134"/>
      <c r="H282" s="134"/>
      <c r="I282" s="134"/>
      <c r="J282" s="134"/>
      <c r="K282" s="134"/>
      <c r="L282" s="134"/>
    </row>
    <row r="283" spans="1:12" outlineLevel="1">
      <c r="A283" s="47" t="str">
        <f ca="1">OFFSET(Язык!$A$466,0,LANGUAGE)</f>
        <v>Кредиторская задолженность</v>
      </c>
      <c r="C283" s="132" t="str">
        <f t="shared" ref="C283:C291" ca="1" si="169">CUR_Main</f>
        <v>$</v>
      </c>
      <c r="D283" s="1" t="s">
        <v>1737</v>
      </c>
      <c r="F283" s="134">
        <f t="shared" ref="F283:I283" si="170">SUM(F284:F285)</f>
        <v>0</v>
      </c>
      <c r="G283" s="134">
        <f t="shared" si="170"/>
        <v>0</v>
      </c>
      <c r="H283" s="134">
        <f t="shared" si="170"/>
        <v>0</v>
      </c>
      <c r="I283" s="134">
        <f t="shared" si="170"/>
        <v>0</v>
      </c>
      <c r="J283" s="134">
        <f t="shared" ref="J283" si="171">SUM(J284:J285)</f>
        <v>0</v>
      </c>
      <c r="K283" s="134"/>
      <c r="L283" s="134"/>
    </row>
    <row r="284" spans="1:12" outlineLevel="1">
      <c r="A284" s="47" t="str">
        <f ca="1">OFFSET(Язык!$A$467,0,LANGUAGE)</f>
        <v xml:space="preserve">    за поставленные товары</v>
      </c>
      <c r="C284" s="132" t="str">
        <f t="shared" ca="1" si="169"/>
        <v>$</v>
      </c>
      <c r="D284" s="1" t="s">
        <v>1737</v>
      </c>
      <c r="F284" s="134">
        <f t="shared" ref="F284:I284" si="172">F146</f>
        <v>0</v>
      </c>
      <c r="G284" s="134">
        <f t="shared" si="172"/>
        <v>0</v>
      </c>
      <c r="H284" s="134">
        <f t="shared" si="172"/>
        <v>0</v>
      </c>
      <c r="I284" s="134">
        <f t="shared" si="172"/>
        <v>0</v>
      </c>
      <c r="J284" s="134">
        <f t="shared" ref="J284" si="173">J146</f>
        <v>0</v>
      </c>
      <c r="K284" s="134"/>
      <c r="L284" s="134"/>
    </row>
    <row r="285" spans="1:12" outlineLevel="1">
      <c r="A285" s="47" t="str">
        <f ca="1">OFFSET(Язык!$A$468,0,LANGUAGE)</f>
        <v xml:space="preserve">    за постоянные активы</v>
      </c>
      <c r="C285" s="132" t="str">
        <f t="shared" ca="1" si="169"/>
        <v>$</v>
      </c>
      <c r="D285" s="1" t="s">
        <v>1737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/>
      <c r="L285" s="134"/>
    </row>
    <row r="286" spans="1:12" outlineLevel="1">
      <c r="A286" s="47" t="str">
        <f ca="1">OFFSET(Язык!$A$469,0,LANGUAGE)</f>
        <v>Расчеты с бюджетом</v>
      </c>
      <c r="C286" s="132" t="str">
        <f t="shared" ca="1" si="169"/>
        <v>$</v>
      </c>
      <c r="D286" s="1" t="s">
        <v>1737</v>
      </c>
      <c r="F286" s="134">
        <f t="shared" ref="F286:I286" si="174">F148</f>
        <v>0</v>
      </c>
      <c r="G286" s="134">
        <f t="shared" si="174"/>
        <v>0</v>
      </c>
      <c r="H286" s="134">
        <f t="shared" si="174"/>
        <v>0</v>
      </c>
      <c r="I286" s="134">
        <f t="shared" si="174"/>
        <v>0</v>
      </c>
      <c r="J286" s="134">
        <f t="shared" ref="J286" si="175">J148</f>
        <v>0</v>
      </c>
      <c r="K286" s="134"/>
      <c r="L286" s="134"/>
    </row>
    <row r="287" spans="1:12" outlineLevel="1">
      <c r="A287" s="47" t="str">
        <f ca="1">OFFSET(Язык!$A$470,0,LANGUAGE)</f>
        <v>Расчеты с персоналом</v>
      </c>
      <c r="C287" s="132" t="str">
        <f t="shared" ca="1" si="169"/>
        <v>$</v>
      </c>
      <c r="D287" s="1" t="s">
        <v>1737</v>
      </c>
      <c r="F287" s="134">
        <f t="shared" ref="F287:I287" si="176">F149</f>
        <v>0</v>
      </c>
      <c r="G287" s="134">
        <f t="shared" si="176"/>
        <v>0</v>
      </c>
      <c r="H287" s="134">
        <f t="shared" si="176"/>
        <v>0</v>
      </c>
      <c r="I287" s="134">
        <f t="shared" si="176"/>
        <v>0</v>
      </c>
      <c r="J287" s="134">
        <f t="shared" ref="J287" si="177">J149</f>
        <v>0</v>
      </c>
      <c r="K287" s="134"/>
      <c r="L287" s="134"/>
    </row>
    <row r="288" spans="1:12" outlineLevel="1">
      <c r="A288" s="47" t="str">
        <f ca="1">OFFSET(Язык!$A$471,0,LANGUAGE)</f>
        <v>Авансы покупателей</v>
      </c>
      <c r="C288" s="132" t="str">
        <f t="shared" ca="1" si="169"/>
        <v>$</v>
      </c>
      <c r="D288" s="1" t="s">
        <v>1737</v>
      </c>
      <c r="F288" s="134">
        <f t="shared" ref="F288:I288" si="178">F147</f>
        <v>0</v>
      </c>
      <c r="G288" s="134">
        <f t="shared" si="178"/>
        <v>0</v>
      </c>
      <c r="H288" s="134">
        <f t="shared" si="178"/>
        <v>0</v>
      </c>
      <c r="I288" s="134">
        <f t="shared" si="178"/>
        <v>0</v>
      </c>
      <c r="J288" s="134">
        <f t="shared" ref="J288" si="179">J147</f>
        <v>0</v>
      </c>
      <c r="K288" s="134"/>
      <c r="L288" s="134"/>
    </row>
    <row r="289" spans="1:12" outlineLevel="1">
      <c r="A289" s="47" t="str">
        <f ca="1">OFFSET(Язык!$A$472,0,LANGUAGE)</f>
        <v>Краткосрочные кредиты</v>
      </c>
      <c r="C289" s="132" t="str">
        <f t="shared" ca="1" si="169"/>
        <v>$</v>
      </c>
      <c r="D289" s="1" t="s">
        <v>1737</v>
      </c>
      <c r="F289" s="134">
        <f t="shared" ref="F289:I289" si="180">F191</f>
        <v>0</v>
      </c>
      <c r="G289" s="134">
        <f t="shared" si="180"/>
        <v>0</v>
      </c>
      <c r="H289" s="134">
        <f t="shared" si="180"/>
        <v>0</v>
      </c>
      <c r="I289" s="134">
        <f t="shared" si="180"/>
        <v>0</v>
      </c>
      <c r="J289" s="134">
        <f t="shared" ref="J289" si="181">J191</f>
        <v>0</v>
      </c>
      <c r="K289" s="134"/>
      <c r="L289" s="134"/>
    </row>
    <row r="290" spans="1:12" outlineLevel="1">
      <c r="A290" s="47" t="str">
        <f ca="1">OFFSET(Язык!$A$473,0,LANGUAGE)</f>
        <v>Прочие краткосрочные обязательства</v>
      </c>
      <c r="C290" s="132" t="str">
        <f t="shared" ca="1" si="169"/>
        <v>$</v>
      </c>
      <c r="D290" s="1" t="s">
        <v>1737</v>
      </c>
      <c r="F290" s="134">
        <f t="shared" ref="F290:I290" si="182">$G74+$G75+$G76+$G77</f>
        <v>0</v>
      </c>
      <c r="G290" s="134">
        <f t="shared" si="182"/>
        <v>0</v>
      </c>
      <c r="H290" s="134">
        <f t="shared" si="182"/>
        <v>0</v>
      </c>
      <c r="I290" s="134">
        <f t="shared" si="182"/>
        <v>0</v>
      </c>
      <c r="J290" s="134">
        <f t="shared" ref="J290" si="183">$G74+$G75+$G76+$G77</f>
        <v>0</v>
      </c>
      <c r="K290" s="134"/>
      <c r="L290" s="134"/>
    </row>
    <row r="291" spans="1:12" outlineLevel="1">
      <c r="A291" s="32" t="str">
        <f ca="1">OFFSET(Язык!$A$474,0,LANGUAGE)</f>
        <v>Суммарные краткосрочные обязательства</v>
      </c>
      <c r="C291" s="132" t="str">
        <f t="shared" ca="1" si="169"/>
        <v>$</v>
      </c>
      <c r="D291" s="1" t="s">
        <v>1737</v>
      </c>
      <c r="F291" s="134">
        <f t="shared" ref="F291:I291" si="184">F283+SUM(F286:F290)</f>
        <v>0</v>
      </c>
      <c r="G291" s="134">
        <f t="shared" si="184"/>
        <v>0</v>
      </c>
      <c r="H291" s="134">
        <f t="shared" si="184"/>
        <v>0</v>
      </c>
      <c r="I291" s="134">
        <f t="shared" si="184"/>
        <v>0</v>
      </c>
      <c r="J291" s="134">
        <f t="shared" ref="J291" si="185">J283+SUM(J286:J290)</f>
        <v>0</v>
      </c>
      <c r="K291" s="134"/>
      <c r="L291" s="134"/>
    </row>
    <row r="292" spans="1:12" outlineLevel="1">
      <c r="A292" s="2"/>
      <c r="F292" s="134"/>
      <c r="G292" s="134"/>
      <c r="H292" s="134"/>
      <c r="I292" s="134"/>
      <c r="J292" s="134"/>
      <c r="K292" s="134"/>
      <c r="L292" s="134"/>
    </row>
    <row r="293" spans="1:12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1737</v>
      </c>
      <c r="F293" s="134">
        <f t="shared" ref="F293:I293" si="186">F197+$G62+$G63</f>
        <v>0</v>
      </c>
      <c r="G293" s="134">
        <f t="shared" si="186"/>
        <v>0</v>
      </c>
      <c r="H293" s="134">
        <f t="shared" si="186"/>
        <v>0</v>
      </c>
      <c r="I293" s="134">
        <f t="shared" si="186"/>
        <v>0</v>
      </c>
      <c r="J293" s="134">
        <f t="shared" ref="J293" si="187">J197+$G62+$G63</f>
        <v>0</v>
      </c>
      <c r="K293" s="134"/>
      <c r="L293" s="134"/>
    </row>
    <row r="294" spans="1:12" outlineLevel="1">
      <c r="A294" s="2"/>
      <c r="F294" s="134"/>
      <c r="G294" s="134"/>
      <c r="H294" s="134"/>
      <c r="I294" s="134"/>
      <c r="J294" s="134"/>
      <c r="K294" s="134"/>
      <c r="L294" s="134"/>
    </row>
    <row r="295" spans="1:12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1737</v>
      </c>
      <c r="F295" s="134">
        <f t="shared" ref="F295:I295" si="188">$G52+F186</f>
        <v>0</v>
      </c>
      <c r="G295" s="134">
        <f t="shared" si="188"/>
        <v>0</v>
      </c>
      <c r="H295" s="134">
        <f t="shared" si="188"/>
        <v>0</v>
      </c>
      <c r="I295" s="134">
        <f t="shared" si="188"/>
        <v>0</v>
      </c>
      <c r="J295" s="134">
        <f t="shared" ref="J295" si="189">$G52+J186</f>
        <v>0</v>
      </c>
      <c r="K295" s="134"/>
      <c r="L295" s="134"/>
    </row>
    <row r="296" spans="1:12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1737</v>
      </c>
      <c r="F296" s="134">
        <f>G58</f>
        <v>0</v>
      </c>
      <c r="G296" s="134">
        <f t="shared" ref="G296:J296" si="190">F296+G225</f>
        <v>0</v>
      </c>
      <c r="H296" s="134">
        <f t="shared" si="190"/>
        <v>0</v>
      </c>
      <c r="I296" s="134">
        <f t="shared" si="190"/>
        <v>0</v>
      </c>
      <c r="J296" s="134">
        <f t="shared" si="190"/>
        <v>0</v>
      </c>
      <c r="K296" s="134"/>
      <c r="L296" s="134"/>
    </row>
    <row r="297" spans="1:12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1737</v>
      </c>
      <c r="F297" s="134">
        <f t="shared" ref="F297:I297" si="191">$G53+$G54</f>
        <v>0</v>
      </c>
      <c r="G297" s="134">
        <f t="shared" si="191"/>
        <v>0</v>
      </c>
      <c r="H297" s="134">
        <f t="shared" si="191"/>
        <v>0</v>
      </c>
      <c r="I297" s="134">
        <f t="shared" si="191"/>
        <v>0</v>
      </c>
      <c r="J297" s="134">
        <f t="shared" ref="J297" si="192">$G53+$G54</f>
        <v>0</v>
      </c>
      <c r="K297" s="134"/>
      <c r="L297" s="134"/>
    </row>
    <row r="298" spans="1:12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1737</v>
      </c>
      <c r="F298" s="134">
        <f t="shared" ref="F298:I298" si="193">SUM(F295:F297)</f>
        <v>0</v>
      </c>
      <c r="G298" s="134">
        <f t="shared" si="193"/>
        <v>0</v>
      </c>
      <c r="H298" s="134">
        <f t="shared" si="193"/>
        <v>0</v>
      </c>
      <c r="I298" s="134">
        <f t="shared" si="193"/>
        <v>0</v>
      </c>
      <c r="J298" s="134">
        <f t="shared" ref="J298" si="194">SUM(J295:J297)</f>
        <v>0</v>
      </c>
      <c r="K298" s="134"/>
      <c r="L298" s="134"/>
    </row>
    <row r="299" spans="1:12" outlineLevel="1">
      <c r="A299" s="47"/>
      <c r="F299" s="134"/>
      <c r="G299" s="134"/>
      <c r="H299" s="134"/>
      <c r="I299" s="134"/>
      <c r="J299" s="134"/>
      <c r="K299" s="134"/>
      <c r="L299" s="134"/>
    </row>
    <row r="300" spans="1:12" outlineLevel="1">
      <c r="A300" s="85" t="str">
        <f ca="1">OFFSET(Язык!$A$480,0,LANGUAGE)</f>
        <v xml:space="preserve"> = ИТОГО ПАССИВОВ</v>
      </c>
      <c r="B300" s="154" t="str">
        <f>IF(COUNTIF(F301:J301,1)&gt;0,"Не сходится!","")</f>
        <v/>
      </c>
      <c r="C300" s="173" t="str">
        <f ca="1">CUR_Main</f>
        <v>$</v>
      </c>
      <c r="D300" s="170" t="s">
        <v>1737</v>
      </c>
      <c r="E300" s="170"/>
      <c r="F300" s="188">
        <f t="shared" ref="F300:I300" si="195">F291+F293+F298</f>
        <v>0</v>
      </c>
      <c r="G300" s="188">
        <f t="shared" si="195"/>
        <v>0</v>
      </c>
      <c r="H300" s="188">
        <f t="shared" si="195"/>
        <v>0</v>
      </c>
      <c r="I300" s="188">
        <f t="shared" si="195"/>
        <v>0</v>
      </c>
      <c r="J300" s="188">
        <f t="shared" ref="J300" si="196">J291+J293+J298</f>
        <v>0</v>
      </c>
      <c r="K300" s="188"/>
      <c r="L300" s="134"/>
    </row>
    <row r="301" spans="1:12" outlineLevel="1">
      <c r="A301" s="47" t="str">
        <f ca="1">OFFSET(Язык!$A$481,0,LANGUAGE)</f>
        <v>Контроль сходимости баланса</v>
      </c>
      <c r="D301" s="1" t="s">
        <v>1737</v>
      </c>
      <c r="F301" s="134">
        <f t="shared" ref="F301:I301" si="197">IF(ABS(F281-F300)&gt;1,1,0)</f>
        <v>0</v>
      </c>
      <c r="G301" s="134">
        <f t="shared" si="197"/>
        <v>0</v>
      </c>
      <c r="H301" s="134">
        <f t="shared" si="197"/>
        <v>0</v>
      </c>
      <c r="I301" s="134">
        <f t="shared" si="197"/>
        <v>0</v>
      </c>
      <c r="J301" s="134">
        <f t="shared" ref="J301" si="198">IF(ABS(J281-J300)&gt;1,1,0)</f>
        <v>0</v>
      </c>
      <c r="K301" s="134"/>
      <c r="L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L1281"/>
  <sheetViews>
    <sheetView tabSelected="1" topLeftCell="A495" workbookViewId="0">
      <selection activeCell="A799" sqref="A799:F820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0" width="11.83203125" style="2" customWidth="1"/>
    <col min="11" max="11" width="1.83203125" style="2" customWidth="1"/>
    <col min="12" max="12" width="12.83203125" style="2" customWidth="1"/>
    <col min="13" max="16384" width="9.33203125" style="2"/>
  </cols>
  <sheetData>
    <row r="1" spans="1:5" ht="20.25">
      <c r="A1" s="131" t="str">
        <f ca="1">OFFSET(Язык!$A$8,0,LANGUAGE) &amp; IF(IS_SUMM," " &amp; OFFSET(Язык!$A$622,0,LANGUAGE),"") &amp; " " &amp; AI_Version</f>
        <v>АЛЬТ-Инвест™ Сумм 5.05</v>
      </c>
      <c r="C1" s="104"/>
    </row>
    <row r="2" spans="1:5" ht="15">
      <c r="A2" s="3" t="str">
        <f ca="1">OFFSET(Язык!$A$32,0,LANGUAGE)</f>
        <v>Описание проекта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2397</v>
      </c>
      <c r="B5" s="7"/>
      <c r="C5" s="7"/>
    </row>
    <row r="7" spans="1:5">
      <c r="A7" s="15" t="str">
        <f ca="1">OFFSET(Язык!$A$34,0,LANGUAGE)</f>
        <v>Дата начала проекта</v>
      </c>
      <c r="B7" s="200"/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4 лет</v>
      </c>
      <c r="C8" s="78"/>
      <c r="D8" s="2">
        <v>4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2">
      <c r="A17" s="15" t="str">
        <f ca="1">OFFSET(Язык!$A$40,0,LANGUAGE)</f>
        <v>Язык</v>
      </c>
      <c r="B17" s="16" t="str">
        <f ca="1">OFFSET(Язык!$A$1,0,LANGUAGE)</f>
        <v>Русский</v>
      </c>
      <c r="C17" s="78"/>
      <c r="D17" s="2">
        <v>0</v>
      </c>
    </row>
    <row r="18" spans="1:12">
      <c r="A18" s="15" t="str">
        <f ca="1">OFFSET(Язык!$A$41,0,LANGUAGE)</f>
        <v>Защита</v>
      </c>
      <c r="B18" s="16" t="str">
        <f ca="1">IF(PRJ_Protected,OFFSET(Язык!$A$4,0,LANGUAGE),OFFSET(Язык!$A$5,0,LANGUAGE))</f>
        <v>Включена</v>
      </c>
      <c r="C18" s="78"/>
      <c r="D18" s="2" t="b">
        <v>1</v>
      </c>
    </row>
    <row r="19" spans="1:12">
      <c r="A19" s="15" t="str">
        <f ca="1">OFFSET(Язык!$A$42,0,LANGUAGE)</f>
        <v>Валюта для отображения результатов</v>
      </c>
      <c r="B19" s="16" t="str">
        <f ca="1">CHOOSE(CUR_I_Report,CUR_Main,CUR_Foreign)</f>
        <v>$</v>
      </c>
      <c r="C19" s="78"/>
      <c r="D19" s="2">
        <v>1</v>
      </c>
    </row>
    <row r="20" spans="1:12">
      <c r="A20" s="15" t="str">
        <f ca="1">OFFSET(Язык!$A$43,0,LANGUAGE)</f>
        <v>Показывать реальные даты в названиях периодов?</v>
      </c>
      <c r="B20" s="16" t="str">
        <f ca="1">IF(ShowRealDates,OFFSET(Язык!$A$2,0,LANGUAGE),OFFSET(Язык!$A$3,0,LANGUAGE))</f>
        <v>Нет</v>
      </c>
      <c r="C20" s="78"/>
      <c r="D20" s="2" t="b">
        <v>0</v>
      </c>
    </row>
    <row r="21" spans="1:12">
      <c r="A21" s="15"/>
      <c r="B21" s="16"/>
      <c r="C21" s="78"/>
    </row>
    <row r="22" spans="1:12">
      <c r="A22" s="15"/>
      <c r="B22" s="16"/>
      <c r="C22" s="78"/>
    </row>
    <row r="23" spans="1:12" collapsed="1">
      <c r="A23" s="79"/>
      <c r="B23" s="82"/>
      <c r="C23" s="81"/>
    </row>
    <row r="24" spans="1:12" ht="11.25" hidden="1" customHeight="1" outlineLevel="2"/>
    <row r="25" spans="1:12" ht="11.25" hidden="1" customHeight="1" outlineLevel="2">
      <c r="A25" s="2" t="str">
        <f ca="1">OFFSET(Язык!$A$44,0,LANGUAGE)</f>
        <v>Год начала проекта</v>
      </c>
      <c r="D25" s="2" t="s">
        <v>1736</v>
      </c>
      <c r="F25" s="6">
        <v>2010</v>
      </c>
    </row>
    <row r="26" spans="1:12" ht="11.25" hidden="1" customHeight="1" outlineLevel="2">
      <c r="A26" s="2" t="str">
        <f ca="1">OFFSET(Язык!$A$45,0,LANGUAGE)</f>
        <v>Месяц начала проекта</v>
      </c>
      <c r="D26" s="2" t="s">
        <v>1736</v>
      </c>
      <c r="F26" s="6">
        <v>1</v>
      </c>
    </row>
    <row r="27" spans="1:12" ht="11.25" hidden="1" customHeight="1" outlineLevel="2">
      <c r="A27" s="2" t="str">
        <f ca="1">OFFSET(Язык!$A$46,0,LANGUAGE)</f>
        <v>Номера периодов</v>
      </c>
      <c r="D27" s="2" t="s">
        <v>1736</v>
      </c>
      <c r="F27" s="6">
        <v>0</v>
      </c>
      <c r="G27" s="6">
        <f t="shared" ref="G27:J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/>
    </row>
    <row r="28" spans="1:12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1736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/>
    </row>
    <row r="29" spans="1:12" ht="11.25" hidden="1" customHeight="1" outlineLevel="2">
      <c r="A29" s="2" t="str">
        <f ca="1">OFFSET(Язык!$A$48,0,LANGUAGE)</f>
        <v>Дата начала периода</v>
      </c>
      <c r="D29" s="2" t="s">
        <v>1736</v>
      </c>
      <c r="F29" s="6"/>
      <c r="G29" s="36">
        <f>DATE(PRJ_StartYear,PRJ_StartMon,1)</f>
        <v>40179</v>
      </c>
      <c r="H29" s="36">
        <f t="shared" ref="H29:J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6"/>
    </row>
    <row r="30" spans="1:12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1736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/>
    </row>
    <row r="31" spans="1:12" ht="12" thickBot="1"/>
    <row r="32" spans="1:12" ht="15.95" hidden="1" customHeight="1" thickTop="1" thickBot="1">
      <c r="A32" s="18" t="s">
        <v>555</v>
      </c>
      <c r="B32" s="19"/>
      <c r="C32" s="19"/>
      <c r="D32" s="18"/>
      <c r="E32" s="18"/>
      <c r="F32" s="19" t="s">
        <v>381</v>
      </c>
      <c r="G32" s="19" t="str">
        <f t="shared" ref="G32:J32" ca="1" si="2">IF(ShowRealDates,G$30,G$28)</f>
        <v>1 год</v>
      </c>
      <c r="H32" s="19" t="str">
        <f t="shared" ca="1" si="2"/>
        <v>2 год</v>
      </c>
      <c r="I32" s="19" t="str">
        <f t="shared" ca="1" si="2"/>
        <v>3 год</v>
      </c>
      <c r="J32" s="19" t="str">
        <f t="shared" ca="1" si="2"/>
        <v>4 год</v>
      </c>
      <c r="K32" s="19"/>
      <c r="L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2" ht="12" hidden="1" thickBot="1"/>
    <row r="82" spans="1:12" ht="12" hidden="1" thickBot="1"/>
    <row r="83" spans="1:12" ht="12" hidden="1" thickBot="1"/>
    <row r="84" spans="1:12" ht="12" hidden="1" thickBot="1"/>
    <row r="85" spans="1:12" ht="12" hidden="1" thickBot="1"/>
    <row r="86" spans="1:12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/>
      <c r="L86" s="19"/>
    </row>
    <row r="87" spans="1:12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</row>
    <row r="88" spans="1:12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1736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</row>
    <row r="89" spans="1:12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</row>
    <row r="90" spans="1:12" hidden="1" outlineLevel="1">
      <c r="A90" s="11" t="str">
        <f ca="1">OFFSET(Язык!$A$52,0,LANGUAGE)</f>
        <v>Предполагаемый темп годового роста цен</v>
      </c>
    </row>
    <row r="91" spans="1:12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1747</v>
      </c>
      <c r="F91" s="8">
        <v>0.1</v>
      </c>
      <c r="G91" s="8">
        <f t="shared" ref="G91:J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</row>
    <row r="92" spans="1:12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1747</v>
      </c>
      <c r="F92" s="9">
        <f t="shared" ref="F92:I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ref="J92" si="6">POWER(1+J91,PRJ_Step/360)-1</f>
        <v>0.10000000000000009</v>
      </c>
    </row>
    <row r="93" spans="1:12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J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</row>
    <row r="94" spans="1:12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1747</v>
      </c>
      <c r="F94" s="10">
        <v>1</v>
      </c>
      <c r="G94" s="10">
        <f t="shared" ref="G94:J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</row>
    <row r="95" spans="1:12" ht="11.25" hidden="1" customHeight="1" outlineLevel="1"/>
    <row r="96" spans="1:12" hidden="1" outlineLevel="1">
      <c r="A96" s="11" t="str">
        <f ca="1">OFFSET(Язык!$A$56,0,LANGUAGE)</f>
        <v>Предполагаемый годовой темп прироста</v>
      </c>
    </row>
    <row r="97" spans="1:12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1747</v>
      </c>
      <c r="F97" s="8">
        <v>0</v>
      </c>
      <c r="G97" s="8">
        <f t="shared" ref="G97:J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</row>
    <row r="98" spans="1:12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1747</v>
      </c>
      <c r="F98" s="233">
        <v>150</v>
      </c>
      <c r="G98" s="234">
        <f t="shared" ref="G98:J98" si="10">IF(CalcMethod=2,F98*POWER(1+F97,PRJ_Step/360),F98)</f>
        <v>150</v>
      </c>
      <c r="H98" s="234">
        <f t="shared" si="10"/>
        <v>150</v>
      </c>
      <c r="I98" s="234">
        <f t="shared" si="10"/>
        <v>150</v>
      </c>
      <c r="J98" s="234">
        <f t="shared" si="10"/>
        <v>150</v>
      </c>
    </row>
    <row r="99" spans="1:12" hidden="1" outlineLevel="1"/>
    <row r="100" spans="1:12" hidden="1" outlineLevel="1">
      <c r="A100" s="11" t="str">
        <f ca="1">OFFSET(Язык!$A$59,0,LANGUAGE)</f>
        <v>Предполагаемый темп годового роста цен</v>
      </c>
    </row>
    <row r="101" spans="1:12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1747</v>
      </c>
      <c r="F101" s="8">
        <v>0.1</v>
      </c>
      <c r="G101" s="8">
        <f t="shared" ref="G101:J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</row>
    <row r="102" spans="1:12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1747</v>
      </c>
      <c r="F102" s="9">
        <f t="shared" ref="F102:I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ref="J102" si="13">POWER(1+J101,PRJ_Step/360)-1</f>
        <v>0.10000000000000009</v>
      </c>
    </row>
    <row r="103" spans="1:12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J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</row>
    <row r="104" spans="1:12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1747</v>
      </c>
      <c r="F104" s="10">
        <v>1</v>
      </c>
      <c r="G104" s="10">
        <f t="shared" ref="G104:J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</row>
    <row r="105" spans="1:12" hidden="1" outlineLevel="1"/>
    <row r="106" spans="1:12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1747</v>
      </c>
      <c r="F106" s="8">
        <v>0.13</v>
      </c>
      <c r="G106" s="8">
        <f t="shared" ref="G106:J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</row>
    <row r="107" spans="1:12" hidden="1" outlineLevel="1">
      <c r="A107" s="11" t="str">
        <f ca="1">OFFSET(Язык!$A$64,0,LANGUAGE)</f>
        <v>Ставка процентов по кредитам, в пределах которой</v>
      </c>
    </row>
    <row r="108" spans="1:12" hidden="1" outlineLevel="1">
      <c r="A108" s="11" t="str">
        <f ca="1">OFFSET(Язык!$A$65,0,LANGUAGE)</f>
        <v>уменьшается налогооблагаемая прибыль:</v>
      </c>
    </row>
    <row r="109" spans="1:12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1747</v>
      </c>
      <c r="F109" s="9">
        <f t="shared" ref="F109:I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ref="J109" si="18">J106*1.1</f>
        <v>0.14300000000000002</v>
      </c>
    </row>
    <row r="110" spans="1:12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1747</v>
      </c>
      <c r="E110" s="43"/>
      <c r="F110" s="169">
        <v>0.15</v>
      </c>
      <c r="G110" s="169">
        <f t="shared" ref="G110:J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43"/>
      <c r="L110" s="43"/>
    </row>
    <row r="111" spans="1:12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" hidden="1" outlineLevel="1" thickBot="1"/>
    <row r="113" spans="1:12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J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/>
      <c r="L113" s="23" t="str">
        <f ca="1">OFFSET(Язык!$A$77,0,LANGUAGE)</f>
        <v>ИТОГО</v>
      </c>
    </row>
    <row r="114" spans="1:12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</row>
    <row r="115" spans="1:12" outlineLevel="1">
      <c r="A115" s="242" t="s">
        <v>2393</v>
      </c>
      <c r="B115" s="229">
        <v>27000</v>
      </c>
      <c r="C115" s="243" t="s">
        <v>2394</v>
      </c>
      <c r="D115" s="11" t="s">
        <v>1747</v>
      </c>
      <c r="E115" s="11"/>
      <c r="F115" s="143"/>
      <c r="G115" s="144">
        <v>0.5</v>
      </c>
      <c r="H115" s="144">
        <v>1</v>
      </c>
      <c r="I115" s="144">
        <v>1</v>
      </c>
      <c r="J115" s="144">
        <v>1</v>
      </c>
      <c r="K115" s="11"/>
      <c r="L115" s="11"/>
    </row>
    <row r="116" spans="1:12" outlineLevel="1">
      <c r="A116" s="242"/>
      <c r="B116" s="229"/>
      <c r="C116" s="243"/>
      <c r="D116" s="11" t="s">
        <v>1747</v>
      </c>
      <c r="E116" s="11"/>
      <c r="F116" s="143"/>
      <c r="G116" s="144">
        <v>0</v>
      </c>
      <c r="H116" s="144">
        <v>0</v>
      </c>
      <c r="I116" s="144">
        <v>0</v>
      </c>
      <c r="J116" s="144">
        <v>0</v>
      </c>
      <c r="K116" s="11"/>
      <c r="L116" s="11"/>
    </row>
    <row r="117" spans="1:12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1747</v>
      </c>
      <c r="E118" s="153"/>
      <c r="F118" s="153"/>
      <c r="G118" s="155">
        <f ca="1">IF(SUM($B115:OFFSET($B117,-1,0))&gt;0,SUM(G123:G125)/SUM($B115:OFFSET($B117,-1,0)),1)</f>
        <v>0.5</v>
      </c>
      <c r="H118" s="155">
        <f ca="1">IF(SUM($B115:OFFSET($B117,-1,0))&gt;0,SUM(H123:H125)/SUM($B115:OFFSET($B117,-1,0)),1)</f>
        <v>1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3"/>
      <c r="L118" s="153"/>
    </row>
    <row r="119" spans="1:12" s="37" customFormat="1" outlineLevel="1">
      <c r="A119" s="13"/>
      <c r="B119" s="49"/>
      <c r="C119" s="49"/>
      <c r="D119" s="13"/>
      <c r="E119" s="13"/>
      <c r="F119" s="13"/>
      <c r="G119" s="238"/>
      <c r="H119" s="238"/>
      <c r="I119" s="238"/>
      <c r="J119" s="238"/>
      <c r="K119" s="13"/>
      <c r="L119" s="13"/>
    </row>
    <row r="120" spans="1:12" ht="12" outlineLevel="1" thickBot="1"/>
    <row r="121" spans="1:12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J121" si="21">PeriodTitle</f>
        <v>"0"</v>
      </c>
      <c r="G121" s="19">
        <f t="shared" si="21"/>
        <v>2013</v>
      </c>
      <c r="H121" s="19">
        <f t="shared" si="21"/>
        <v>2014</v>
      </c>
      <c r="I121" s="19">
        <f t="shared" si="21"/>
        <v>2015</v>
      </c>
      <c r="J121" s="19">
        <f t="shared" si="21"/>
        <v>2016</v>
      </c>
      <c r="K121" s="19"/>
      <c r="L121" s="23" t="str">
        <f ca="1">OFFSET(Язык!$A$77,0,LANGUAGE)</f>
        <v>ИТОГО</v>
      </c>
    </row>
    <row r="122" spans="1:12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</row>
    <row r="123" spans="1:12" outlineLevel="1">
      <c r="A123" s="11" t="str">
        <f>A115</f>
        <v>Услуги по химчистке</v>
      </c>
      <c r="B123" s="12"/>
      <c r="C123" s="12" t="str">
        <f>C115</f>
        <v>кг</v>
      </c>
      <c r="D123" s="11"/>
      <c r="E123" s="11"/>
      <c r="F123" s="145"/>
      <c r="G123" s="230">
        <f>$B115*G115</f>
        <v>13500</v>
      </c>
      <c r="H123" s="230">
        <f>$B115*H115</f>
        <v>27000</v>
      </c>
      <c r="I123" s="230">
        <f>$B115*I115</f>
        <v>27000</v>
      </c>
      <c r="J123" s="230">
        <f>$B115*J115</f>
        <v>27000</v>
      </c>
      <c r="K123" s="231"/>
      <c r="L123" s="232">
        <f>SUM(G123:K123)</f>
        <v>94500</v>
      </c>
    </row>
    <row r="124" spans="1:12" outlineLevel="1">
      <c r="A124" s="11">
        <f>A116</f>
        <v>0</v>
      </c>
      <c r="B124" s="12"/>
      <c r="C124" s="12">
        <f>C116</f>
        <v>0</v>
      </c>
      <c r="D124" s="11"/>
      <c r="E124" s="11"/>
      <c r="F124" s="145"/>
      <c r="G124" s="230">
        <f t="shared" ref="G124:I124" si="22">$B116*G116</f>
        <v>0</v>
      </c>
      <c r="H124" s="230">
        <f t="shared" si="22"/>
        <v>0</v>
      </c>
      <c r="I124" s="230">
        <f t="shared" si="22"/>
        <v>0</v>
      </c>
      <c r="J124" s="230">
        <f t="shared" ref="J124" si="23">$B116*J116</f>
        <v>0</v>
      </c>
      <c r="K124" s="231"/>
      <c r="L124" s="232">
        <f>SUM(G124:K124)</f>
        <v>0</v>
      </c>
    </row>
    <row r="125" spans="1:12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" outlineLevel="1" thickBot="1"/>
    <row r="128" spans="1:12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J128" si="24">PeriodTitle</f>
        <v>"0"</v>
      </c>
      <c r="G128" s="19">
        <f t="shared" si="24"/>
        <v>2013</v>
      </c>
      <c r="H128" s="19">
        <f t="shared" si="24"/>
        <v>2014</v>
      </c>
      <c r="I128" s="19">
        <f t="shared" si="24"/>
        <v>2015</v>
      </c>
      <c r="J128" s="19">
        <f t="shared" si="24"/>
        <v>2016</v>
      </c>
      <c r="K128" s="19"/>
      <c r="L128" s="21"/>
    </row>
    <row r="129" spans="1:12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</row>
    <row r="130" spans="1:12" outlineLevel="1" collapsed="1">
      <c r="A130" s="11" t="str">
        <f>A115</f>
        <v>Услуги по химчистке</v>
      </c>
      <c r="B130" s="7">
        <v>1</v>
      </c>
      <c r="C130" s="147" t="str">
        <f ca="1">CHOOSE(B130,CUR_Main,CUR_Foreign) &amp; " / " &amp; C115</f>
        <v>$ / кг</v>
      </c>
      <c r="D130" s="11" t="s">
        <v>1747</v>
      </c>
      <c r="E130" s="11"/>
      <c r="F130" s="228">
        <v>0</v>
      </c>
      <c r="G130" s="228">
        <v>30</v>
      </c>
      <c r="H130" s="228">
        <f t="shared" ref="H130:J130" si="25">G130*CHOOSE($B130,H$94,H$104)</f>
        <v>33</v>
      </c>
      <c r="I130" s="228">
        <f t="shared" si="25"/>
        <v>36.300000000000004</v>
      </c>
      <c r="J130" s="228">
        <f t="shared" si="25"/>
        <v>39.930000000000007</v>
      </c>
      <c r="K130" s="11"/>
      <c r="L130" s="146"/>
    </row>
    <row r="131" spans="1:12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1747</v>
      </c>
      <c r="F131" s="25"/>
      <c r="G131" s="239">
        <f t="shared" ref="G131:I131" si="26">(G130/(1+$B134)-$C132)/(1+$B132)</f>
        <v>26.785714285714285</v>
      </c>
      <c r="H131" s="239">
        <f t="shared" si="26"/>
        <v>29.464285714285712</v>
      </c>
      <c r="I131" s="239">
        <f t="shared" si="26"/>
        <v>32.410714285714285</v>
      </c>
      <c r="J131" s="239">
        <f t="shared" ref="J131" si="27">(J130/(1+$B134)-$C132)/(1+$B132)</f>
        <v>35.651785714285715</v>
      </c>
      <c r="L131" s="22"/>
    </row>
    <row r="132" spans="1:12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1747</v>
      </c>
      <c r="F132" s="25"/>
      <c r="G132" s="239">
        <f t="shared" ref="G132:I132" si="28">G131*$B132+$C132</f>
        <v>0</v>
      </c>
      <c r="H132" s="239">
        <f t="shared" si="28"/>
        <v>0</v>
      </c>
      <c r="I132" s="239">
        <f t="shared" si="28"/>
        <v>0</v>
      </c>
      <c r="J132" s="239">
        <f t="shared" ref="J132" si="29">J131*$B132+$C132</f>
        <v>0</v>
      </c>
      <c r="L132" s="22"/>
    </row>
    <row r="133" spans="1:12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1747</v>
      </c>
      <c r="F133" s="25"/>
      <c r="G133" s="239">
        <f t="shared" ref="G133:I133" si="30">(G131+G132)*$B133</f>
        <v>0</v>
      </c>
      <c r="H133" s="239">
        <f t="shared" si="30"/>
        <v>0</v>
      </c>
      <c r="I133" s="239">
        <f t="shared" si="30"/>
        <v>0</v>
      </c>
      <c r="J133" s="239">
        <f t="shared" ref="J133" si="31">(J131+J132)*$B133</f>
        <v>0</v>
      </c>
      <c r="L133" s="22"/>
    </row>
    <row r="134" spans="1:12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1747</v>
      </c>
      <c r="F134" s="25"/>
      <c r="G134" s="239">
        <f t="shared" ref="G134:I134" si="32">(G131+G132)*$B134</f>
        <v>3.214285714285714</v>
      </c>
      <c r="H134" s="239">
        <f t="shared" si="32"/>
        <v>3.5357142857142851</v>
      </c>
      <c r="I134" s="239">
        <f t="shared" si="32"/>
        <v>3.8892857142857142</v>
      </c>
      <c r="J134" s="239">
        <f t="shared" ref="J134" si="33">(J131+J132)*$B134</f>
        <v>4.2782142857142853</v>
      </c>
      <c r="L134" s="22"/>
    </row>
    <row r="135" spans="1:12" outlineLevel="1" collapsed="1">
      <c r="A135" s="11">
        <f>A116</f>
        <v>0</v>
      </c>
      <c r="B135" s="7">
        <v>1</v>
      </c>
      <c r="C135" s="147" t="str">
        <f ca="1">CHOOSE(B135,CUR_Main,CUR_Foreign) &amp; " / " &amp; C116</f>
        <v xml:space="preserve">$ / </v>
      </c>
      <c r="D135" s="11" t="s">
        <v>1747</v>
      </c>
      <c r="E135" s="11"/>
      <c r="F135" s="228">
        <v>0</v>
      </c>
      <c r="G135" s="228">
        <v>0</v>
      </c>
      <c r="H135" s="228">
        <f t="shared" ref="H135" si="34">G135*CHOOSE($B135,H$94,H$104)</f>
        <v>0</v>
      </c>
      <c r="I135" s="228">
        <f t="shared" ref="I135" si="35">H135*CHOOSE($B135,I$94,I$104)</f>
        <v>0</v>
      </c>
      <c r="J135" s="228">
        <f t="shared" ref="J135" si="36">I135*CHOOSE($B135,J$94,J$104)</f>
        <v>0</v>
      </c>
      <c r="K135" s="11"/>
      <c r="L135" s="146"/>
    </row>
    <row r="136" spans="1:12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1747</v>
      </c>
      <c r="F136" s="25"/>
      <c r="G136" s="239">
        <f t="shared" ref="G136:J136" si="37">(G135/(1+$B139)-$C137)/(1+$B137)</f>
        <v>0</v>
      </c>
      <c r="H136" s="239">
        <f t="shared" si="37"/>
        <v>0</v>
      </c>
      <c r="I136" s="239">
        <f t="shared" si="37"/>
        <v>0</v>
      </c>
      <c r="J136" s="239">
        <f t="shared" si="37"/>
        <v>0</v>
      </c>
      <c r="L136" s="22"/>
    </row>
    <row r="137" spans="1:12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1747</v>
      </c>
      <c r="F137" s="25"/>
      <c r="G137" s="239">
        <f t="shared" ref="G137:J137" si="38">G136*$B137+$C137</f>
        <v>0</v>
      </c>
      <c r="H137" s="239">
        <f t="shared" si="38"/>
        <v>0</v>
      </c>
      <c r="I137" s="239">
        <f t="shared" si="38"/>
        <v>0</v>
      </c>
      <c r="J137" s="239">
        <f t="shared" si="38"/>
        <v>0</v>
      </c>
      <c r="L137" s="22"/>
    </row>
    <row r="138" spans="1:12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1747</v>
      </c>
      <c r="F138" s="25"/>
      <c r="G138" s="239">
        <f t="shared" ref="G138:J138" si="39">(G136+G137)*$B138</f>
        <v>0</v>
      </c>
      <c r="H138" s="239">
        <f t="shared" si="39"/>
        <v>0</v>
      </c>
      <c r="I138" s="239">
        <f t="shared" si="39"/>
        <v>0</v>
      </c>
      <c r="J138" s="239">
        <f t="shared" si="39"/>
        <v>0</v>
      </c>
      <c r="L138" s="22"/>
    </row>
    <row r="139" spans="1:12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1747</v>
      </c>
      <c r="F139" s="25"/>
      <c r="G139" s="239">
        <f t="shared" ref="G139:J139" si="40">(G136+G137)*$B139</f>
        <v>0</v>
      </c>
      <c r="H139" s="239">
        <f t="shared" si="40"/>
        <v>0</v>
      </c>
      <c r="I139" s="239">
        <f t="shared" si="40"/>
        <v>0</v>
      </c>
      <c r="J139" s="239">
        <f t="shared" si="40"/>
        <v>0</v>
      </c>
      <c r="L139" s="22"/>
    </row>
    <row r="140" spans="1:12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" outlineLevel="1" thickBot="1"/>
    <row r="143" spans="1:12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J143" si="41">PeriodTitle</f>
        <v>"0"</v>
      </c>
      <c r="G143" s="19">
        <f t="shared" si="41"/>
        <v>2013</v>
      </c>
      <c r="H143" s="19">
        <f t="shared" si="41"/>
        <v>2014</v>
      </c>
      <c r="I143" s="19">
        <f t="shared" si="41"/>
        <v>2015</v>
      </c>
      <c r="J143" s="19">
        <f t="shared" si="41"/>
        <v>2016</v>
      </c>
      <c r="K143" s="19"/>
      <c r="L143" s="23" t="str">
        <f ca="1">OFFSET(Язык!$A$77,0,LANGUAGE)</f>
        <v>ИТОГО</v>
      </c>
    </row>
    <row r="144" spans="1:12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</row>
    <row r="145" spans="1:12" outlineLevel="1" collapsed="1">
      <c r="A145" s="45" t="str">
        <f>A115</f>
        <v>Услуги по химчистке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t="shared" ref="G145:I145" ca="1" si="42">G152+G153</f>
        <v>405000</v>
      </c>
      <c r="H145" s="149">
        <f t="shared" ca="1" si="42"/>
        <v>890999.99999999988</v>
      </c>
      <c r="I145" s="149">
        <f t="shared" ca="1" si="42"/>
        <v>980100</v>
      </c>
      <c r="J145" s="149">
        <f t="shared" ref="J145" ca="1" si="43">J152+J153</f>
        <v>1078110</v>
      </c>
      <c r="K145" s="46"/>
      <c r="L145" s="150">
        <f ca="1">SUM(G145:K145)</f>
        <v>3354210</v>
      </c>
    </row>
    <row r="146" spans="1:12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>G123*(G131+G132)</f>
        <v>361607.14285714284</v>
      </c>
      <c r="H146" s="26">
        <f>H123*(H131+H132)</f>
        <v>795535.7142857142</v>
      </c>
      <c r="I146" s="26">
        <f>I123*(I131+I132)</f>
        <v>875089.28571428568</v>
      </c>
      <c r="J146" s="26">
        <f>J123*(J131+J132)</f>
        <v>962598.21428571432</v>
      </c>
      <c r="L146" s="30">
        <f>SUM(G146:K146)</f>
        <v>2994830.3571428573</v>
      </c>
    </row>
    <row r="147" spans="1:12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>G123*(G132+G133)</f>
        <v>0</v>
      </c>
      <c r="H147" s="26">
        <f>H123*(H132+H133)</f>
        <v>0</v>
      </c>
      <c r="I147" s="26">
        <f>I123*(I132+I133)</f>
        <v>0</v>
      </c>
      <c r="J147" s="26">
        <f>J123*(J132+J133)</f>
        <v>0</v>
      </c>
      <c r="L147" s="30">
        <f>SUM(G147:K147)</f>
        <v>0</v>
      </c>
    </row>
    <row r="148" spans="1:12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L148" s="30"/>
    </row>
    <row r="149" spans="1:12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2043</v>
      </c>
      <c r="D149" s="2" t="str">
        <f>TEXT(B130,"0")&amp;"_04"</f>
        <v>1_04</v>
      </c>
      <c r="G149" s="26">
        <f t="shared" ref="G149:I149" si="44">G146*$B149</f>
        <v>361607.14285714284</v>
      </c>
      <c r="H149" s="26">
        <f t="shared" si="44"/>
        <v>795535.7142857142</v>
      </c>
      <c r="I149" s="26">
        <f t="shared" si="44"/>
        <v>875089.28571428568</v>
      </c>
      <c r="J149" s="26">
        <f t="shared" ref="J149" si="45">J146*$B149</f>
        <v>962598.21428571432</v>
      </c>
      <c r="L149" s="30">
        <f>SUM(G149:K149)</f>
        <v>2994830.3571428573</v>
      </c>
    </row>
    <row r="150" spans="1:12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I150" ca="1" si="46">IF((F$27+$E150)&lt;=PRJ_Len,OFFSET(F146,0,$E150)*$B150,0)</f>
        <v>0</v>
      </c>
      <c r="G150" s="26">
        <f t="shared" ca="1" si="46"/>
        <v>0</v>
      </c>
      <c r="H150" s="26">
        <f t="shared" ca="1" si="46"/>
        <v>0</v>
      </c>
      <c r="I150" s="26">
        <f t="shared" ca="1" si="46"/>
        <v>0</v>
      </c>
      <c r="J150" s="26">
        <f t="shared" ref="J150" ca="1" si="47">IF((J$27+$E150)&lt;=PRJ_Len,OFFSET(J146,0,$E150)*$B150,0)</f>
        <v>0</v>
      </c>
      <c r="L150" s="30">
        <f ca="1">SUM(G150:K150)</f>
        <v>0</v>
      </c>
    </row>
    <row r="151" spans="1:12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I151" ca="1" si="48">IF((F$27-$E151)&gt;=1,OFFSET(F146,0,-$E151)*$B151,0)</f>
        <v>0</v>
      </c>
      <c r="G151" s="26">
        <f t="shared" ca="1" si="48"/>
        <v>0</v>
      </c>
      <c r="H151" s="26">
        <f t="shared" ca="1" si="48"/>
        <v>0</v>
      </c>
      <c r="I151" s="26">
        <f t="shared" ca="1" si="48"/>
        <v>0</v>
      </c>
      <c r="J151" s="26">
        <f t="shared" ref="J151" ca="1" si="49">IF((J$27-$E151)&gt;=1,OFFSET(J146,0,-$E151)*$B151,0)</f>
        <v>0</v>
      </c>
      <c r="L151" s="30">
        <f ca="1">SUM(G151:K151)</f>
        <v>0</v>
      </c>
    </row>
    <row r="152" spans="1:12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I152" ca="1" si="50">SUM(F149:F151)</f>
        <v>0</v>
      </c>
      <c r="G152" s="26">
        <f t="shared" ca="1" si="50"/>
        <v>361607.14285714284</v>
      </c>
      <c r="H152" s="26">
        <f t="shared" ca="1" si="50"/>
        <v>795535.7142857142</v>
      </c>
      <c r="I152" s="26">
        <f t="shared" ca="1" si="50"/>
        <v>875089.28571428568</v>
      </c>
      <c r="J152" s="26">
        <f t="shared" ref="J152" ca="1" si="51">SUM(J149:J151)</f>
        <v>962598.21428571432</v>
      </c>
      <c r="L152" s="30">
        <f ca="1">SUM(G152:K152)</f>
        <v>2994830.3571428573</v>
      </c>
    </row>
    <row r="153" spans="1:12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ca="1">F152*$B134</f>
        <v>0</v>
      </c>
      <c r="G153" s="26">
        <f ca="1">G152*$B134</f>
        <v>43392.857142857138</v>
      </c>
      <c r="H153" s="26">
        <f ca="1">H152*$B134</f>
        <v>95464.285714285696</v>
      </c>
      <c r="I153" s="26">
        <f ca="1">I152*$B134</f>
        <v>105010.71428571428</v>
      </c>
      <c r="J153" s="26">
        <f ca="1">J152*$B134</f>
        <v>115511.78571428571</v>
      </c>
      <c r="L153" s="30">
        <f ca="1">SUM(G153:K153)</f>
        <v>359379.64285714284</v>
      </c>
    </row>
    <row r="154" spans="1:12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I154" si="52">F146*$B150*$E154/PRJ_Step</f>
        <v>0</v>
      </c>
      <c r="G154" s="26">
        <f t="shared" si="52"/>
        <v>0</v>
      </c>
      <c r="H154" s="26">
        <f t="shared" si="52"/>
        <v>0</v>
      </c>
      <c r="I154" s="26">
        <f t="shared" si="52"/>
        <v>0</v>
      </c>
      <c r="J154" s="26">
        <f t="shared" ref="J154" si="53">J146*$B150*$E154/PRJ_Step</f>
        <v>0</v>
      </c>
      <c r="K154" s="26"/>
      <c r="L154" s="26"/>
    </row>
    <row r="155" spans="1:12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J155" ca="1" si="54">E155+F150-F146*$B150</f>
        <v>0</v>
      </c>
      <c r="G155" s="26">
        <f t="shared" ca="1" si="54"/>
        <v>0</v>
      </c>
      <c r="H155" s="26">
        <f t="shared" ca="1" si="54"/>
        <v>0</v>
      </c>
      <c r="I155" s="26">
        <f t="shared" ca="1" si="54"/>
        <v>0</v>
      </c>
      <c r="J155" s="26">
        <f t="shared" ca="1" si="54"/>
        <v>0</v>
      </c>
      <c r="K155" s="26"/>
      <c r="L155" s="26"/>
    </row>
    <row r="156" spans="1:12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I156" si="55">F146*$B151*$E156/PRJ_Step</f>
        <v>0</v>
      </c>
      <c r="G156" s="26">
        <f t="shared" si="55"/>
        <v>0</v>
      </c>
      <c r="H156" s="26">
        <f t="shared" si="55"/>
        <v>0</v>
      </c>
      <c r="I156" s="26">
        <f t="shared" si="55"/>
        <v>0</v>
      </c>
      <c r="J156" s="26">
        <f t="shared" ref="J156" si="56">J146*$B151*$E156/PRJ_Step</f>
        <v>0</v>
      </c>
      <c r="K156" s="26"/>
      <c r="L156" s="26"/>
    </row>
    <row r="157" spans="1:12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J157" ca="1" si="57">E157+F146*$B151-F151</f>
        <v>0</v>
      </c>
      <c r="G157" s="26">
        <f t="shared" ca="1" si="57"/>
        <v>0</v>
      </c>
      <c r="H157" s="26">
        <f t="shared" ca="1" si="57"/>
        <v>0</v>
      </c>
      <c r="I157" s="26">
        <f t="shared" ca="1" si="57"/>
        <v>0</v>
      </c>
      <c r="J157" s="26">
        <f t="shared" ca="1" si="57"/>
        <v>0</v>
      </c>
      <c r="K157" s="26"/>
      <c r="L157" s="26"/>
    </row>
    <row r="158" spans="1:12" outlineLevel="1" collapsed="1">
      <c r="A158" s="45">
        <f>A116</f>
        <v>0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t="shared" ref="G158:J158" ca="1" si="58">G165+G166</f>
        <v>0</v>
      </c>
      <c r="H158" s="149">
        <f t="shared" ca="1" si="58"/>
        <v>0</v>
      </c>
      <c r="I158" s="149">
        <f t="shared" ca="1" si="58"/>
        <v>0</v>
      </c>
      <c r="J158" s="149">
        <f t="shared" ca="1" si="58"/>
        <v>0</v>
      </c>
      <c r="K158" s="46"/>
      <c r="L158" s="150">
        <f ca="1">SUM(G158:K158)</f>
        <v>0</v>
      </c>
    </row>
    <row r="159" spans="1:12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>G124*(G136+G137)</f>
        <v>0</v>
      </c>
      <c r="H159" s="26">
        <f>H124*(H136+H137)</f>
        <v>0</v>
      </c>
      <c r="I159" s="26">
        <f>I124*(I136+I137)</f>
        <v>0</v>
      </c>
      <c r="J159" s="26">
        <f>J124*(J136+J137)</f>
        <v>0</v>
      </c>
      <c r="L159" s="30">
        <f>SUM(G159:K159)</f>
        <v>0</v>
      </c>
    </row>
    <row r="160" spans="1:12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>G124*(G137+G138)</f>
        <v>0</v>
      </c>
      <c r="H160" s="26">
        <f>H124*(H137+H138)</f>
        <v>0</v>
      </c>
      <c r="I160" s="26">
        <f>I124*(I137+I138)</f>
        <v>0</v>
      </c>
      <c r="J160" s="26">
        <f>J124*(J137+J138)</f>
        <v>0</v>
      </c>
      <c r="L160" s="30">
        <f>SUM(G160:K160)</f>
        <v>0</v>
      </c>
    </row>
    <row r="161" spans="1:12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L161" s="30"/>
    </row>
    <row r="162" spans="1:12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2043</v>
      </c>
      <c r="D162" s="2" t="str">
        <f>TEXT(B135,"0")&amp;"_04"</f>
        <v>1_04</v>
      </c>
      <c r="G162" s="26">
        <f t="shared" ref="G162:J162" si="59">G159*$B162</f>
        <v>0</v>
      </c>
      <c r="H162" s="26">
        <f t="shared" si="59"/>
        <v>0</v>
      </c>
      <c r="I162" s="26">
        <f t="shared" si="59"/>
        <v>0</v>
      </c>
      <c r="J162" s="26">
        <f t="shared" si="59"/>
        <v>0</v>
      </c>
      <c r="L162" s="30">
        <f>SUM(G162:K162)</f>
        <v>0</v>
      </c>
    </row>
    <row r="163" spans="1:12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J163" ca="1" si="60">IF((F$27+$E163)&lt;=PRJ_Len,OFFSET(F159,0,$E163)*$B163,0)</f>
        <v>0</v>
      </c>
      <c r="G163" s="26">
        <f t="shared" ca="1" si="60"/>
        <v>0</v>
      </c>
      <c r="H163" s="26">
        <f t="shared" ca="1" si="60"/>
        <v>0</v>
      </c>
      <c r="I163" s="26">
        <f t="shared" ca="1" si="60"/>
        <v>0</v>
      </c>
      <c r="J163" s="26">
        <f t="shared" ca="1" si="60"/>
        <v>0</v>
      </c>
      <c r="L163" s="30">
        <f ca="1">SUM(G163:K163)</f>
        <v>0</v>
      </c>
    </row>
    <row r="164" spans="1:12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J164" ca="1" si="61">IF((F$27-$E164)&gt;=1,OFFSET(F159,0,-$E164)*$B164,0)</f>
        <v>0</v>
      </c>
      <c r="G164" s="26">
        <f t="shared" ca="1" si="61"/>
        <v>0</v>
      </c>
      <c r="H164" s="26">
        <f t="shared" ca="1" si="61"/>
        <v>0</v>
      </c>
      <c r="I164" s="26">
        <f t="shared" ca="1" si="61"/>
        <v>0</v>
      </c>
      <c r="J164" s="26">
        <f t="shared" ca="1" si="61"/>
        <v>0</v>
      </c>
      <c r="L164" s="30">
        <f ca="1">SUM(G164:K164)</f>
        <v>0</v>
      </c>
    </row>
    <row r="165" spans="1:12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J165" ca="1" si="62">SUM(F162:F164)</f>
        <v>0</v>
      </c>
      <c r="G165" s="26">
        <f t="shared" ca="1" si="62"/>
        <v>0</v>
      </c>
      <c r="H165" s="26">
        <f t="shared" ca="1" si="62"/>
        <v>0</v>
      </c>
      <c r="I165" s="26">
        <f t="shared" ca="1" si="62"/>
        <v>0</v>
      </c>
      <c r="J165" s="26">
        <f t="shared" ca="1" si="62"/>
        <v>0</v>
      </c>
      <c r="L165" s="30">
        <f ca="1">SUM(G165:K165)</f>
        <v>0</v>
      </c>
    </row>
    <row r="166" spans="1:12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ca="1">F165*$B139</f>
        <v>0</v>
      </c>
      <c r="G166" s="26">
        <f ca="1">G165*$B139</f>
        <v>0</v>
      </c>
      <c r="H166" s="26">
        <f ca="1">H165*$B139</f>
        <v>0</v>
      </c>
      <c r="I166" s="26">
        <f ca="1">I165*$B139</f>
        <v>0</v>
      </c>
      <c r="J166" s="26">
        <f ca="1">J165*$B139</f>
        <v>0</v>
      </c>
      <c r="L166" s="30">
        <f ca="1">SUM(G166:K166)</f>
        <v>0</v>
      </c>
    </row>
    <row r="167" spans="1:12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J167" si="63">F159*$B163*$E167/PRJ_Step</f>
        <v>0</v>
      </c>
      <c r="G167" s="26">
        <f t="shared" si="63"/>
        <v>0</v>
      </c>
      <c r="H167" s="26">
        <f t="shared" si="63"/>
        <v>0</v>
      </c>
      <c r="I167" s="26">
        <f t="shared" si="63"/>
        <v>0</v>
      </c>
      <c r="J167" s="26">
        <f t="shared" si="63"/>
        <v>0</v>
      </c>
      <c r="K167" s="26"/>
      <c r="L167" s="26"/>
    </row>
    <row r="168" spans="1:12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" ca="1" si="64">E168+F163-F159*$B163</f>
        <v>0</v>
      </c>
      <c r="G168" s="26">
        <f t="shared" ref="G168" ca="1" si="65">F168+G163-G159*$B163</f>
        <v>0</v>
      </c>
      <c r="H168" s="26">
        <f t="shared" ref="H168" ca="1" si="66">G168+H163-H159*$B163</f>
        <v>0</v>
      </c>
      <c r="I168" s="26">
        <f t="shared" ref="I168" ca="1" si="67">H168+I163-I159*$B163</f>
        <v>0</v>
      </c>
      <c r="J168" s="26">
        <f t="shared" ref="J168" ca="1" si="68">I168+J163-J159*$B163</f>
        <v>0</v>
      </c>
      <c r="K168" s="26"/>
      <c r="L168" s="26"/>
    </row>
    <row r="169" spans="1:12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J169" si="69">F159*$B164*$E169/PRJ_Step</f>
        <v>0</v>
      </c>
      <c r="G169" s="26">
        <f t="shared" si="69"/>
        <v>0</v>
      </c>
      <c r="H169" s="26">
        <f t="shared" si="69"/>
        <v>0</v>
      </c>
      <c r="I169" s="26">
        <f t="shared" si="69"/>
        <v>0</v>
      </c>
      <c r="J169" s="26">
        <f t="shared" si="69"/>
        <v>0</v>
      </c>
      <c r="K169" s="26"/>
      <c r="L169" s="26"/>
    </row>
    <row r="170" spans="1:12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" ca="1" si="70">E170+F159*$B164-F164</f>
        <v>0</v>
      </c>
      <c r="G170" s="26">
        <f t="shared" ref="G170" ca="1" si="71">F170+G159*$B164-G164</f>
        <v>0</v>
      </c>
      <c r="H170" s="26">
        <f t="shared" ref="H170" ca="1" si="72">G170+H159*$B164-H164</f>
        <v>0</v>
      </c>
      <c r="I170" s="26">
        <f t="shared" ref="I170" ca="1" si="73">H170+I159*$B164-I164</f>
        <v>0</v>
      </c>
      <c r="J170" s="26">
        <f t="shared" ref="J170" ca="1" si="74">I170+J159*$B164-J164</f>
        <v>0</v>
      </c>
      <c r="K170" s="26"/>
      <c r="L170" s="26"/>
    </row>
    <row r="171" spans="1:12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ca="1">SUMIF($D144:$D171,"*1_01*",G144:G171)+SUMIF($D144:$D171,"*2_01*",G144:G171)*G$98</f>
        <v>405000</v>
      </c>
      <c r="H172" s="26">
        <f ca="1">SUMIF($D144:$D171,"*1_01*",H144:H171)+SUMIF($D144:$D171,"*2_01*",H144:H171)*H$98</f>
        <v>890999.99999999988</v>
      </c>
      <c r="I172" s="26">
        <f ca="1">SUMIF($D144:$D171,"*1_01*",I144:I171)+SUMIF($D144:$D171,"*2_01*",I144:I171)*I$98</f>
        <v>980100</v>
      </c>
      <c r="J172" s="26">
        <f ca="1">SUMIF($D144:$D171,"*1_01*",J144:J171)+SUMIF($D144:$D171,"*2_01*",J144:J171)*J$98</f>
        <v>1078110</v>
      </c>
      <c r="K172" s="26"/>
      <c r="L172" s="27">
        <f ca="1">SUM(G172:K172)</f>
        <v>3354210</v>
      </c>
    </row>
    <row r="173" spans="1:12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>SUMIF($D144:$D171,"*1_02*",G144:G171)+SUMIF($D144:$D171,"*2_02*",G144:G171)*G$98</f>
        <v>361607.14285714284</v>
      </c>
      <c r="H173" s="26">
        <f>SUMIF($D144:$D171,"*1_02*",H144:H171)+SUMIF($D144:$D171,"*2_02*",H144:H171)*H$98</f>
        <v>795535.7142857142</v>
      </c>
      <c r="I173" s="26">
        <f>SUMIF($D144:$D171,"*1_02*",I144:I171)+SUMIF($D144:$D171,"*2_02*",I144:I171)*I$98</f>
        <v>875089.28571428568</v>
      </c>
      <c r="J173" s="26">
        <f>SUMIF($D144:$D171,"*1_02*",J144:J171)+SUMIF($D144:$D171,"*2_02*",J144:J171)*J$98</f>
        <v>962598.21428571432</v>
      </c>
      <c r="K173" s="26"/>
      <c r="L173" s="30">
        <f t="shared" ref="L173:L180" si="75">SUM(G173:K173)</f>
        <v>2994830.3571428573</v>
      </c>
    </row>
    <row r="174" spans="1:12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>SUMIF($D144:$D171,"*1_03*",G144:G171)+SUMIF($D144:$D171,"*2_03*",G144:G171)*G$98</f>
        <v>0</v>
      </c>
      <c r="H174" s="26">
        <f>SUMIF($D144:$D171,"*1_03*",H144:H171)+SUMIF($D144:$D171,"*2_03*",H144:H171)*H$98</f>
        <v>0</v>
      </c>
      <c r="I174" s="26">
        <f>SUMIF($D144:$D171,"*1_03*",I144:I171)+SUMIF($D144:$D171,"*2_03*",I144:I171)*I$98</f>
        <v>0</v>
      </c>
      <c r="J174" s="26">
        <f>SUMIF($D144:$D171,"*1_03*",J144:J171)+SUMIF($D144:$D171,"*2_03*",J144:J171)*J$98</f>
        <v>0</v>
      </c>
      <c r="K174" s="26"/>
      <c r="L174" s="30">
        <f t="shared" si="75"/>
        <v>0</v>
      </c>
    </row>
    <row r="175" spans="1:12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30"/>
    </row>
    <row r="176" spans="1:12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76">CUR_Main</f>
        <v>$</v>
      </c>
      <c r="F176" s="26"/>
      <c r="G176" s="26">
        <f>SUMIF($D144:$D171,"*1_04*",G144:G171)+SUMIF($D144:$D171,"*2_04*",G144:G171)*G$98</f>
        <v>361607.14285714284</v>
      </c>
      <c r="H176" s="26">
        <f>SUMIF($D144:$D171,"*1_04*",H144:H171)+SUMIF($D144:$D171,"*2_04*",H144:H171)*H$98</f>
        <v>795535.7142857142</v>
      </c>
      <c r="I176" s="26">
        <f>SUMIF($D144:$D171,"*1_04*",I144:I171)+SUMIF($D144:$D171,"*2_04*",I144:I171)*I$98</f>
        <v>875089.28571428568</v>
      </c>
      <c r="J176" s="26">
        <f>SUMIF($D144:$D171,"*1_04*",J144:J171)+SUMIF($D144:$D171,"*2_04*",J144:J171)*J$98</f>
        <v>962598.21428571432</v>
      </c>
      <c r="K176" s="26"/>
      <c r="L176" s="30">
        <f t="shared" si="75"/>
        <v>2994830.3571428573</v>
      </c>
    </row>
    <row r="177" spans="1:12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76"/>
        <v>$</v>
      </c>
      <c r="F177" s="26">
        <f ca="1">SUMIF($D144:$D171,"*1_05*",F144:F171)+SUMIF($D144:$D171,"*2_05*",F144:F171)*F$98</f>
        <v>0</v>
      </c>
      <c r="G177" s="26">
        <f ca="1">SUMIF($D144:$D171,"*1_05*",G144:G171)+SUMIF($D144:$D171,"*2_05*",G144:G171)*G$98</f>
        <v>0</v>
      </c>
      <c r="H177" s="26">
        <f ca="1">SUMIF($D144:$D171,"*1_05*",H144:H171)+SUMIF($D144:$D171,"*2_05*",H144:H171)*H$98</f>
        <v>0</v>
      </c>
      <c r="I177" s="26">
        <f ca="1">SUMIF($D144:$D171,"*1_05*",I144:I171)+SUMIF($D144:$D171,"*2_05*",I144:I171)*I$98</f>
        <v>0</v>
      </c>
      <c r="J177" s="26">
        <f ca="1">SUMIF($D144:$D171,"*1_05*",J144:J171)+SUMIF($D144:$D171,"*2_05*",J144:J171)*J$98</f>
        <v>0</v>
      </c>
      <c r="K177" s="26"/>
      <c r="L177" s="30">
        <f t="shared" ca="1" si="75"/>
        <v>0</v>
      </c>
    </row>
    <row r="178" spans="1:12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76"/>
        <v>$</v>
      </c>
      <c r="F178" s="26">
        <f ca="1">SUMIF($D144:$D171,"*1_06*",F144:F171)+SUMIF($D144:$D171,"*2_06*",F144:F171)*F$98</f>
        <v>0</v>
      </c>
      <c r="G178" s="26">
        <f ca="1">SUMIF($D144:$D171,"*1_06*",G144:G171)+SUMIF($D144:$D171,"*2_06*",G144:G171)*G$98</f>
        <v>0</v>
      </c>
      <c r="H178" s="26">
        <f ca="1">SUMIF($D144:$D171,"*1_06*",H144:H171)+SUMIF($D144:$D171,"*2_06*",H144:H171)*H$98</f>
        <v>0</v>
      </c>
      <c r="I178" s="26">
        <f ca="1">SUMIF($D144:$D171,"*1_06*",I144:I171)+SUMIF($D144:$D171,"*2_06*",I144:I171)*I$98</f>
        <v>0</v>
      </c>
      <c r="J178" s="26">
        <f ca="1">SUMIF($D144:$D171,"*1_06*",J144:J171)+SUMIF($D144:$D171,"*2_06*",J144:J171)*J$98</f>
        <v>0</v>
      </c>
      <c r="K178" s="26"/>
      <c r="L178" s="30">
        <f t="shared" ca="1" si="75"/>
        <v>0</v>
      </c>
    </row>
    <row r="179" spans="1:12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76"/>
        <v>$</v>
      </c>
      <c r="F179" s="26">
        <f ca="1">SUMIF($D144:$D171,"*1_07*",F144:F171)+SUMIF($D144:$D171,"*2_07*",F144:F171)*F$98</f>
        <v>0</v>
      </c>
      <c r="G179" s="26">
        <f ca="1">SUMIF($D144:$D171,"*1_07*",G144:G171)+SUMIF($D144:$D171,"*2_07*",G144:G171)*G$98</f>
        <v>361607.14285714284</v>
      </c>
      <c r="H179" s="26">
        <f ca="1">SUMIF($D144:$D171,"*1_07*",H144:H171)+SUMIF($D144:$D171,"*2_07*",H144:H171)*H$98</f>
        <v>795535.7142857142</v>
      </c>
      <c r="I179" s="26">
        <f ca="1">SUMIF($D144:$D171,"*1_07*",I144:I171)+SUMIF($D144:$D171,"*2_07*",I144:I171)*I$98</f>
        <v>875089.28571428568</v>
      </c>
      <c r="J179" s="26">
        <f ca="1">SUMIF($D144:$D171,"*1_07*",J144:J171)+SUMIF($D144:$D171,"*2_07*",J144:J171)*J$98</f>
        <v>962598.21428571432</v>
      </c>
      <c r="K179" s="26"/>
      <c r="L179" s="30">
        <f t="shared" ca="1" si="75"/>
        <v>2994830.3571428573</v>
      </c>
    </row>
    <row r="180" spans="1:12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76"/>
        <v>$</v>
      </c>
      <c r="F180" s="26">
        <f ca="1">SUMIF($D144:$D171,"*1_08*",F144:F171)+SUMIF($D144:$D171,"*2_08*",F144:F171)*F$98</f>
        <v>0</v>
      </c>
      <c r="G180" s="26">
        <f ca="1">SUMIF($D144:$D171,"*1_08*",G144:G171)+SUMIF($D144:$D171,"*2_08*",G144:G171)*G$98</f>
        <v>43392.857142857138</v>
      </c>
      <c r="H180" s="26">
        <f ca="1">SUMIF($D144:$D171,"*1_08*",H144:H171)+SUMIF($D144:$D171,"*2_08*",H144:H171)*H$98</f>
        <v>95464.285714285696</v>
      </c>
      <c r="I180" s="26">
        <f ca="1">SUMIF($D144:$D171,"*1_08*",I144:I171)+SUMIF($D144:$D171,"*2_08*",I144:I171)*I$98</f>
        <v>105010.71428571428</v>
      </c>
      <c r="J180" s="26">
        <f ca="1">SUMIF($D144:$D171,"*1_08*",J144:J171)+SUMIF($D144:$D171,"*2_08*",J144:J171)*J$98</f>
        <v>115511.78571428571</v>
      </c>
      <c r="K180" s="26"/>
      <c r="L180" s="30">
        <f t="shared" ca="1" si="75"/>
        <v>359379.64285714284</v>
      </c>
    </row>
    <row r="181" spans="1:12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76"/>
        <v>$</v>
      </c>
      <c r="D181" s="2" t="s">
        <v>1737</v>
      </c>
      <c r="F181" s="26">
        <f>SUMIF($D144:$D171,"*1_09*",F144:F171)+SUMIF($D144:$D171,"*2_09*",F144:F171)*F$98</f>
        <v>0</v>
      </c>
      <c r="G181" s="26">
        <f>SUMIF($D144:$D171,"*1_09*",G144:G171)+SUMIF($D144:$D171,"*2_09*",G144:G171)*G$98</f>
        <v>0</v>
      </c>
      <c r="H181" s="26">
        <f>SUMIF($D144:$D171,"*1_09*",H144:H171)+SUMIF($D144:$D171,"*2_09*",H144:H171)*H$98</f>
        <v>0</v>
      </c>
      <c r="I181" s="26">
        <f>SUMIF($D144:$D171,"*1_09*",I144:I171)+SUMIF($D144:$D171,"*2_09*",I144:I171)*I$98</f>
        <v>0</v>
      </c>
      <c r="J181" s="26">
        <f>SUMIF($D144:$D171,"*1_09*",J144:J171)+SUMIF($D144:$D171,"*2_09*",J144:J171)*J$98</f>
        <v>0</v>
      </c>
      <c r="K181" s="26"/>
      <c r="L181" s="30"/>
    </row>
    <row r="182" spans="1:12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76"/>
        <v>$</v>
      </c>
      <c r="D182" s="2" t="s">
        <v>1737</v>
      </c>
      <c r="F182" s="26">
        <f ca="1">SUMIF($D144:$D171,"*1_10*",F144:F171)+SUMIF($D144:$D171,"*2_10*",F144:F171)*F$98</f>
        <v>0</v>
      </c>
      <c r="G182" s="26">
        <f ca="1">SUMIF($D144:$D171,"*1_10*",G144:G171)+SUMIF($D144:$D171,"*2_10*",G144:G171)*G$98</f>
        <v>0</v>
      </c>
      <c r="H182" s="26">
        <f ca="1">SUMIF($D144:$D171,"*1_10*",H144:H171)+SUMIF($D144:$D171,"*2_10*",H144:H171)*H$98</f>
        <v>0</v>
      </c>
      <c r="I182" s="26">
        <f ca="1">SUMIF($D144:$D171,"*1_10*",I144:I171)+SUMIF($D144:$D171,"*2_10*",I144:I171)*I$98</f>
        <v>0</v>
      </c>
      <c r="J182" s="26">
        <f ca="1">SUMIF($D144:$D171,"*1_10*",J144:J171)+SUMIF($D144:$D171,"*2_10*",J144:J171)*J$98</f>
        <v>0</v>
      </c>
      <c r="K182" s="26"/>
      <c r="L182" s="30"/>
    </row>
    <row r="183" spans="1:12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76"/>
        <v>$</v>
      </c>
      <c r="D183" s="2" t="s">
        <v>1737</v>
      </c>
      <c r="F183" s="26">
        <f>SUMIF($D144:$D171,"*1_11*",F144:F171)+SUMIF($D144:$D171,"*2_11*",F144:F171)*F$98</f>
        <v>0</v>
      </c>
      <c r="G183" s="26">
        <f>SUMIF($D144:$D171,"*1_11*",G144:G171)+SUMIF($D144:$D171,"*2_11*",G144:G171)*G$98</f>
        <v>0</v>
      </c>
      <c r="H183" s="26">
        <f>SUMIF($D144:$D171,"*1_11*",H144:H171)+SUMIF($D144:$D171,"*2_11*",H144:H171)*H$98</f>
        <v>0</v>
      </c>
      <c r="I183" s="26">
        <f>SUMIF($D144:$D171,"*1_11*",I144:I171)+SUMIF($D144:$D171,"*2_11*",I144:I171)*I$98</f>
        <v>0</v>
      </c>
      <c r="J183" s="26">
        <f>SUMIF($D144:$D171,"*1_11*",J144:J171)+SUMIF($D144:$D171,"*2_11*",J144:J171)*J$98</f>
        <v>0</v>
      </c>
      <c r="K183" s="26"/>
      <c r="L183" s="30"/>
    </row>
    <row r="184" spans="1:12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76"/>
        <v>$</v>
      </c>
      <c r="D184" s="2" t="s">
        <v>1737</v>
      </c>
      <c r="F184" s="26">
        <f ca="1">SUMIF($D144:$D171,"*1_12*",F144:F171)+SUMIF($D144:$D171,"*2_12*",F144:F171)*F$98</f>
        <v>0</v>
      </c>
      <c r="G184" s="26">
        <f ca="1">SUMIF($D144:$D171,"*1_12*",G144:G171)+SUMIF($D144:$D171,"*2_12*",G144:G171)*G$98</f>
        <v>0</v>
      </c>
      <c r="H184" s="26">
        <f ca="1">SUMIF($D144:$D171,"*1_12*",H144:H171)+SUMIF($D144:$D171,"*2_12*",H144:H171)*H$98</f>
        <v>0</v>
      </c>
      <c r="I184" s="26">
        <f ca="1">SUMIF($D144:$D171,"*1_12*",I144:I171)+SUMIF($D144:$D171,"*2_12*",I144:I171)*I$98</f>
        <v>0</v>
      </c>
      <c r="J184" s="26">
        <f ca="1">SUMIF($D144:$D171,"*1_12*",J144:J171)+SUMIF($D144:$D171,"*2_12*",J144:J171)*J$98</f>
        <v>0</v>
      </c>
      <c r="K184" s="26"/>
      <c r="L184" s="30"/>
    </row>
    <row r="185" spans="1:12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</row>
    <row r="186" spans="1:12" ht="12" outlineLevel="1" thickBot="1"/>
    <row r="187" spans="1:12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J187" si="77">PeriodTitle</f>
        <v>"0"</v>
      </c>
      <c r="G187" s="19">
        <f t="shared" si="77"/>
        <v>2013</v>
      </c>
      <c r="H187" s="19">
        <f t="shared" si="77"/>
        <v>2014</v>
      </c>
      <c r="I187" s="19">
        <f t="shared" si="77"/>
        <v>2015</v>
      </c>
      <c r="J187" s="19">
        <f t="shared" si="77"/>
        <v>2016</v>
      </c>
      <c r="K187" s="19"/>
      <c r="L187" s="23" t="str">
        <f ca="1">OFFSET(Язык!$A$77,0,LANGUAGE)</f>
        <v>ИТОГО</v>
      </c>
    </row>
    <row r="188" spans="1:12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</row>
    <row r="189" spans="1:12" outlineLevel="1">
      <c r="A189" s="11" t="str">
        <f>A115</f>
        <v>Услуги по химчистке</v>
      </c>
      <c r="B189" s="7">
        <v>1</v>
      </c>
      <c r="C189" s="12" t="str">
        <f ca="1">CHOOSE(B189,CUR_Main,CUR_Foreign) &amp; " / " &amp; C115</f>
        <v>$ / кг</v>
      </c>
      <c r="D189" s="11" t="s">
        <v>1747</v>
      </c>
      <c r="E189" s="11"/>
      <c r="F189" s="228">
        <v>0</v>
      </c>
      <c r="G189" s="228">
        <v>10</v>
      </c>
      <c r="H189" s="228">
        <f t="shared" ref="H189:J189" si="78">G189*CHOOSE($B189,H$94,H$104)</f>
        <v>11</v>
      </c>
      <c r="I189" s="228">
        <f t="shared" si="78"/>
        <v>12.100000000000001</v>
      </c>
      <c r="J189" s="228">
        <f t="shared" si="78"/>
        <v>13.310000000000002</v>
      </c>
      <c r="K189" s="11"/>
      <c r="L189" s="146"/>
    </row>
    <row r="190" spans="1:12" outlineLevel="1">
      <c r="A190" s="11">
        <f>A116</f>
        <v>0</v>
      </c>
      <c r="B190" s="7">
        <v>1</v>
      </c>
      <c r="C190" s="12" t="str">
        <f ca="1">CHOOSE(B190,CUR_Main,CUR_Foreign) &amp; " / " &amp; C116</f>
        <v xml:space="preserve">$ / </v>
      </c>
      <c r="D190" s="11" t="s">
        <v>1747</v>
      </c>
      <c r="E190" s="11"/>
      <c r="F190" s="228">
        <v>0</v>
      </c>
      <c r="G190" s="228">
        <v>0</v>
      </c>
      <c r="H190" s="228">
        <f t="shared" ref="H190" si="79">G190*CHOOSE($B190,H$94,H$104)</f>
        <v>0</v>
      </c>
      <c r="I190" s="228">
        <f t="shared" ref="I190" si="80">H190*CHOOSE($B190,I$94,I$104)</f>
        <v>0</v>
      </c>
      <c r="J190" s="228">
        <f t="shared" ref="J190" si="81">I190*CHOOSE($B190,J$94,J$104)</f>
        <v>0</v>
      </c>
      <c r="K190" s="11"/>
      <c r="L190" s="146"/>
    </row>
    <row r="191" spans="1:12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" outlineLevel="1" thickBot="1"/>
    <row r="194" spans="1:12" ht="15.95" customHeight="1" collapsed="1" thickTop="1" thickBot="1">
      <c r="A194" s="18"/>
      <c r="B194" s="23"/>
      <c r="C194" s="19"/>
      <c r="D194" s="18"/>
      <c r="E194" s="18"/>
      <c r="F194" s="19" t="str">
        <f t="shared" ref="F194:J194" si="82">PeriodTitle</f>
        <v>"0"</v>
      </c>
      <c r="G194" s="19">
        <f t="shared" si="82"/>
        <v>2013</v>
      </c>
      <c r="H194" s="19">
        <f t="shared" si="82"/>
        <v>2014</v>
      </c>
      <c r="I194" s="19">
        <f t="shared" si="82"/>
        <v>2015</v>
      </c>
      <c r="J194" s="19">
        <f t="shared" si="82"/>
        <v>2016</v>
      </c>
      <c r="K194" s="19"/>
      <c r="L194" s="23" t="str">
        <f ca="1">OFFSET(Язык!$A$77,0,LANGUAGE)</f>
        <v>ИТОГО</v>
      </c>
    </row>
    <row r="195" spans="1:12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</row>
    <row r="196" spans="1:12" ht="12.75" hidden="1" outlineLevel="1" thickTop="1" thickBot="1">
      <c r="A196" s="11" t="str">
        <f>A123</f>
        <v>Услуги по химчистке</v>
      </c>
      <c r="B196" s="147"/>
      <c r="C196" s="12" t="str">
        <f ca="1">CHOOSE(B189,CUR_Main,CUR_Foreign) &amp; " / " &amp; C123</f>
        <v>$ / кг</v>
      </c>
      <c r="D196" s="11" t="s">
        <v>1747</v>
      </c>
      <c r="E196" s="11"/>
      <c r="F196" s="228">
        <v>0</v>
      </c>
      <c r="G196" s="228">
        <f t="shared" ref="G196:J196" si="83">F196*G$94</f>
        <v>0</v>
      </c>
      <c r="H196" s="228">
        <f t="shared" si="83"/>
        <v>0</v>
      </c>
      <c r="I196" s="228">
        <f t="shared" si="83"/>
        <v>0</v>
      </c>
      <c r="J196" s="228">
        <f t="shared" si="83"/>
        <v>0</v>
      </c>
      <c r="K196" s="11"/>
      <c r="L196" s="146"/>
    </row>
    <row r="197" spans="1:12" ht="12.75" hidden="1" outlineLevel="1" thickTop="1" thickBot="1">
      <c r="A197" s="11">
        <f>A124</f>
        <v>0</v>
      </c>
      <c r="B197" s="147"/>
      <c r="C197" s="12" t="str">
        <f ca="1">CHOOSE(B190,CUR_Main,CUR_Foreign) &amp; " / " &amp; C124</f>
        <v>$ / 0</v>
      </c>
      <c r="D197" s="11" t="s">
        <v>1747</v>
      </c>
      <c r="E197" s="11"/>
      <c r="F197" s="228">
        <v>0</v>
      </c>
      <c r="G197" s="228">
        <f t="shared" ref="G197" si="84">F197*G$94</f>
        <v>0</v>
      </c>
      <c r="H197" s="228">
        <f t="shared" ref="H197" si="85">G197*H$94</f>
        <v>0</v>
      </c>
      <c r="I197" s="228">
        <f t="shared" ref="I197" si="86">H197*I$94</f>
        <v>0</v>
      </c>
      <c r="J197" s="228">
        <f t="shared" ref="J197" si="87">I197*J$94</f>
        <v>0</v>
      </c>
      <c r="K197" s="11"/>
      <c r="L197" s="146"/>
    </row>
    <row r="198" spans="1:12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hidden="1" outlineLevel="1" thickTop="1" thickBot="1"/>
    <row r="201" spans="1:12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J201" si="88">PeriodTitle</f>
        <v>"0"</v>
      </c>
      <c r="G201" s="19">
        <f t="shared" si="88"/>
        <v>2013</v>
      </c>
      <c r="H201" s="19">
        <f t="shared" si="88"/>
        <v>2014</v>
      </c>
      <c r="I201" s="19">
        <f t="shared" si="88"/>
        <v>2015</v>
      </c>
      <c r="J201" s="19">
        <f t="shared" si="88"/>
        <v>2016</v>
      </c>
      <c r="K201" s="19"/>
      <c r="L201" s="23" t="str">
        <f ca="1">OFFSET(Язык!$A$77,0,LANGUAGE)</f>
        <v>ИТОГО</v>
      </c>
    </row>
    <row r="202" spans="1:12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151"/>
    </row>
    <row r="203" spans="1:12" outlineLevel="1" collapsed="1">
      <c r="A203" s="45" t="str">
        <f>A115</f>
        <v>Услуги по химчистке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t="shared" ref="G203:I203" ca="1" si="89">G222+G223+G208</f>
        <v>134999.99999999997</v>
      </c>
      <c r="H203" s="149">
        <f t="shared" ca="1" si="89"/>
        <v>297000</v>
      </c>
      <c r="I203" s="149">
        <f t="shared" ca="1" si="89"/>
        <v>326700</v>
      </c>
      <c r="J203" s="149">
        <f t="shared" ref="J203" ca="1" si="90">J222+J223+J208</f>
        <v>359370.00000000006</v>
      </c>
      <c r="K203" s="11"/>
      <c r="L203" s="150">
        <f ca="1">SUM(G203:J203)</f>
        <v>1118070</v>
      </c>
    </row>
    <row r="204" spans="1:12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кг</v>
      </c>
      <c r="D204" s="2" t="s">
        <v>1737</v>
      </c>
      <c r="F204" s="25"/>
      <c r="G204" s="25">
        <f>G123*$B204/PRJ_Step</f>
        <v>0</v>
      </c>
      <c r="H204" s="25">
        <f>H123*$B204/PRJ_Step</f>
        <v>0</v>
      </c>
      <c r="I204" s="25">
        <f>I123*$B204/PRJ_Step</f>
        <v>0</v>
      </c>
      <c r="J204" s="25">
        <f>J123*$B204/PRJ_Step</f>
        <v>0</v>
      </c>
      <c r="L204" s="30"/>
    </row>
    <row r="205" spans="1:12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кг</v>
      </c>
      <c r="D205" s="2" t="s">
        <v>1737</v>
      </c>
      <c r="F205" s="25">
        <v>0</v>
      </c>
      <c r="G205" s="25">
        <f>F205+G206-G123</f>
        <v>0</v>
      </c>
      <c r="H205" s="25">
        <f>G205+H206-H123</f>
        <v>0</v>
      </c>
      <c r="I205" s="25">
        <f>H205+I206-I123</f>
        <v>0</v>
      </c>
      <c r="J205" s="25">
        <f>I205+J206-J123</f>
        <v>0</v>
      </c>
      <c r="L205" s="30"/>
    </row>
    <row r="206" spans="1:12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кг</v>
      </c>
      <c r="D206" s="43"/>
      <c r="E206" s="43"/>
      <c r="F206" s="46"/>
      <c r="G206" s="40">
        <f>IF((INT(G123)-G123)&gt;0.01,MAX(G123+G204-F205,0),ROUNDUP(MAX(G123+G204-F205,0),0))</f>
        <v>13500</v>
      </c>
      <c r="H206" s="40">
        <f>IF((INT(H123)-H123)&gt;0.01,MAX(H123+H204-G205,0),ROUNDUP(MAX(H123+H204-G205,0),0))</f>
        <v>27000</v>
      </c>
      <c r="I206" s="40">
        <f>IF((INT(I123)-I123)&gt;0.01,MAX(I123+I204-H205,0),ROUNDUP(MAX(I123+I204-H205,0),0))</f>
        <v>27000</v>
      </c>
      <c r="J206" s="40">
        <f>IF((INT(J123)-J123)&gt;0.01,MAX(J123+J204-I205,0),ROUNDUP(MAX(J123+J204-I205,0),0))</f>
        <v>27000</v>
      </c>
      <c r="L206" s="30">
        <f>SUM(G206:J206)</f>
        <v>94500</v>
      </c>
    </row>
    <row r="207" spans="1:12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>G196*G123</f>
        <v>0</v>
      </c>
      <c r="H207" s="25">
        <f>H196*H123</f>
        <v>0</v>
      </c>
      <c r="I207" s="25">
        <f>I196*I123</f>
        <v>0</v>
      </c>
      <c r="J207" s="25">
        <f>J196*J123</f>
        <v>0</v>
      </c>
      <c r="L207" s="30">
        <f>SUM(G207:J207)</f>
        <v>0</v>
      </c>
    </row>
    <row r="208" spans="1:12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>G196*G206</f>
        <v>0</v>
      </c>
      <c r="H208" s="25">
        <f>H196*H206</f>
        <v>0</v>
      </c>
      <c r="I208" s="25">
        <f>I196*I206</f>
        <v>0</v>
      </c>
      <c r="J208" s="25">
        <f>J196*J206</f>
        <v>0</v>
      </c>
      <c r="L208" s="30">
        <f>SUM(G208:J208)</f>
        <v>0</v>
      </c>
    </row>
    <row r="209" spans="1:12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 t="shared" ref="G209:J209" si="91">F209+G208-G207</f>
        <v>0</v>
      </c>
      <c r="H209" s="25">
        <f t="shared" si="91"/>
        <v>0</v>
      </c>
      <c r="I209" s="25">
        <f t="shared" si="91"/>
        <v>0</v>
      </c>
      <c r="J209" s="25">
        <f t="shared" si="91"/>
        <v>0</v>
      </c>
      <c r="L209" s="30"/>
    </row>
    <row r="210" spans="1:12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>G189/(1+$B223)*G123</f>
        <v>120535.71428571426</v>
      </c>
      <c r="H210" s="25">
        <f>H189/(1+$B223)*H123</f>
        <v>265178.57142857142</v>
      </c>
      <c r="I210" s="25">
        <f>I189/(1+$B223)*I123</f>
        <v>291696.42857142858</v>
      </c>
      <c r="J210" s="25">
        <f>J189/(1+$B223)*J123</f>
        <v>320866.07142857148</v>
      </c>
      <c r="L210" s="30">
        <f>SUM(G210:J210)</f>
        <v>998276.7857142858</v>
      </c>
    </row>
    <row r="211" spans="1:12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>G189/(1+$B223)*G206</f>
        <v>120535.71428571426</v>
      </c>
      <c r="H211" s="25">
        <f>H189/(1+$B223)*H206</f>
        <v>265178.57142857142</v>
      </c>
      <c r="I211" s="25">
        <f>I189/(1+$B223)*I206</f>
        <v>291696.42857142858</v>
      </c>
      <c r="J211" s="25">
        <f>J189/(1+$B223)*J206</f>
        <v>320866.07142857148</v>
      </c>
      <c r="L211" s="30">
        <f>SUM(G211:J211)</f>
        <v>998276.7857142858</v>
      </c>
    </row>
    <row r="212" spans="1:12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 t="shared" ref="G212:J212" si="92">F212+G211-G210</f>
        <v>0</v>
      </c>
      <c r="H212" s="25">
        <f t="shared" si="92"/>
        <v>0</v>
      </c>
      <c r="I212" s="25">
        <f t="shared" si="92"/>
        <v>0</v>
      </c>
      <c r="J212" s="25">
        <f t="shared" si="92"/>
        <v>0</v>
      </c>
      <c r="L212" s="30"/>
    </row>
    <row r="213" spans="1:12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 t="shared" ref="G213:I213" si="93">G211*$B213/PRJ_Step</f>
        <v>0</v>
      </c>
      <c r="H213" s="25">
        <f t="shared" si="93"/>
        <v>0</v>
      </c>
      <c r="I213" s="25">
        <f t="shared" si="93"/>
        <v>0</v>
      </c>
      <c r="J213" s="25">
        <f t="shared" ref="J213" si="94">J211*$B213/PRJ_Step</f>
        <v>0</v>
      </c>
      <c r="L213" s="30"/>
    </row>
    <row r="214" spans="1:12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 t="shared" ref="G214:J214" si="95">G211+G213-F213</f>
        <v>120535.71428571426</v>
      </c>
      <c r="H214" s="25">
        <f t="shared" si="95"/>
        <v>265178.57142857142</v>
      </c>
      <c r="I214" s="25">
        <f t="shared" si="95"/>
        <v>291696.42857142858</v>
      </c>
      <c r="J214" s="25">
        <f t="shared" si="95"/>
        <v>320866.07142857148</v>
      </c>
      <c r="L214" s="30">
        <f>SUM(G214:J214)</f>
        <v>998276.7857142858</v>
      </c>
    </row>
    <row r="215" spans="1:12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1737</v>
      </c>
      <c r="F215" s="26"/>
      <c r="G215" s="26">
        <f t="shared" ref="G215:I215" si="96">G214*$B215/PRJ_Step</f>
        <v>0</v>
      </c>
      <c r="H215" s="26">
        <f t="shared" si="96"/>
        <v>0</v>
      </c>
      <c r="I215" s="26">
        <f t="shared" si="96"/>
        <v>0</v>
      </c>
      <c r="J215" s="26">
        <f t="shared" ref="J215" si="97">J214*$B215/PRJ_Step</f>
        <v>0</v>
      </c>
      <c r="L215" s="30"/>
    </row>
    <row r="216" spans="1:12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 t="shared" ref="G216:J216" si="98">F216+G217-G214</f>
        <v>0</v>
      </c>
      <c r="H216" s="26">
        <f t="shared" si="98"/>
        <v>0</v>
      </c>
      <c r="I216" s="26">
        <f t="shared" si="98"/>
        <v>0</v>
      </c>
      <c r="J216" s="26">
        <f t="shared" si="98"/>
        <v>0</v>
      </c>
      <c r="L216" s="30"/>
    </row>
    <row r="217" spans="1:12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 t="shared" ref="G217:J217" si="99">MAX(G214+G215-F216,0)</f>
        <v>120535.71428571426</v>
      </c>
      <c r="H217" s="40">
        <f t="shared" si="99"/>
        <v>265178.57142857142</v>
      </c>
      <c r="I217" s="40">
        <f t="shared" si="99"/>
        <v>291696.42857142858</v>
      </c>
      <c r="J217" s="40">
        <f t="shared" si="99"/>
        <v>320866.07142857148</v>
      </c>
      <c r="L217" s="30">
        <f>SUM(G217:J217)</f>
        <v>998276.7857142858</v>
      </c>
    </row>
    <row r="218" spans="1:12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L218" s="30"/>
    </row>
    <row r="219" spans="1:12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2043</v>
      </c>
      <c r="D219" s="2" t="str">
        <f>TEXT(B189,"0")&amp;"_11"</f>
        <v>1_11</v>
      </c>
      <c r="F219" s="26"/>
      <c r="G219" s="26">
        <f t="shared" ref="G219:I219" si="100">G217*$B219</f>
        <v>120535.71428571426</v>
      </c>
      <c r="H219" s="26">
        <f t="shared" si="100"/>
        <v>265178.57142857142</v>
      </c>
      <c r="I219" s="26">
        <f t="shared" si="100"/>
        <v>291696.42857142858</v>
      </c>
      <c r="J219" s="26">
        <f t="shared" ref="J219" si="101">J217*$B219</f>
        <v>320866.07142857148</v>
      </c>
      <c r="L219" s="30">
        <f>SUM(G219:J219)</f>
        <v>998276.7857142858</v>
      </c>
    </row>
    <row r="220" spans="1:12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I220" ca="1" si="102">IF((F$27+$E220)&lt;=PRJ_Len,OFFSET(F217,0,$E220)*$B220,0)</f>
        <v>0</v>
      </c>
      <c r="G220" s="26">
        <f t="shared" ca="1" si="102"/>
        <v>0</v>
      </c>
      <c r="H220" s="26">
        <f t="shared" ca="1" si="102"/>
        <v>0</v>
      </c>
      <c r="I220" s="26">
        <f t="shared" ca="1" si="102"/>
        <v>0</v>
      </c>
      <c r="J220" s="26">
        <f t="shared" ref="J220" ca="1" si="103">IF((J$27+$E220)&lt;=PRJ_Len,OFFSET(J217,0,$E220)*$B220,0)</f>
        <v>0</v>
      </c>
      <c r="L220" s="30">
        <f ca="1">SUM(G220:J220)</f>
        <v>0</v>
      </c>
    </row>
    <row r="221" spans="1:12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I221" ca="1" si="104">IF((F$27-$E221)&gt;=1,OFFSET(F217,0,-$E221)*$B221,0)</f>
        <v>0</v>
      </c>
      <c r="G221" s="26">
        <f t="shared" ca="1" si="104"/>
        <v>0</v>
      </c>
      <c r="H221" s="26">
        <f t="shared" ca="1" si="104"/>
        <v>0</v>
      </c>
      <c r="I221" s="26">
        <f t="shared" ca="1" si="104"/>
        <v>0</v>
      </c>
      <c r="J221" s="26">
        <f t="shared" ref="J221" ca="1" si="105">IF((J$27-$E221)&gt;=1,OFFSET(J217,0,-$E221)*$B221,0)</f>
        <v>0</v>
      </c>
      <c r="L221" s="30">
        <f ca="1">SUM(G221:J221)</f>
        <v>0</v>
      </c>
    </row>
    <row r="222" spans="1:12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I222" ca="1" si="106">SUM(F219:F221)</f>
        <v>0</v>
      </c>
      <c r="G222" s="26">
        <f t="shared" ca="1" si="106"/>
        <v>120535.71428571426</v>
      </c>
      <c r="H222" s="26">
        <f t="shared" ca="1" si="106"/>
        <v>265178.57142857142</v>
      </c>
      <c r="I222" s="26">
        <f t="shared" ca="1" si="106"/>
        <v>291696.42857142858</v>
      </c>
      <c r="J222" s="26">
        <f t="shared" ref="J222" ca="1" si="107">SUM(J219:J221)</f>
        <v>320866.07142857148</v>
      </c>
      <c r="L222" s="30">
        <f ca="1">SUM(G222:J222)</f>
        <v>998276.7857142858</v>
      </c>
    </row>
    <row r="223" spans="1:12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I223" ca="1" si="108">F222*$B223</f>
        <v>0</v>
      </c>
      <c r="G223" s="26">
        <f t="shared" ca="1" si="108"/>
        <v>14464.28571428571</v>
      </c>
      <c r="H223" s="26">
        <f t="shared" ca="1" si="108"/>
        <v>31821.428571428569</v>
      </c>
      <c r="I223" s="26">
        <f t="shared" ca="1" si="108"/>
        <v>35003.571428571428</v>
      </c>
      <c r="J223" s="26">
        <f t="shared" ref="J223" ca="1" si="109">J222*$B223</f>
        <v>38503.928571428572</v>
      </c>
      <c r="L223" s="30">
        <f ca="1">SUM(G223:J223)</f>
        <v>119793.21428571429</v>
      </c>
    </row>
    <row r="224" spans="1:12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I224" si="110">F217*$B220*$E224/PRJ_Step</f>
        <v>0</v>
      </c>
      <c r="G224" s="26">
        <f t="shared" si="110"/>
        <v>0</v>
      </c>
      <c r="H224" s="26">
        <f t="shared" si="110"/>
        <v>0</v>
      </c>
      <c r="I224" s="26">
        <f t="shared" si="110"/>
        <v>0</v>
      </c>
      <c r="J224" s="26">
        <f t="shared" ref="J224" si="111">J217*$B220*$E224/PRJ_Step</f>
        <v>0</v>
      </c>
      <c r="L224" s="30"/>
    </row>
    <row r="225" spans="1:12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J225" ca="1" si="112">E225+F220-F217*$B220</f>
        <v>0</v>
      </c>
      <c r="G225" s="26">
        <f t="shared" ca="1" si="112"/>
        <v>0</v>
      </c>
      <c r="H225" s="26">
        <f t="shared" ca="1" si="112"/>
        <v>0</v>
      </c>
      <c r="I225" s="26">
        <f t="shared" ca="1" si="112"/>
        <v>0</v>
      </c>
      <c r="J225" s="26">
        <f t="shared" ca="1" si="112"/>
        <v>0</v>
      </c>
      <c r="L225" s="30"/>
    </row>
    <row r="226" spans="1:12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I226" si="113">F217*$B221*$E226/PRJ_Step</f>
        <v>0</v>
      </c>
      <c r="G226" s="26">
        <f t="shared" si="113"/>
        <v>0</v>
      </c>
      <c r="H226" s="26">
        <f t="shared" si="113"/>
        <v>0</v>
      </c>
      <c r="I226" s="26">
        <f t="shared" si="113"/>
        <v>0</v>
      </c>
      <c r="J226" s="26">
        <f t="shared" ref="J226" si="114">J217*$B221*$E226/PRJ_Step</f>
        <v>0</v>
      </c>
      <c r="L226" s="30"/>
    </row>
    <row r="227" spans="1:12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J227" ca="1" si="115">E227+F217*$B221-F221</f>
        <v>0</v>
      </c>
      <c r="G227" s="26">
        <f t="shared" ca="1" si="115"/>
        <v>0</v>
      </c>
      <c r="H227" s="26">
        <f t="shared" ca="1" si="115"/>
        <v>0</v>
      </c>
      <c r="I227" s="26">
        <f t="shared" ca="1" si="115"/>
        <v>0</v>
      </c>
      <c r="J227" s="26">
        <f t="shared" ca="1" si="115"/>
        <v>0</v>
      </c>
      <c r="L227" s="30"/>
    </row>
    <row r="228" spans="1:12" outlineLevel="1" collapsed="1">
      <c r="A228" s="45">
        <f>A116</f>
        <v>0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t="shared" ref="G228:J228" ca="1" si="116">G247+G248+G233</f>
        <v>0</v>
      </c>
      <c r="H228" s="149">
        <f t="shared" ca="1" si="116"/>
        <v>0</v>
      </c>
      <c r="I228" s="149">
        <f t="shared" ca="1" si="116"/>
        <v>0</v>
      </c>
      <c r="J228" s="149">
        <f t="shared" ca="1" si="116"/>
        <v>0</v>
      </c>
      <c r="K228" s="11"/>
      <c r="L228" s="150">
        <f ca="1">SUM(G228:J228)</f>
        <v>0</v>
      </c>
    </row>
    <row r="229" spans="1:12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>
        <f>C116</f>
        <v>0</v>
      </c>
      <c r="D229" s="2" t="s">
        <v>1737</v>
      </c>
      <c r="F229" s="25"/>
      <c r="G229" s="25">
        <f>G124*$B229/PRJ_Step</f>
        <v>0</v>
      </c>
      <c r="H229" s="25">
        <f>H124*$B229/PRJ_Step</f>
        <v>0</v>
      </c>
      <c r="I229" s="25">
        <f>I124*$B229/PRJ_Step</f>
        <v>0</v>
      </c>
      <c r="J229" s="25">
        <f>J124*$B229/PRJ_Step</f>
        <v>0</v>
      </c>
      <c r="L229" s="30"/>
    </row>
    <row r="230" spans="1:12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>
        <f>C116</f>
        <v>0</v>
      </c>
      <c r="D230" s="2" t="s">
        <v>1737</v>
      </c>
      <c r="F230" s="25">
        <v>0</v>
      </c>
      <c r="G230" s="25">
        <f>F230+G231-G124</f>
        <v>0</v>
      </c>
      <c r="H230" s="25">
        <f>G230+H231-H124</f>
        <v>0</v>
      </c>
      <c r="I230" s="25">
        <f>H230+I231-I124</f>
        <v>0</v>
      </c>
      <c r="J230" s="25">
        <f>I230+J231-J124</f>
        <v>0</v>
      </c>
      <c r="L230" s="30"/>
    </row>
    <row r="231" spans="1:12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>
        <f>C116</f>
        <v>0</v>
      </c>
      <c r="D231" s="43"/>
      <c r="E231" s="43"/>
      <c r="F231" s="46"/>
      <c r="G231" s="40">
        <f>IF((INT(G124)-G124)&gt;0.01,MAX(G124+G229-F230,0),ROUNDUP(MAX(G124+G229-F230,0),0))</f>
        <v>0</v>
      </c>
      <c r="H231" s="40">
        <f>IF((INT(H124)-H124)&gt;0.01,MAX(H124+H229-G230,0),ROUNDUP(MAX(H124+H229-G230,0),0))</f>
        <v>0</v>
      </c>
      <c r="I231" s="40">
        <f>IF((INT(I124)-I124)&gt;0.01,MAX(I124+I229-H230,0),ROUNDUP(MAX(I124+I229-H230,0),0))</f>
        <v>0</v>
      </c>
      <c r="J231" s="40">
        <f>IF((INT(J124)-J124)&gt;0.01,MAX(J124+J229-I230,0),ROUNDUP(MAX(J124+J229-I230,0),0))</f>
        <v>0</v>
      </c>
      <c r="L231" s="30">
        <f>SUM(G231:J231)</f>
        <v>0</v>
      </c>
    </row>
    <row r="232" spans="1:12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>G197*G124</f>
        <v>0</v>
      </c>
      <c r="H232" s="25">
        <f>H197*H124</f>
        <v>0</v>
      </c>
      <c r="I232" s="25">
        <f>I197*I124</f>
        <v>0</v>
      </c>
      <c r="J232" s="25">
        <f>J197*J124</f>
        <v>0</v>
      </c>
      <c r="L232" s="30">
        <f>SUM(G232:J232)</f>
        <v>0</v>
      </c>
    </row>
    <row r="233" spans="1:12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>G197*G231</f>
        <v>0</v>
      </c>
      <c r="H233" s="25">
        <f>H197*H231</f>
        <v>0</v>
      </c>
      <c r="I233" s="25">
        <f>I197*I231</f>
        <v>0</v>
      </c>
      <c r="J233" s="25">
        <f>J197*J231</f>
        <v>0</v>
      </c>
      <c r="L233" s="30">
        <f>SUM(G233:J233)</f>
        <v>0</v>
      </c>
    </row>
    <row r="234" spans="1:12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 t="shared" ref="G234" si="117">F234+G233-G232</f>
        <v>0</v>
      </c>
      <c r="H234" s="25">
        <f t="shared" ref="H234" si="118">G234+H233-H232</f>
        <v>0</v>
      </c>
      <c r="I234" s="25">
        <f t="shared" ref="I234" si="119">H234+I233-I232</f>
        <v>0</v>
      </c>
      <c r="J234" s="25">
        <f t="shared" ref="J234" si="120">I234+J233-J232</f>
        <v>0</v>
      </c>
      <c r="L234" s="30"/>
    </row>
    <row r="235" spans="1:12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>G190/(1+$B248)*G124</f>
        <v>0</v>
      </c>
      <c r="H235" s="25">
        <f>H190/(1+$B248)*H124</f>
        <v>0</v>
      </c>
      <c r="I235" s="25">
        <f>I190/(1+$B248)*I124</f>
        <v>0</v>
      </c>
      <c r="J235" s="25">
        <f>J190/(1+$B248)*J124</f>
        <v>0</v>
      </c>
      <c r="L235" s="30">
        <f>SUM(G235:J235)</f>
        <v>0</v>
      </c>
    </row>
    <row r="236" spans="1:12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>G190/(1+$B248)*G231</f>
        <v>0</v>
      </c>
      <c r="H236" s="25">
        <f>H190/(1+$B248)*H231</f>
        <v>0</v>
      </c>
      <c r="I236" s="25">
        <f>I190/(1+$B248)*I231</f>
        <v>0</v>
      </c>
      <c r="J236" s="25">
        <f>J190/(1+$B248)*J231</f>
        <v>0</v>
      </c>
      <c r="L236" s="30">
        <f>SUM(G236:J236)</f>
        <v>0</v>
      </c>
    </row>
    <row r="237" spans="1:12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 t="shared" ref="G237" si="121">F237+G236-G235</f>
        <v>0</v>
      </c>
      <c r="H237" s="25">
        <f t="shared" ref="H237" si="122">G237+H236-H235</f>
        <v>0</v>
      </c>
      <c r="I237" s="25">
        <f t="shared" ref="I237" si="123">H237+I236-I235</f>
        <v>0</v>
      </c>
      <c r="J237" s="25">
        <f t="shared" ref="J237" si="124">I237+J236-J235</f>
        <v>0</v>
      </c>
      <c r="L237" s="30"/>
    </row>
    <row r="238" spans="1:12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 t="shared" ref="G238:J238" si="125">G236*$B238/PRJ_Step</f>
        <v>0</v>
      </c>
      <c r="H238" s="25">
        <f t="shared" si="125"/>
        <v>0</v>
      </c>
      <c r="I238" s="25">
        <f t="shared" si="125"/>
        <v>0</v>
      </c>
      <c r="J238" s="25">
        <f t="shared" si="125"/>
        <v>0</v>
      </c>
      <c r="L238" s="30"/>
    </row>
    <row r="239" spans="1:12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 t="shared" ref="G239" si="126">G236+G238-F238</f>
        <v>0</v>
      </c>
      <c r="H239" s="25">
        <f t="shared" ref="H239" si="127">H236+H238-G238</f>
        <v>0</v>
      </c>
      <c r="I239" s="25">
        <f t="shared" ref="I239" si="128">I236+I238-H238</f>
        <v>0</v>
      </c>
      <c r="J239" s="25">
        <f t="shared" ref="J239" si="129">J236+J238-I238</f>
        <v>0</v>
      </c>
      <c r="L239" s="30">
        <f>SUM(G239:J239)</f>
        <v>0</v>
      </c>
    </row>
    <row r="240" spans="1:12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1737</v>
      </c>
      <c r="F240" s="26"/>
      <c r="G240" s="26">
        <f t="shared" ref="G240:J240" si="130">G239*$B240/PRJ_Step</f>
        <v>0</v>
      </c>
      <c r="H240" s="26">
        <f t="shared" si="130"/>
        <v>0</v>
      </c>
      <c r="I240" s="26">
        <f t="shared" si="130"/>
        <v>0</v>
      </c>
      <c r="J240" s="26">
        <f t="shared" si="130"/>
        <v>0</v>
      </c>
      <c r="L240" s="30"/>
    </row>
    <row r="241" spans="1:12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 t="shared" ref="G241" si="131">F241+G242-G239</f>
        <v>0</v>
      </c>
      <c r="H241" s="26">
        <f t="shared" ref="H241" si="132">G241+H242-H239</f>
        <v>0</v>
      </c>
      <c r="I241" s="26">
        <f t="shared" ref="I241" si="133">H241+I242-I239</f>
        <v>0</v>
      </c>
      <c r="J241" s="26">
        <f t="shared" ref="J241" si="134">I241+J242-J239</f>
        <v>0</v>
      </c>
      <c r="L241" s="30"/>
    </row>
    <row r="242" spans="1:12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 t="shared" ref="G242" si="135">MAX(G239+G240-F241,0)</f>
        <v>0</v>
      </c>
      <c r="H242" s="40">
        <f t="shared" ref="H242" si="136">MAX(H239+H240-G241,0)</f>
        <v>0</v>
      </c>
      <c r="I242" s="40">
        <f t="shared" ref="I242" si="137">MAX(I239+I240-H241,0)</f>
        <v>0</v>
      </c>
      <c r="J242" s="40">
        <f t="shared" ref="J242" si="138">MAX(J239+J240-I241,0)</f>
        <v>0</v>
      </c>
      <c r="L242" s="30">
        <f>SUM(G242:J242)</f>
        <v>0</v>
      </c>
    </row>
    <row r="243" spans="1:12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L243" s="30"/>
    </row>
    <row r="244" spans="1:12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2043</v>
      </c>
      <c r="D244" s="2" t="str">
        <f>TEXT(B190,"0")&amp;"_11"</f>
        <v>1_11</v>
      </c>
      <c r="F244" s="26"/>
      <c r="G244" s="26">
        <f t="shared" ref="G244:J244" si="139">G242*$B244</f>
        <v>0</v>
      </c>
      <c r="H244" s="26">
        <f t="shared" si="139"/>
        <v>0</v>
      </c>
      <c r="I244" s="26">
        <f t="shared" si="139"/>
        <v>0</v>
      </c>
      <c r="J244" s="26">
        <f t="shared" si="139"/>
        <v>0</v>
      </c>
      <c r="L244" s="30">
        <f>SUM(G244:J244)</f>
        <v>0</v>
      </c>
    </row>
    <row r="245" spans="1:12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J245" ca="1" si="140">IF((F$27+$E245)&lt;=PRJ_Len,OFFSET(F242,0,$E245)*$B245,0)</f>
        <v>0</v>
      </c>
      <c r="G245" s="26">
        <f t="shared" ca="1" si="140"/>
        <v>0</v>
      </c>
      <c r="H245" s="26">
        <f t="shared" ca="1" si="140"/>
        <v>0</v>
      </c>
      <c r="I245" s="26">
        <f t="shared" ca="1" si="140"/>
        <v>0</v>
      </c>
      <c r="J245" s="26">
        <f t="shared" ca="1" si="140"/>
        <v>0</v>
      </c>
      <c r="L245" s="30">
        <f ca="1">SUM(G245:J245)</f>
        <v>0</v>
      </c>
    </row>
    <row r="246" spans="1:12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J246" ca="1" si="141">IF((F$27-$E246)&gt;=1,OFFSET(F242,0,-$E246)*$B246,0)</f>
        <v>0</v>
      </c>
      <c r="G246" s="26">
        <f t="shared" ca="1" si="141"/>
        <v>0</v>
      </c>
      <c r="H246" s="26">
        <f t="shared" ca="1" si="141"/>
        <v>0</v>
      </c>
      <c r="I246" s="26">
        <f t="shared" ca="1" si="141"/>
        <v>0</v>
      </c>
      <c r="J246" s="26">
        <f t="shared" ca="1" si="141"/>
        <v>0</v>
      </c>
      <c r="L246" s="30">
        <f ca="1">SUM(G246:J246)</f>
        <v>0</v>
      </c>
    </row>
    <row r="247" spans="1:12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J247" ca="1" si="142">SUM(F244:F246)</f>
        <v>0</v>
      </c>
      <c r="G247" s="26">
        <f t="shared" ca="1" si="142"/>
        <v>0</v>
      </c>
      <c r="H247" s="26">
        <f t="shared" ca="1" si="142"/>
        <v>0</v>
      </c>
      <c r="I247" s="26">
        <f t="shared" ca="1" si="142"/>
        <v>0</v>
      </c>
      <c r="J247" s="26">
        <f t="shared" ca="1" si="142"/>
        <v>0</v>
      </c>
      <c r="L247" s="30">
        <f ca="1">SUM(G247:J247)</f>
        <v>0</v>
      </c>
    </row>
    <row r="248" spans="1:12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J248" ca="1" si="143">F247*$B248</f>
        <v>0</v>
      </c>
      <c r="G248" s="26">
        <f t="shared" ca="1" si="143"/>
        <v>0</v>
      </c>
      <c r="H248" s="26">
        <f t="shared" ca="1" si="143"/>
        <v>0</v>
      </c>
      <c r="I248" s="26">
        <f t="shared" ca="1" si="143"/>
        <v>0</v>
      </c>
      <c r="J248" s="26">
        <f t="shared" ca="1" si="143"/>
        <v>0</v>
      </c>
      <c r="L248" s="30">
        <f ca="1">SUM(G248:J248)</f>
        <v>0</v>
      </c>
    </row>
    <row r="249" spans="1:12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J249" si="144">F242*$B245*$E249/PRJ_Step</f>
        <v>0</v>
      </c>
      <c r="G249" s="26">
        <f t="shared" si="144"/>
        <v>0</v>
      </c>
      <c r="H249" s="26">
        <f t="shared" si="144"/>
        <v>0</v>
      </c>
      <c r="I249" s="26">
        <f t="shared" si="144"/>
        <v>0</v>
      </c>
      <c r="J249" s="26">
        <f t="shared" si="144"/>
        <v>0</v>
      </c>
      <c r="L249" s="30"/>
    </row>
    <row r="250" spans="1:12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" ca="1" si="145">E250+F245-F242*$B245</f>
        <v>0</v>
      </c>
      <c r="G250" s="26">
        <f t="shared" ref="G250" ca="1" si="146">F250+G245-G242*$B245</f>
        <v>0</v>
      </c>
      <c r="H250" s="26">
        <f t="shared" ref="H250" ca="1" si="147">G250+H245-H242*$B245</f>
        <v>0</v>
      </c>
      <c r="I250" s="26">
        <f t="shared" ref="I250" ca="1" si="148">H250+I245-I242*$B245</f>
        <v>0</v>
      </c>
      <c r="J250" s="26">
        <f t="shared" ref="J250" ca="1" si="149">I250+J245-J242*$B245</f>
        <v>0</v>
      </c>
      <c r="L250" s="30"/>
    </row>
    <row r="251" spans="1:12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J251" si="150">F242*$B246*$E251/PRJ_Step</f>
        <v>0</v>
      </c>
      <c r="G251" s="26">
        <f t="shared" si="150"/>
        <v>0</v>
      </c>
      <c r="H251" s="26">
        <f t="shared" si="150"/>
        <v>0</v>
      </c>
      <c r="I251" s="26">
        <f t="shared" si="150"/>
        <v>0</v>
      </c>
      <c r="J251" s="26">
        <f t="shared" si="150"/>
        <v>0</v>
      </c>
      <c r="L251" s="30"/>
    </row>
    <row r="252" spans="1:12" ht="11.25" hidden="1" customHeight="1" outlineLevel="2" thickBot="1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" ca="1" si="151">E252+F242*$B246-F246</f>
        <v>0</v>
      </c>
      <c r="G252" s="26">
        <f t="shared" ref="G252" ca="1" si="152">F252+G242*$B246-G246</f>
        <v>0</v>
      </c>
      <c r="H252" s="26">
        <f t="shared" ref="H252" ca="1" si="153">G252+H242*$B246-H246</f>
        <v>0</v>
      </c>
      <c r="I252" s="26">
        <f t="shared" ref="I252" ca="1" si="154">H252+I242*$B246-I246</f>
        <v>0</v>
      </c>
      <c r="J252" s="26">
        <f t="shared" ref="J252" ca="1" si="155">I252+J242*$B246-J246</f>
        <v>0</v>
      </c>
      <c r="L252" s="30"/>
    </row>
    <row r="253" spans="1:12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30"/>
    </row>
    <row r="254" spans="1:12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156">CUR_Main</f>
        <v>$</v>
      </c>
      <c r="D254" s="32"/>
      <c r="E254" s="32"/>
      <c r="F254" s="62"/>
      <c r="G254" s="62">
        <f ca="1">SUMIF($D201:$D254,"*1_00*",G201:G254)+SUMIF($D201:$D254,"*2_00*",G201:G254)*G$98</f>
        <v>134999.99999999997</v>
      </c>
      <c r="H254" s="62">
        <f ca="1">SUMIF($D201:$D254,"*1_00*",H201:H254)+SUMIF($D201:$D254,"*2_00*",H201:H254)*H$98</f>
        <v>297000</v>
      </c>
      <c r="I254" s="62">
        <f ca="1">SUMIF($D201:$D254,"*1_00*",I201:I254)+SUMIF($D201:$D254,"*2_00*",I201:I254)*I$98</f>
        <v>326700</v>
      </c>
      <c r="J254" s="62">
        <f ca="1">SUMIF($D201:$D254,"*1_00*",J201:J254)+SUMIF($D201:$D254,"*2_00*",J201:J254)*J$98</f>
        <v>359370.00000000006</v>
      </c>
      <c r="K254" s="32"/>
      <c r="L254" s="27">
        <f ca="1">SUM(G254:J254)</f>
        <v>1118070</v>
      </c>
    </row>
    <row r="255" spans="1:12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156"/>
        <v>$</v>
      </c>
      <c r="F255" s="26"/>
      <c r="G255" s="26">
        <f>SUMIF($D201:$D254,"*1_01*",G201:G254)+SUMIF($D201:$D254,"*2_01*",G201:G254)*G$98</f>
        <v>0</v>
      </c>
      <c r="H255" s="26">
        <f>SUMIF($D201:$D254,"*1_01*",H201:H254)+SUMIF($D201:$D254,"*2_01*",H201:H254)*H$98</f>
        <v>0</v>
      </c>
      <c r="I255" s="26">
        <f>SUMIF($D201:$D254,"*1_01*",I201:I254)+SUMIF($D201:$D254,"*2_01*",I201:I254)*I$98</f>
        <v>0</v>
      </c>
      <c r="J255" s="26">
        <f>SUMIF($D201:$D254,"*1_01*",J201:J254)+SUMIF($D201:$D254,"*2_01*",J201:J254)*J$98</f>
        <v>0</v>
      </c>
      <c r="L255" s="30">
        <f>SUM(G255:J255)</f>
        <v>0</v>
      </c>
    </row>
    <row r="256" spans="1:12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156"/>
        <v>$</v>
      </c>
      <c r="F256" s="26"/>
      <c r="G256" s="26">
        <f>SUMIF($D201:$D254,"*1_02*",G201:G254)+SUMIF($D201:$D254,"*2_02*",G201:G254)*G$98</f>
        <v>0</v>
      </c>
      <c r="H256" s="26">
        <f>SUMIF($D201:$D254,"*1_02*",H201:H254)+SUMIF($D201:$D254,"*2_02*",H201:H254)*H$98</f>
        <v>0</v>
      </c>
      <c r="I256" s="26">
        <f>SUMIF($D201:$D254,"*1_02*",I201:I254)+SUMIF($D201:$D254,"*2_02*",I201:I254)*I$98</f>
        <v>0</v>
      </c>
      <c r="J256" s="26">
        <f>SUMIF($D201:$D254,"*1_02*",J201:J254)+SUMIF($D201:$D254,"*2_02*",J201:J254)*J$98</f>
        <v>0</v>
      </c>
      <c r="L256" s="30">
        <f>SUM(G256:J256)</f>
        <v>0</v>
      </c>
    </row>
    <row r="257" spans="1:12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156"/>
        <v>$</v>
      </c>
      <c r="D257" s="43" t="s">
        <v>1737</v>
      </c>
      <c r="E257" s="43"/>
      <c r="F257" s="46"/>
      <c r="G257" s="26">
        <f>SUMIF($D201:$D254,"*1_03*",G201:G254)+SUMIF($D201:$D254,"*2_03*",G201:G254)*G$98</f>
        <v>0</v>
      </c>
      <c r="H257" s="26">
        <f>SUMIF($D201:$D254,"*1_03*",H201:H254)+SUMIF($D201:$D254,"*2_03*",H201:H254)*H$98</f>
        <v>0</v>
      </c>
      <c r="I257" s="26">
        <f>SUMIF($D201:$D254,"*1_03*",I201:I254)+SUMIF($D201:$D254,"*2_03*",I201:I254)*I$98</f>
        <v>0</v>
      </c>
      <c r="J257" s="26">
        <f>SUMIF($D201:$D254,"*1_03*",J201:J254)+SUMIF($D201:$D254,"*2_03*",J201:J254)*J$98</f>
        <v>0</v>
      </c>
      <c r="L257" s="30"/>
    </row>
    <row r="258" spans="1:12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156"/>
        <v>$</v>
      </c>
      <c r="F258" s="26"/>
      <c r="G258" s="26">
        <f>SUMIF($D201:$D254,"*1_04*",G201:G254)+SUMIF($D201:$D254,"*2_04*",G201:G254)*G$98</f>
        <v>120535.71428571426</v>
      </c>
      <c r="H258" s="26">
        <f>SUMIF($D201:$D254,"*1_04*",H201:H254)+SUMIF($D201:$D254,"*2_04*",H201:H254)*H$98</f>
        <v>265178.57142857142</v>
      </c>
      <c r="I258" s="26">
        <f>SUMIF($D201:$D254,"*1_04*",I201:I254)+SUMIF($D201:$D254,"*2_04*",I201:I254)*I$98</f>
        <v>291696.42857142858</v>
      </c>
      <c r="J258" s="26">
        <f>SUMIF($D201:$D254,"*1_04*",J201:J254)+SUMIF($D201:$D254,"*2_04*",J201:J254)*J$98</f>
        <v>320866.07142857148</v>
      </c>
      <c r="L258" s="30">
        <f>SUM(G258:J258)</f>
        <v>998276.7857142858</v>
      </c>
    </row>
    <row r="259" spans="1:12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156"/>
        <v>$</v>
      </c>
      <c r="F259" s="26"/>
      <c r="G259" s="26">
        <f>SUMIF($D201:$D254,"*1_05*",G201:G254)+SUMIF($D201:$D254,"*2_05*",G201:G254)*G$98</f>
        <v>120535.71428571426</v>
      </c>
      <c r="H259" s="26">
        <f>SUMIF($D201:$D254,"*1_05*",H201:H254)+SUMIF($D201:$D254,"*2_05*",H201:H254)*H$98</f>
        <v>265178.57142857142</v>
      </c>
      <c r="I259" s="26">
        <f>SUMIF($D201:$D254,"*1_05*",I201:I254)+SUMIF($D201:$D254,"*2_05*",I201:I254)*I$98</f>
        <v>291696.42857142858</v>
      </c>
      <c r="J259" s="26">
        <f>SUMIF($D201:$D254,"*1_05*",J201:J254)+SUMIF($D201:$D254,"*2_05*",J201:J254)*J$98</f>
        <v>320866.07142857148</v>
      </c>
      <c r="L259" s="30">
        <f>SUM(G259:J259)</f>
        <v>998276.7857142858</v>
      </c>
    </row>
    <row r="260" spans="1:12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156"/>
        <v>$</v>
      </c>
      <c r="D260" s="2" t="s">
        <v>1737</v>
      </c>
      <c r="F260" s="26"/>
      <c r="G260" s="26">
        <f>SUMIF($D201:$D254,"*1_06*",G201:G254)+SUMIF($D201:$D254,"*2_06*",G201:G254)*G$98</f>
        <v>0</v>
      </c>
      <c r="H260" s="26">
        <f>SUMIF($D201:$D254,"*1_06*",H201:H254)+SUMIF($D201:$D254,"*2_06*",H201:H254)*H$98</f>
        <v>0</v>
      </c>
      <c r="I260" s="26">
        <f>SUMIF($D201:$D254,"*1_06*",I201:I254)+SUMIF($D201:$D254,"*2_06*",I201:I254)*I$98</f>
        <v>0</v>
      </c>
      <c r="J260" s="26">
        <f>SUMIF($D201:$D254,"*1_06*",J201:J254)+SUMIF($D201:$D254,"*2_06*",J201:J254)*J$98</f>
        <v>0</v>
      </c>
      <c r="L260" s="30"/>
    </row>
    <row r="261" spans="1:12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156"/>
        <v>$</v>
      </c>
      <c r="D261" s="2" t="s">
        <v>1737</v>
      </c>
      <c r="F261" s="26"/>
      <c r="G261" s="26">
        <f>SUMIF($D201:$D254,"*1_07*",G201:G254)+SUMIF($D201:$D254,"*2_07*",G201:G254)*G$98</f>
        <v>0</v>
      </c>
      <c r="H261" s="26">
        <f>SUMIF($D201:$D254,"*1_07*",H201:H254)+SUMIF($D201:$D254,"*2_07*",H201:H254)*H$98</f>
        <v>0</v>
      </c>
      <c r="I261" s="26">
        <f>SUMIF($D201:$D254,"*1_07*",I201:I254)+SUMIF($D201:$D254,"*2_07*",I201:I254)*I$98</f>
        <v>0</v>
      </c>
      <c r="J261" s="26">
        <f>SUMIF($D201:$D254,"*1_07*",J201:J254)+SUMIF($D201:$D254,"*2_07*",J201:J254)*J$98</f>
        <v>0</v>
      </c>
      <c r="L261" s="30"/>
    </row>
    <row r="262" spans="1:12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156"/>
        <v>$</v>
      </c>
      <c r="F262" s="26"/>
      <c r="G262" s="26">
        <f>SUMIF($D201:$D254,"*1_08*",G201:G254)+SUMIF($D201:$D254,"*2_08*",G201:G254)*G$98</f>
        <v>120535.71428571426</v>
      </c>
      <c r="H262" s="26">
        <f>SUMIF($D201:$D254,"*1_08*",H201:H254)+SUMIF($D201:$D254,"*2_08*",H201:H254)*H$98</f>
        <v>265178.57142857142</v>
      </c>
      <c r="I262" s="26">
        <f>SUMIF($D201:$D254,"*1_08*",I201:I254)+SUMIF($D201:$D254,"*2_08*",I201:I254)*I$98</f>
        <v>291696.42857142858</v>
      </c>
      <c r="J262" s="26">
        <f>SUMIF($D201:$D254,"*1_08*",J201:J254)+SUMIF($D201:$D254,"*2_08*",J201:J254)*J$98</f>
        <v>320866.07142857148</v>
      </c>
      <c r="L262" s="30">
        <f>SUM(G262:J262)</f>
        <v>998276.7857142858</v>
      </c>
    </row>
    <row r="263" spans="1:12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156"/>
        <v>$</v>
      </c>
      <c r="D263" s="2" t="s">
        <v>1737</v>
      </c>
      <c r="F263" s="26"/>
      <c r="G263" s="26">
        <f>SUMIF($D201:$D254,"*1_09*",G201:G254)+SUMIF($D201:$D254,"*2_09*",G201:G254)*G$98</f>
        <v>0</v>
      </c>
      <c r="H263" s="26">
        <f>SUMIF($D201:$D254,"*1_09*",H201:H254)+SUMIF($D201:$D254,"*2_09*",H201:H254)*H$98</f>
        <v>0</v>
      </c>
      <c r="I263" s="26">
        <f>SUMIF($D201:$D254,"*1_09*",I201:I254)+SUMIF($D201:$D254,"*2_09*",I201:I254)*I$98</f>
        <v>0</v>
      </c>
      <c r="J263" s="26">
        <f>SUMIF($D201:$D254,"*1_09*",J201:J254)+SUMIF($D201:$D254,"*2_09*",J201:J254)*J$98</f>
        <v>0</v>
      </c>
      <c r="L263" s="30"/>
    </row>
    <row r="264" spans="1:12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156"/>
        <v>$</v>
      </c>
      <c r="D264" s="43"/>
      <c r="E264" s="43"/>
      <c r="F264" s="46"/>
      <c r="G264" s="26">
        <f>SUMIF($D201:$D254,"*1_10*",G201:G254)+SUMIF($D201:$D254,"*2_10*",G201:G254)*G$98</f>
        <v>120535.71428571426</v>
      </c>
      <c r="H264" s="26">
        <f>SUMIF($D201:$D254,"*1_10*",H201:H254)+SUMIF($D201:$D254,"*2_10*",H201:H254)*H$98</f>
        <v>265178.57142857142</v>
      </c>
      <c r="I264" s="26">
        <f>SUMIF($D201:$D254,"*1_10*",I201:I254)+SUMIF($D201:$D254,"*2_10*",I201:I254)*I$98</f>
        <v>291696.42857142858</v>
      </c>
      <c r="J264" s="26">
        <f>SUMIF($D201:$D254,"*1_10*",J201:J254)+SUMIF($D201:$D254,"*2_10*",J201:J254)*J$98</f>
        <v>320866.07142857148</v>
      </c>
      <c r="L264" s="30">
        <f>SUM(G264:J264)</f>
        <v>998276.7857142858</v>
      </c>
    </row>
    <row r="265" spans="1:12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L265" s="30"/>
    </row>
    <row r="266" spans="1:12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157">CUR_Main</f>
        <v>$</v>
      </c>
      <c r="F266" s="26">
        <f>SUMIF($D201:$D254,"*1_11*",F201:F254)+SUMIF($D201:$D254,"*2_11*",F201:F254)*F$98</f>
        <v>0</v>
      </c>
      <c r="G266" s="26">
        <f>SUMIF($D201:$D254,"*1_11*",G201:G254)+SUMIF($D201:$D254,"*2_11*",G201:G254)*G$98</f>
        <v>120535.71428571426</v>
      </c>
      <c r="H266" s="26">
        <f>SUMIF($D201:$D254,"*1_11*",H201:H254)+SUMIF($D201:$D254,"*2_11*",H201:H254)*H$98</f>
        <v>265178.57142857142</v>
      </c>
      <c r="I266" s="26">
        <f>SUMIF($D201:$D254,"*1_11*",I201:I254)+SUMIF($D201:$D254,"*2_11*",I201:I254)*I$98</f>
        <v>291696.42857142858</v>
      </c>
      <c r="J266" s="26">
        <f>SUMIF($D201:$D254,"*1_11*",J201:J254)+SUMIF($D201:$D254,"*2_11*",J201:J254)*J$98</f>
        <v>320866.07142857148</v>
      </c>
      <c r="L266" s="30">
        <f>SUM(G266:J266)</f>
        <v>998276.7857142858</v>
      </c>
    </row>
    <row r="267" spans="1:12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157"/>
        <v>$</v>
      </c>
      <c r="F267" s="26">
        <f ca="1">SUMIF($D201:$D254,"*1_12*",F201:F254)+SUMIF($D201:$D254,"*2_12*",F201:F254)*F$98</f>
        <v>0</v>
      </c>
      <c r="G267" s="26">
        <f ca="1">SUMIF($D201:$D254,"*1_12*",G201:G254)+SUMIF($D201:$D254,"*2_12*",G201:G254)*G$98</f>
        <v>0</v>
      </c>
      <c r="H267" s="26">
        <f ca="1">SUMIF($D201:$D254,"*1_12*",H201:H254)+SUMIF($D201:$D254,"*2_12*",H201:H254)*H$98</f>
        <v>0</v>
      </c>
      <c r="I267" s="26">
        <f ca="1">SUMIF($D201:$D254,"*1_12*",I201:I254)+SUMIF($D201:$D254,"*2_12*",I201:I254)*I$98</f>
        <v>0</v>
      </c>
      <c r="J267" s="26">
        <f ca="1">SUMIF($D201:$D254,"*1_12*",J201:J254)+SUMIF($D201:$D254,"*2_12*",J201:J254)*J$98</f>
        <v>0</v>
      </c>
      <c r="L267" s="30">
        <f ca="1">SUM(G267:J267)</f>
        <v>0</v>
      </c>
    </row>
    <row r="268" spans="1:12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157"/>
        <v>$</v>
      </c>
      <c r="F268" s="26">
        <f ca="1">SUMIF($D201:$D254,"*1_13*",F201:F254)+SUMIF($D201:$D254,"*2_13*",F201:F254)*F$98</f>
        <v>0</v>
      </c>
      <c r="G268" s="26">
        <f ca="1">SUMIF($D201:$D254,"*1_13*",G201:G254)+SUMIF($D201:$D254,"*2_13*",G201:G254)*G$98</f>
        <v>0</v>
      </c>
      <c r="H268" s="26">
        <f ca="1">SUMIF($D201:$D254,"*1_13*",H201:H254)+SUMIF($D201:$D254,"*2_13*",H201:H254)*H$98</f>
        <v>0</v>
      </c>
      <c r="I268" s="26">
        <f ca="1">SUMIF($D201:$D254,"*1_13*",I201:I254)+SUMIF($D201:$D254,"*2_13*",I201:I254)*I$98</f>
        <v>0</v>
      </c>
      <c r="J268" s="26">
        <f ca="1">SUMIF($D201:$D254,"*1_13*",J201:J254)+SUMIF($D201:$D254,"*2_13*",J201:J254)*J$98</f>
        <v>0</v>
      </c>
      <c r="L268" s="30">
        <f ca="1">SUM(G268:J268)</f>
        <v>0</v>
      </c>
    </row>
    <row r="269" spans="1:12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157"/>
        <v>$</v>
      </c>
      <c r="F269" s="26">
        <f ca="1">SUMIF($D201:$D254,"*1_14*",F201:F254)+SUMIF($D201:$D254,"*2_14*",F201:F254)*F$98</f>
        <v>0</v>
      </c>
      <c r="G269" s="26">
        <f ca="1">SUMIF($D201:$D254,"*1_14*",G201:G254)+SUMIF($D201:$D254,"*2_14*",G201:G254)*G$98</f>
        <v>120535.71428571426</v>
      </c>
      <c r="H269" s="26">
        <f ca="1">SUMIF($D201:$D254,"*1_14*",H201:H254)+SUMIF($D201:$D254,"*2_14*",H201:H254)*H$98</f>
        <v>265178.57142857142</v>
      </c>
      <c r="I269" s="26">
        <f ca="1">SUMIF($D201:$D254,"*1_14*",I201:I254)+SUMIF($D201:$D254,"*2_14*",I201:I254)*I$98</f>
        <v>291696.42857142858</v>
      </c>
      <c r="J269" s="26">
        <f ca="1">SUMIF($D201:$D254,"*1_14*",J201:J254)+SUMIF($D201:$D254,"*2_14*",J201:J254)*J$98</f>
        <v>320866.07142857148</v>
      </c>
      <c r="L269" s="30">
        <f ca="1">SUM(G269:J269)</f>
        <v>998276.7857142858</v>
      </c>
    </row>
    <row r="270" spans="1:12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157"/>
        <v>$</v>
      </c>
      <c r="F270" s="26">
        <f ca="1">SUMIF($D201:$D254,"*1_15*",F201:F254)+SUMIF($D201:$D254,"*2_15*",F201:F254)*F$98</f>
        <v>0</v>
      </c>
      <c r="G270" s="26">
        <f ca="1">SUMIF($D201:$D254,"*1_15*",G201:G254)+SUMIF($D201:$D254,"*2_15*",G201:G254)*G$98</f>
        <v>14464.28571428571</v>
      </c>
      <c r="H270" s="26">
        <f ca="1">SUMIF($D201:$D254,"*1_15*",H201:H254)+SUMIF($D201:$D254,"*2_15*",H201:H254)*H$98</f>
        <v>31821.428571428569</v>
      </c>
      <c r="I270" s="26">
        <f ca="1">SUMIF($D201:$D254,"*1_15*",I201:I254)+SUMIF($D201:$D254,"*2_15*",I201:I254)*I$98</f>
        <v>35003.571428571428</v>
      </c>
      <c r="J270" s="26">
        <f ca="1">SUMIF($D201:$D254,"*1_15*",J201:J254)+SUMIF($D201:$D254,"*2_15*",J201:J254)*J$98</f>
        <v>38503.928571428572</v>
      </c>
      <c r="L270" s="30">
        <f ca="1">SUM(G270:J270)</f>
        <v>119793.21428571429</v>
      </c>
    </row>
    <row r="271" spans="1:12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157"/>
        <v>$</v>
      </c>
      <c r="D271" s="2" t="s">
        <v>1737</v>
      </c>
      <c r="F271" s="26">
        <f>SUMIF($D201:$D254,"*1_16*",F201:F254)+SUMIF($D201:$D254,"*2_16*",F201:F254)*F$98</f>
        <v>0</v>
      </c>
      <c r="G271" s="26">
        <f>SUMIF($D201:$D254,"*1_16*",G201:G254)+SUMIF($D201:$D254,"*2_16*",G201:G254)*G$98</f>
        <v>0</v>
      </c>
      <c r="H271" s="26">
        <f>SUMIF($D201:$D254,"*1_16*",H201:H254)+SUMIF($D201:$D254,"*2_16*",H201:H254)*H$98</f>
        <v>0</v>
      </c>
      <c r="I271" s="26">
        <f>SUMIF($D201:$D254,"*1_16*",I201:I254)+SUMIF($D201:$D254,"*2_16*",I201:I254)*I$98</f>
        <v>0</v>
      </c>
      <c r="J271" s="26">
        <f>SUMIF($D201:$D254,"*1_16*",J201:J254)+SUMIF($D201:$D254,"*2_16*",J201:J254)*J$98</f>
        <v>0</v>
      </c>
      <c r="L271" s="30"/>
    </row>
    <row r="272" spans="1:12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157"/>
        <v>$</v>
      </c>
      <c r="D272" s="2" t="s">
        <v>1737</v>
      </c>
      <c r="F272" s="26">
        <f ca="1">SUMIF($D201:$D254,"*1_17*",F201:F254)+SUMIF($D201:$D254,"*2_17*",F201:F254)*F$98</f>
        <v>0</v>
      </c>
      <c r="G272" s="26">
        <f ca="1">SUMIF($D201:$D254,"*1_17*",G201:G254)+SUMIF($D201:$D254,"*2_17*",G201:G254)*G$98</f>
        <v>0</v>
      </c>
      <c r="H272" s="26">
        <f ca="1">SUMIF($D201:$D254,"*1_17*",H201:H254)+SUMIF($D201:$D254,"*2_17*",H201:H254)*H$98</f>
        <v>0</v>
      </c>
      <c r="I272" s="26">
        <f ca="1">SUMIF($D201:$D254,"*1_17*",I201:I254)+SUMIF($D201:$D254,"*2_17*",I201:I254)*I$98</f>
        <v>0</v>
      </c>
      <c r="J272" s="26">
        <f ca="1">SUMIF($D201:$D254,"*1_17*",J201:J254)+SUMIF($D201:$D254,"*2_17*",J201:J254)*J$98</f>
        <v>0</v>
      </c>
      <c r="L272" s="30"/>
    </row>
    <row r="273" spans="1:12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157"/>
        <v>$</v>
      </c>
      <c r="D273" s="2" t="s">
        <v>1737</v>
      </c>
      <c r="F273" s="26">
        <f>SUMIF($D201:$D254,"*1_18*",F201:F254)+SUMIF($D201:$D254,"*2_18*",F201:F254)*F$98</f>
        <v>0</v>
      </c>
      <c r="G273" s="26">
        <f>SUMIF($D201:$D254,"*1_18*",G201:G254)+SUMIF($D201:$D254,"*2_18*",G201:G254)*G$98</f>
        <v>0</v>
      </c>
      <c r="H273" s="26">
        <f>SUMIF($D201:$D254,"*1_18*",H201:H254)+SUMIF($D201:$D254,"*2_18*",H201:H254)*H$98</f>
        <v>0</v>
      </c>
      <c r="I273" s="26">
        <f>SUMIF($D201:$D254,"*1_18*",I201:I254)+SUMIF($D201:$D254,"*2_18*",I201:I254)*I$98</f>
        <v>0</v>
      </c>
      <c r="J273" s="26">
        <f>SUMIF($D201:$D254,"*1_18*",J201:J254)+SUMIF($D201:$D254,"*2_18*",J201:J254)*J$98</f>
        <v>0</v>
      </c>
      <c r="L273" s="30"/>
    </row>
    <row r="274" spans="1:12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157"/>
        <v>$</v>
      </c>
      <c r="D274" s="2" t="s">
        <v>1737</v>
      </c>
      <c r="F274" s="26">
        <f ca="1">SUMIF($D201:$D254,"*1_19*",F201:F254)+SUMIF($D201:$D254,"*2_19*",F201:F254)*F$98</f>
        <v>0</v>
      </c>
      <c r="G274" s="26">
        <f ca="1">SUMIF($D201:$D254,"*1_19*",G201:G254)+SUMIF($D201:$D254,"*2_19*",G201:G254)*G$98</f>
        <v>0</v>
      </c>
      <c r="H274" s="26">
        <f ca="1">SUMIF($D201:$D254,"*1_19*",H201:H254)+SUMIF($D201:$D254,"*2_19*",H201:H254)*H$98</f>
        <v>0</v>
      </c>
      <c r="I274" s="26">
        <f ca="1">SUMIF($D201:$D254,"*1_19*",I201:I254)+SUMIF($D201:$D254,"*2_19*",I201:I254)*I$98</f>
        <v>0</v>
      </c>
      <c r="J274" s="26">
        <f ca="1">SUMIF($D201:$D254,"*1_19*",J201:J254)+SUMIF($D201:$D254,"*2_19*",J201:J254)*J$98</f>
        <v>0</v>
      </c>
      <c r="L274" s="30"/>
    </row>
    <row r="275" spans="1:12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</row>
    <row r="276" spans="1:12" ht="12" outlineLevel="1" thickBot="1"/>
    <row r="277" spans="1:12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J277" si="158">PeriodTitle</f>
        <v>"0"</v>
      </c>
      <c r="G277" s="19">
        <f t="shared" si="158"/>
        <v>2013</v>
      </c>
      <c r="H277" s="19">
        <f t="shared" si="158"/>
        <v>2014</v>
      </c>
      <c r="I277" s="19">
        <f t="shared" si="158"/>
        <v>2015</v>
      </c>
      <c r="J277" s="19">
        <f t="shared" si="158"/>
        <v>2016</v>
      </c>
      <c r="K277" s="19"/>
      <c r="L277" s="23" t="str">
        <f ca="1">OFFSET(Язык!$A$77,0,LANGUAGE)</f>
        <v>ИТОГО</v>
      </c>
    </row>
    <row r="278" spans="1:12" ht="12" outlineLevel="1" thickTop="1"/>
    <row r="279" spans="1:12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outlineLevel="1">
      <c r="A280" s="32"/>
    </row>
    <row r="281" spans="1:12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 t="shared" ref="G281:I281" si="159">G256</f>
        <v>0</v>
      </c>
      <c r="H281" s="72">
        <f t="shared" si="159"/>
        <v>0</v>
      </c>
      <c r="I281" s="72">
        <f t="shared" si="159"/>
        <v>0</v>
      </c>
      <c r="J281" s="72">
        <f t="shared" ref="J281" si="160">J256</f>
        <v>0</v>
      </c>
      <c r="L281" s="72">
        <f>SUM(G281:J281)</f>
        <v>0</v>
      </c>
    </row>
    <row r="282" spans="1:12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L282" s="30"/>
    </row>
    <row r="283" spans="1:12" outlineLevel="1">
      <c r="A283" s="5" t="s">
        <v>2273</v>
      </c>
      <c r="B283" s="7">
        <v>6</v>
      </c>
      <c r="C283" s="7">
        <v>470</v>
      </c>
      <c r="D283" s="2" t="s">
        <v>2310</v>
      </c>
      <c r="G283" s="26">
        <f t="shared" ref="G283:I283" ca="1" si="161">G284*G285*PRJ_Step/30</f>
        <v>16920</v>
      </c>
      <c r="H283" s="26">
        <f t="shared" si="161"/>
        <v>37224</v>
      </c>
      <c r="I283" s="26">
        <f t="shared" ca="1" si="161"/>
        <v>40946.400000000001</v>
      </c>
      <c r="J283" s="26">
        <f t="shared" ref="J283" ca="1" si="162">J284*J285*PRJ_Step/30</f>
        <v>45041.04</v>
      </c>
      <c r="L283" s="30">
        <f ca="1">SUM(G283:J283)</f>
        <v>140131.44</v>
      </c>
    </row>
    <row r="284" spans="1:12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1748</v>
      </c>
      <c r="G284" s="40">
        <f ca="1">INT($B283*G$118)</f>
        <v>3</v>
      </c>
      <c r="H284" s="40">
        <v>6</v>
      </c>
      <c r="I284" s="40">
        <f t="shared" ref="I284:J284" ca="1" si="163">INT($B283*I$118)</f>
        <v>6</v>
      </c>
      <c r="J284" s="40">
        <f t="shared" ca="1" si="163"/>
        <v>6</v>
      </c>
    </row>
    <row r="285" spans="1:12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1747</v>
      </c>
      <c r="G285" s="40">
        <v>470</v>
      </c>
      <c r="H285" s="40">
        <v>517</v>
      </c>
      <c r="I285" s="40">
        <f t="shared" ref="I285:J285" si="164">H285*I$94</f>
        <v>568.70000000000005</v>
      </c>
      <c r="J285" s="40">
        <f t="shared" si="164"/>
        <v>625.57000000000005</v>
      </c>
    </row>
    <row r="286" spans="1:12" outlineLevel="1"/>
    <row r="287" spans="1:12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2" outlineLevel="1">
      <c r="A289" s="5" t="s">
        <v>2279</v>
      </c>
      <c r="B289" s="7">
        <v>5</v>
      </c>
      <c r="C289" s="7">
        <v>410</v>
      </c>
      <c r="D289" s="2" t="s">
        <v>2310</v>
      </c>
      <c r="G289" s="26">
        <f t="shared" ref="G289:I289" si="165">G290*G291*PRJ_Step/30</f>
        <v>14760</v>
      </c>
      <c r="H289" s="26">
        <f t="shared" si="165"/>
        <v>27060</v>
      </c>
      <c r="I289" s="26">
        <f t="shared" si="165"/>
        <v>29766</v>
      </c>
      <c r="J289" s="26">
        <f t="shared" ref="J289" si="166">J290*J291*PRJ_Step/30</f>
        <v>32742.600000000002</v>
      </c>
      <c r="L289" s="30">
        <f>SUM(G289:J289)</f>
        <v>104328.6</v>
      </c>
    </row>
    <row r="290" spans="1:12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1748</v>
      </c>
      <c r="G290" s="40">
        <v>3</v>
      </c>
      <c r="H290" s="40">
        <v>5</v>
      </c>
      <c r="I290" s="40">
        <f t="shared" ref="I290:J290" si="167">H290</f>
        <v>5</v>
      </c>
      <c r="J290" s="40">
        <f t="shared" si="167"/>
        <v>5</v>
      </c>
    </row>
    <row r="291" spans="1:12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1747</v>
      </c>
      <c r="G291" s="40">
        <v>410</v>
      </c>
      <c r="H291" s="40">
        <v>451</v>
      </c>
      <c r="I291" s="40">
        <f t="shared" ref="I291:J291" si="168">H291*I$94</f>
        <v>496.1</v>
      </c>
      <c r="J291" s="40">
        <f t="shared" si="168"/>
        <v>545.71</v>
      </c>
    </row>
    <row r="292" spans="1:12" outlineLevel="1"/>
    <row r="293" spans="1:12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1:12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2" outlineLevel="1">
      <c r="A295" s="5" t="s">
        <v>2281</v>
      </c>
      <c r="B295" s="7">
        <v>3</v>
      </c>
      <c r="C295" s="7">
        <v>780</v>
      </c>
      <c r="D295" s="2" t="s">
        <v>2310</v>
      </c>
      <c r="G295" s="26">
        <f t="shared" ref="G295:I295" si="169">G296*G297*PRJ_Step/30</f>
        <v>28080</v>
      </c>
      <c r="H295" s="26">
        <f t="shared" si="169"/>
        <v>30888</v>
      </c>
      <c r="I295" s="26">
        <f t="shared" si="169"/>
        <v>33976.800000000003</v>
      </c>
      <c r="J295" s="26">
        <f t="shared" ref="J295" si="170">J296*J297*PRJ_Step/30</f>
        <v>37374.479999999996</v>
      </c>
      <c r="L295" s="30">
        <f>SUM(G295:J295)</f>
        <v>130319.28</v>
      </c>
    </row>
    <row r="296" spans="1:12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1748</v>
      </c>
      <c r="G296" s="40">
        <v>3</v>
      </c>
      <c r="H296" s="40">
        <v>3</v>
      </c>
      <c r="I296" s="40">
        <f t="shared" ref="I296:J296" si="171">H296</f>
        <v>3</v>
      </c>
      <c r="J296" s="40">
        <f t="shared" si="171"/>
        <v>3</v>
      </c>
    </row>
    <row r="297" spans="1:12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1747</v>
      </c>
      <c r="G297" s="40">
        <v>780</v>
      </c>
      <c r="H297" s="40">
        <v>858</v>
      </c>
      <c r="I297" s="40">
        <f t="shared" ref="I297:J297" si="172">H297*I$94</f>
        <v>943.80000000000007</v>
      </c>
      <c r="J297" s="40">
        <f t="shared" si="172"/>
        <v>1038.18</v>
      </c>
    </row>
    <row r="298" spans="1:12" outlineLevel="1"/>
    <row r="299" spans="1:12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1:12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2" outlineLevel="1" collapsed="1">
      <c r="A301" s="5" t="s">
        <v>2274</v>
      </c>
      <c r="B301" s="7">
        <v>0</v>
      </c>
      <c r="C301" s="7">
        <v>0</v>
      </c>
      <c r="D301" s="2" t="s">
        <v>2310</v>
      </c>
      <c r="G301" s="26">
        <f t="shared" ref="G301:I301" si="173">G302*G303*PRJ_Step/30</f>
        <v>0</v>
      </c>
      <c r="H301" s="26">
        <f t="shared" si="173"/>
        <v>0</v>
      </c>
      <c r="I301" s="26">
        <f t="shared" si="173"/>
        <v>0</v>
      </c>
      <c r="J301" s="26">
        <f t="shared" ref="J301" si="174">J302*J303*PRJ_Step/30</f>
        <v>0</v>
      </c>
      <c r="L301" s="30">
        <f>SUM(G301:J301)</f>
        <v>0</v>
      </c>
    </row>
    <row r="302" spans="1:12" hidden="1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1748</v>
      </c>
      <c r="G302" s="40">
        <f>$B301</f>
        <v>0</v>
      </c>
      <c r="H302" s="40">
        <f t="shared" ref="H302:J302" si="175">G302</f>
        <v>0</v>
      </c>
      <c r="I302" s="40">
        <f t="shared" si="175"/>
        <v>0</v>
      </c>
      <c r="J302" s="40">
        <f t="shared" si="175"/>
        <v>0</v>
      </c>
    </row>
    <row r="303" spans="1:12" hidden="1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1747</v>
      </c>
      <c r="G303" s="40">
        <f>$C301</f>
        <v>0</v>
      </c>
      <c r="H303" s="40">
        <f t="shared" ref="H303:J303" si="176">G303*H$94</f>
        <v>0</v>
      </c>
      <c r="I303" s="40">
        <f t="shared" si="176"/>
        <v>0</v>
      </c>
      <c r="J303" s="40">
        <f t="shared" si="176"/>
        <v>0</v>
      </c>
    </row>
    <row r="304" spans="1:12" outlineLevel="1"/>
    <row r="305" spans="1:12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177">CUR_Main</f>
        <v>$</v>
      </c>
      <c r="D305" s="68"/>
      <c r="E305" s="68"/>
      <c r="F305" s="68"/>
      <c r="G305" s="157">
        <f t="shared" ref="G305:I305" ca="1" si="178">SUM(G306:G310)</f>
        <v>59760</v>
      </c>
      <c r="H305" s="157">
        <f t="shared" si="178"/>
        <v>95172</v>
      </c>
      <c r="I305" s="157">
        <f t="shared" ca="1" si="178"/>
        <v>104689.2</v>
      </c>
      <c r="J305" s="157">
        <f t="shared" ref="J305" ca="1" si="179">SUM(J306:J310)</f>
        <v>115158.12</v>
      </c>
      <c r="K305" s="69"/>
      <c r="L305" s="158">
        <f t="shared" ref="L305:L317" ca="1" si="180">SUM(G305:J305)</f>
        <v>374779.32</v>
      </c>
    </row>
    <row r="306" spans="1:12" hidden="1" outlineLevel="2">
      <c r="A306" s="47" t="str">
        <f ca="1">OFFSET(Язык!$A$633,0,LANGUAGE)</f>
        <v xml:space="preserve">    Cдельная оплата труда</v>
      </c>
      <c r="C306" s="6" t="str">
        <f t="shared" ca="1" si="177"/>
        <v>$</v>
      </c>
      <c r="G306" s="26">
        <f t="shared" ref="G306:I306" si="181">G256</f>
        <v>0</v>
      </c>
      <c r="H306" s="26">
        <f t="shared" si="181"/>
        <v>0</v>
      </c>
      <c r="I306" s="26">
        <f t="shared" si="181"/>
        <v>0</v>
      </c>
      <c r="J306" s="26">
        <f t="shared" ref="J306" si="182">J256</f>
        <v>0</v>
      </c>
      <c r="K306" s="26"/>
      <c r="L306" s="30">
        <f t="shared" si="180"/>
        <v>0</v>
      </c>
    </row>
    <row r="307" spans="1:12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177"/>
        <v>$</v>
      </c>
      <c r="G307" s="26">
        <f t="shared" ref="G307:I307" ca="1" si="183">SUMIF($D279:$D286,"*expenses*",G279:G286)/IF(CUR_I_Report=2,G$98,1)</f>
        <v>16920</v>
      </c>
      <c r="H307" s="26">
        <f t="shared" si="183"/>
        <v>37224</v>
      </c>
      <c r="I307" s="26">
        <f t="shared" ca="1" si="183"/>
        <v>40946.400000000001</v>
      </c>
      <c r="J307" s="26">
        <f t="shared" ref="J307" ca="1" si="184">SUMIF($D279:$D286,"*expenses*",J279:J286)/IF(CUR_I_Report=2,J$98,1)</f>
        <v>45041.04</v>
      </c>
      <c r="K307" s="26"/>
      <c r="L307" s="30">
        <f t="shared" ca="1" si="180"/>
        <v>140131.44</v>
      </c>
    </row>
    <row r="308" spans="1:12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177"/>
        <v>$</v>
      </c>
      <c r="G308" s="26">
        <f t="shared" ref="G308:I308" si="185">SUMIF($D288:$D292,"*expenses*",G288:G292)/IF(CUR_I_Report=2,G$98,1)</f>
        <v>14760</v>
      </c>
      <c r="H308" s="26">
        <f t="shared" si="185"/>
        <v>27060</v>
      </c>
      <c r="I308" s="26">
        <f t="shared" si="185"/>
        <v>29766</v>
      </c>
      <c r="J308" s="26">
        <f t="shared" ref="J308" si="186">SUMIF($D288:$D292,"*expenses*",J288:J292)/IF(CUR_I_Report=2,J$98,1)</f>
        <v>32742.600000000002</v>
      </c>
      <c r="K308" s="26"/>
      <c r="L308" s="30">
        <f t="shared" si="180"/>
        <v>104328.6</v>
      </c>
    </row>
    <row r="309" spans="1:12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177"/>
        <v>$</v>
      </c>
      <c r="G309" s="26">
        <f t="shared" ref="G309:I309" si="187">SUMIF($D294:$D298,"*expenses*",G294:G298)/IF(CUR_I_Report=2,G$98,1)</f>
        <v>28080</v>
      </c>
      <c r="H309" s="26">
        <f t="shared" si="187"/>
        <v>30888</v>
      </c>
      <c r="I309" s="26">
        <f t="shared" si="187"/>
        <v>33976.800000000003</v>
      </c>
      <c r="J309" s="26">
        <f t="shared" ref="J309" si="188">SUMIF($D294:$D298,"*expenses*",J294:J298)/IF(CUR_I_Report=2,J$98,1)</f>
        <v>37374.479999999996</v>
      </c>
      <c r="K309" s="26"/>
      <c r="L309" s="30">
        <f t="shared" si="180"/>
        <v>130319.28</v>
      </c>
    </row>
    <row r="310" spans="1:12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177"/>
        <v>$</v>
      </c>
      <c r="G310" s="26">
        <f t="shared" ref="G310:I310" si="189">SUMIF($D300:$D304,"*expenses*",G300:G304)/IF(CUR_I_Report=2,G$98,1)</f>
        <v>0</v>
      </c>
      <c r="H310" s="26">
        <f t="shared" si="189"/>
        <v>0</v>
      </c>
      <c r="I310" s="26">
        <f t="shared" si="189"/>
        <v>0</v>
      </c>
      <c r="J310" s="26">
        <f t="shared" ref="J310" si="190">SUMIF($D300:$D304,"*expenses*",J300:J304)/IF(CUR_I_Report=2,J$98,1)</f>
        <v>0</v>
      </c>
      <c r="K310" s="26"/>
      <c r="L310" s="30">
        <f t="shared" si="180"/>
        <v>0</v>
      </c>
    </row>
    <row r="311" spans="1:12" outlineLevel="1"/>
    <row r="312" spans="1:12" outlineLevel="1" collapsed="1">
      <c r="A312" s="2" t="str">
        <f ca="1">OFFSET(Язык!$A$871,0,LANGUAGE)</f>
        <v>Начисленный ЕСН и страхование</v>
      </c>
      <c r="G312" s="26">
        <f t="shared" ref="G312:I312" ca="1" si="191">SUM(G313:G316)</f>
        <v>15537.599999999999</v>
      </c>
      <c r="H312" s="26">
        <f t="shared" si="191"/>
        <v>24744.720000000001</v>
      </c>
      <c r="I312" s="26">
        <f t="shared" ca="1" si="191"/>
        <v>27219.192000000003</v>
      </c>
      <c r="J312" s="26">
        <f t="shared" ref="J312" ca="1" si="192">SUM(J313:J316)</f>
        <v>29941.111200000003</v>
      </c>
      <c r="L312" s="30">
        <f t="shared" ca="1" si="180"/>
        <v>97442.623200000002</v>
      </c>
    </row>
    <row r="313" spans="1:12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t="shared" ref="G313:I313" ca="1" si="193">(G306+G307)*(G701+G704)</f>
        <v>4399.2</v>
      </c>
      <c r="H313" s="26">
        <f t="shared" si="193"/>
        <v>9678.24</v>
      </c>
      <c r="I313" s="26">
        <f t="shared" ca="1" si="193"/>
        <v>10646.064</v>
      </c>
      <c r="J313" s="26">
        <f t="shared" ref="J313" ca="1" si="194">(J306+J307)*(J701+J704)</f>
        <v>11710.670400000001</v>
      </c>
      <c r="L313" s="30">
        <f t="shared" ca="1" si="180"/>
        <v>36434.174400000004</v>
      </c>
    </row>
    <row r="314" spans="1:12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 t="shared" ref="G314:I314" si="195">G308*(G701+G704)</f>
        <v>3837.6</v>
      </c>
      <c r="H314" s="26">
        <f t="shared" si="195"/>
        <v>7035.6</v>
      </c>
      <c r="I314" s="26">
        <f t="shared" si="195"/>
        <v>7739.16</v>
      </c>
      <c r="J314" s="26">
        <f t="shared" ref="J314" si="196">J308*(J701+J704)</f>
        <v>8513.0760000000009</v>
      </c>
      <c r="L314" s="30">
        <f t="shared" si="180"/>
        <v>27125.436000000002</v>
      </c>
    </row>
    <row r="315" spans="1:12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 t="shared" ref="G315:I315" si="197">G309*(G701+G704)</f>
        <v>7300.8</v>
      </c>
      <c r="H315" s="26">
        <f t="shared" si="197"/>
        <v>8030.88</v>
      </c>
      <c r="I315" s="26">
        <f t="shared" si="197"/>
        <v>8833.9680000000008</v>
      </c>
      <c r="J315" s="26">
        <f t="shared" ref="J315" si="198">J309*(J701+J704)</f>
        <v>9717.3647999999994</v>
      </c>
      <c r="L315" s="30">
        <f t="shared" si="180"/>
        <v>33883.012799999997</v>
      </c>
    </row>
    <row r="316" spans="1:12" hidden="1" outlineLevel="2">
      <c r="A316" s="2" t="str">
        <f ca="1">OFFSET(Язык!$A$875,0,LANGUAGE)</f>
        <v xml:space="preserve">    - на зарплату коммерческого персонала</v>
      </c>
      <c r="G316" s="26">
        <f t="shared" ref="G316:I316" si="199">G310*(G701+G704)</f>
        <v>0</v>
      </c>
      <c r="H316" s="26">
        <f t="shared" si="199"/>
        <v>0</v>
      </c>
      <c r="I316" s="26">
        <f t="shared" si="199"/>
        <v>0</v>
      </c>
      <c r="J316" s="26">
        <f t="shared" ref="J316" si="200">J310*(J701+J704)</f>
        <v>0</v>
      </c>
      <c r="L316" s="30">
        <f t="shared" si="180"/>
        <v>0</v>
      </c>
    </row>
    <row r="317" spans="1:12" outlineLevel="1">
      <c r="A317" s="2" t="str">
        <f ca="1">OFFSET(Язык!$A$876,0,LANGUAGE)</f>
        <v>Расходы на зарплату с учетом ЕСН и страхования</v>
      </c>
      <c r="G317" s="62">
        <f t="shared" ref="G317:I317" ca="1" si="201">G305+G312</f>
        <v>75297.600000000006</v>
      </c>
      <c r="H317" s="62">
        <f t="shared" si="201"/>
        <v>119916.72</v>
      </c>
      <c r="I317" s="62">
        <f t="shared" ca="1" si="201"/>
        <v>131908.39199999999</v>
      </c>
      <c r="J317" s="62">
        <f t="shared" ref="J317" ca="1" si="202">J305+J312</f>
        <v>145099.23120000001</v>
      </c>
      <c r="K317" s="32"/>
      <c r="L317" s="27">
        <f t="shared" ca="1" si="180"/>
        <v>472221.94319999998</v>
      </c>
    </row>
    <row r="318" spans="1:12" outlineLevel="1"/>
    <row r="319" spans="1:12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1747</v>
      </c>
      <c r="E319" s="37"/>
      <c r="F319" s="37"/>
      <c r="G319" s="30">
        <f t="shared" ref="G319:I319" ca="1" si="203">SUMIF($D279:$D304,"*qnt*",G279:G304)</f>
        <v>9</v>
      </c>
      <c r="H319" s="30">
        <f t="shared" si="203"/>
        <v>14</v>
      </c>
      <c r="I319" s="30">
        <f t="shared" ca="1" si="203"/>
        <v>14</v>
      </c>
      <c r="J319" s="30">
        <f t="shared" ref="J319" ca="1" si="204">SUMIF($D279:$D304,"*qnt*",J279:J304)</f>
        <v>14</v>
      </c>
      <c r="K319" s="37"/>
      <c r="L319" s="37"/>
    </row>
    <row r="320" spans="1:12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</row>
    <row r="321" spans="1:12" ht="12" outlineLevel="1" thickBot="1"/>
    <row r="322" spans="1:12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J322" si="205">PeriodTitle</f>
        <v>"0"</v>
      </c>
      <c r="G322" s="19">
        <f t="shared" si="205"/>
        <v>2013</v>
      </c>
      <c r="H322" s="19">
        <f t="shared" si="205"/>
        <v>2014</v>
      </c>
      <c r="I322" s="19">
        <f t="shared" si="205"/>
        <v>2015</v>
      </c>
      <c r="J322" s="19">
        <f t="shared" si="205"/>
        <v>2016</v>
      </c>
      <c r="K322" s="19"/>
      <c r="L322" s="23" t="str">
        <f ca="1">OFFSET(Язык!$A$77,0,LANGUAGE)</f>
        <v>ИТОГО</v>
      </c>
    </row>
    <row r="323" spans="1:12" ht="12" customHeight="1" outlineLevel="1" thickTop="1"/>
    <row r="324" spans="1:12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ht="12" customHeight="1" outlineLevel="1">
      <c r="A325" s="32"/>
    </row>
    <row r="326" spans="1:12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t="shared" ref="G326:I326" ca="1" si="206">G269+G270</f>
        <v>134999.99999999997</v>
      </c>
      <c r="H326" s="72">
        <f t="shared" ca="1" si="206"/>
        <v>297000</v>
      </c>
      <c r="I326" s="72">
        <f t="shared" ca="1" si="206"/>
        <v>326700</v>
      </c>
      <c r="J326" s="72">
        <f t="shared" ref="J326" ca="1" si="207">J269+J270</f>
        <v>359370.00000000006</v>
      </c>
      <c r="L326" s="30">
        <f ca="1">SUM(G326:J326)</f>
        <v>1118070</v>
      </c>
    </row>
    <row r="327" spans="1:12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t="shared" ref="G327:I327" ca="1" si="208">G306+G307</f>
        <v>16920</v>
      </c>
      <c r="H327" s="26">
        <f t="shared" si="208"/>
        <v>37224</v>
      </c>
      <c r="I327" s="26">
        <f t="shared" ca="1" si="208"/>
        <v>40946.400000000001</v>
      </c>
      <c r="J327" s="26">
        <f t="shared" ref="J327" ca="1" si="209">J306+J307</f>
        <v>45041.04</v>
      </c>
      <c r="L327" s="30">
        <f ca="1">SUM(G327:J327)</f>
        <v>140131.44</v>
      </c>
    </row>
    <row r="328" spans="1:12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t="shared" ref="G328:I328" ca="1" si="210">G313</f>
        <v>4399.2</v>
      </c>
      <c r="H328" s="26">
        <f t="shared" si="210"/>
        <v>9678.24</v>
      </c>
      <c r="I328" s="26">
        <f t="shared" ca="1" si="210"/>
        <v>10646.064</v>
      </c>
      <c r="J328" s="26">
        <f t="shared" ref="J328" ca="1" si="211">J313</f>
        <v>11710.670400000001</v>
      </c>
      <c r="L328" s="30">
        <f ca="1">SUM(G328:J328)</f>
        <v>36434.174400000004</v>
      </c>
    </row>
    <row r="329" spans="1:12" ht="11.25" customHeight="1" outlineLevel="1">
      <c r="B329" s="12" t="str">
        <f ca="1">OFFSET(Язык!$A$78,0,LANGUAGE)</f>
        <v>Валюта</v>
      </c>
      <c r="E329" s="2">
        <v>1</v>
      </c>
    </row>
    <row r="330" spans="1:12" ht="11.25" customHeight="1" outlineLevel="1" collapsed="1">
      <c r="A330" s="241"/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0</v>
      </c>
      <c r="H330" s="40">
        <f t="shared" ref="H330:J330" si="212">G330*CHOOSE($B330,H$94,H$104)</f>
        <v>0</v>
      </c>
      <c r="I330" s="40">
        <f t="shared" si="212"/>
        <v>0</v>
      </c>
      <c r="J330" s="40">
        <f t="shared" si="212"/>
        <v>0</v>
      </c>
      <c r="K330" s="26"/>
      <c r="L330" s="27">
        <f>SUM(G330:J330)</f>
        <v>0</v>
      </c>
    </row>
    <row r="331" spans="1:12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 t="shared" ref="G331:I331" si="213">G330*$B331/(1+$B331)</f>
        <v>0</v>
      </c>
      <c r="H331" s="26">
        <f t="shared" si="213"/>
        <v>0</v>
      </c>
      <c r="I331" s="26">
        <f t="shared" si="213"/>
        <v>0</v>
      </c>
      <c r="J331" s="26">
        <f t="shared" ref="J331" si="214">J330*$B331/(1+$B331)</f>
        <v>0</v>
      </c>
      <c r="K331" s="26"/>
      <c r="L331" s="30">
        <f>SUM(G331:J331)</f>
        <v>0</v>
      </c>
    </row>
    <row r="332" spans="1:12" ht="11.25" customHeight="1" outlineLevel="1">
      <c r="G332" s="26"/>
      <c r="H332" s="26"/>
      <c r="I332" s="26"/>
      <c r="J332" s="26"/>
      <c r="K332" s="26"/>
      <c r="L332" s="26"/>
    </row>
    <row r="333" spans="1:12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</row>
    <row r="334" spans="1:12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</row>
    <row r="335" spans="1:12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 t="shared" ref="G335:I335" si="215">G308</f>
        <v>14760</v>
      </c>
      <c r="H335" s="72">
        <f t="shared" si="215"/>
        <v>27060</v>
      </c>
      <c r="I335" s="72">
        <f t="shared" si="215"/>
        <v>29766</v>
      </c>
      <c r="J335" s="72">
        <f t="shared" ref="J335" si="216">J308</f>
        <v>32742.600000000002</v>
      </c>
      <c r="L335" s="30">
        <f>SUM(G335:J335)</f>
        <v>104328.6</v>
      </c>
    </row>
    <row r="336" spans="1:12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 t="shared" ref="G336:I336" si="217">G314</f>
        <v>3837.6</v>
      </c>
      <c r="H336" s="72">
        <f t="shared" si="217"/>
        <v>7035.6</v>
      </c>
      <c r="I336" s="72">
        <f t="shared" si="217"/>
        <v>7739.16</v>
      </c>
      <c r="J336" s="72">
        <f t="shared" ref="J336" si="218">J314</f>
        <v>8513.0760000000009</v>
      </c>
      <c r="L336" s="30">
        <f>SUM(G336:J336)</f>
        <v>27125.436000000002</v>
      </c>
    </row>
    <row r="337" spans="1:12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t="shared" ref="G337:I337" ca="1" si="219">G466+G478+G491+G529</f>
        <v>0</v>
      </c>
      <c r="H337" s="72">
        <f t="shared" ca="1" si="219"/>
        <v>57500</v>
      </c>
      <c r="I337" s="72">
        <f t="shared" ca="1" si="219"/>
        <v>57500</v>
      </c>
      <c r="J337" s="72">
        <f t="shared" ref="J337" ca="1" si="220">J466+J478+J491+J529</f>
        <v>57500</v>
      </c>
      <c r="L337" s="30">
        <f ca="1">SUM(G337:J337)</f>
        <v>172500</v>
      </c>
    </row>
    <row r="338" spans="1:12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 t="shared" ref="G338:I338" si="221">G706+G710</f>
        <v>0</v>
      </c>
      <c r="H338" s="72">
        <f t="shared" si="221"/>
        <v>0</v>
      </c>
      <c r="I338" s="72">
        <f t="shared" si="221"/>
        <v>0</v>
      </c>
      <c r="J338" s="72">
        <f t="shared" ref="J338" si="222">J706+J710</f>
        <v>0</v>
      </c>
      <c r="L338" s="30">
        <f>SUM(G338:J338)</f>
        <v>0</v>
      </c>
    </row>
    <row r="339" spans="1:12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</row>
    <row r="340" spans="1:12" ht="11.25" customHeight="1" outlineLevel="1" collapsed="1">
      <c r="A340" s="241" t="s">
        <v>2396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19583</v>
      </c>
      <c r="H340" s="40">
        <v>44260</v>
      </c>
      <c r="I340" s="40">
        <f t="shared" ref="I340:J340" si="223">H340*CHOOSE($B340,I$94,I$104)</f>
        <v>48686.000000000007</v>
      </c>
      <c r="J340" s="40">
        <f t="shared" si="223"/>
        <v>53554.600000000013</v>
      </c>
      <c r="K340" s="26"/>
      <c r="L340" s="27">
        <f>SUM(G340:J340)</f>
        <v>166083.6</v>
      </c>
    </row>
    <row r="341" spans="1:12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 t="shared" ref="G341:I341" si="224">G340*$B341/(1+$B341)</f>
        <v>2098.1785714285711</v>
      </c>
      <c r="H341" s="26">
        <f t="shared" si="224"/>
        <v>4742.1428571428569</v>
      </c>
      <c r="I341" s="26">
        <f t="shared" si="224"/>
        <v>5216.3571428571431</v>
      </c>
      <c r="J341" s="26">
        <f t="shared" ref="J341" si="225">J340*$B341/(1+$B341)</f>
        <v>5737.9928571428582</v>
      </c>
      <c r="K341" s="26"/>
      <c r="L341" s="30">
        <f>SUM(G341:J341)</f>
        <v>17794.67142857143</v>
      </c>
    </row>
    <row r="342" spans="1:12" ht="11.25" customHeight="1" outlineLevel="1">
      <c r="G342" s="26"/>
      <c r="H342" s="26"/>
      <c r="I342" s="26"/>
      <c r="J342" s="26"/>
      <c r="K342" s="26"/>
      <c r="L342" s="26"/>
    </row>
    <row r="343" spans="1:12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</row>
    <row r="344" spans="1:12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</row>
    <row r="345" spans="1:12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 t="shared" ref="G345:I345" si="226">G309</f>
        <v>28080</v>
      </c>
      <c r="H345" s="46">
        <f t="shared" si="226"/>
        <v>30888</v>
      </c>
      <c r="I345" s="46">
        <f t="shared" si="226"/>
        <v>33976.800000000003</v>
      </c>
      <c r="J345" s="46">
        <f t="shared" ref="J345" si="227">J309</f>
        <v>37374.479999999996</v>
      </c>
      <c r="K345" s="46"/>
      <c r="L345" s="30">
        <f>SUM(G345:J345)</f>
        <v>130319.28</v>
      </c>
    </row>
    <row r="346" spans="1:12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 t="shared" ref="G346:I346" si="228">G315</f>
        <v>7300.8</v>
      </c>
      <c r="H346" s="46">
        <f t="shared" si="228"/>
        <v>8030.88</v>
      </c>
      <c r="I346" s="46">
        <f t="shared" si="228"/>
        <v>8833.9680000000008</v>
      </c>
      <c r="J346" s="46">
        <f t="shared" ref="J346" si="229">J315</f>
        <v>9717.3647999999994</v>
      </c>
      <c r="K346" s="46"/>
      <c r="L346" s="30">
        <f>SUM(G346:J346)</f>
        <v>33883.012799999997</v>
      </c>
    </row>
    <row r="347" spans="1:12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</row>
    <row r="348" spans="1:12" ht="11.25" customHeight="1" outlineLevel="1" collapsed="1">
      <c r="A348" s="5" t="s">
        <v>2274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0</v>
      </c>
      <c r="H348" s="40">
        <f t="shared" ref="H348:J348" si="230">G348*CHOOSE($B348,H$94,H$104)</f>
        <v>0</v>
      </c>
      <c r="I348" s="40">
        <f t="shared" si="230"/>
        <v>0</v>
      </c>
      <c r="J348" s="40">
        <f t="shared" si="230"/>
        <v>0</v>
      </c>
      <c r="K348" s="26"/>
      <c r="L348" s="27">
        <f>SUM(G348:J348)</f>
        <v>0</v>
      </c>
    </row>
    <row r="349" spans="1:12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 t="shared" ref="G349:I349" si="231">G348*$B349/(1+$B349)</f>
        <v>0</v>
      </c>
      <c r="H349" s="26">
        <f t="shared" si="231"/>
        <v>0</v>
      </c>
      <c r="I349" s="26">
        <f t="shared" si="231"/>
        <v>0</v>
      </c>
      <c r="J349" s="26">
        <f t="shared" ref="J349" si="232">J348*$B349/(1+$B349)</f>
        <v>0</v>
      </c>
      <c r="K349" s="26"/>
      <c r="L349" s="30">
        <f>SUM(G349:J349)</f>
        <v>0</v>
      </c>
    </row>
    <row r="350" spans="1:12" ht="11.25" customHeight="1" outlineLevel="1">
      <c r="G350" s="26"/>
      <c r="H350" s="26"/>
      <c r="I350" s="26"/>
      <c r="J350" s="26"/>
      <c r="K350" s="26"/>
      <c r="L350" s="26"/>
    </row>
    <row r="351" spans="1:12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</row>
    <row r="352" spans="1:12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</row>
    <row r="353" spans="1:12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 t="shared" ref="G353:I353" si="233">G310</f>
        <v>0</v>
      </c>
      <c r="H353" s="46">
        <f t="shared" si="233"/>
        <v>0</v>
      </c>
      <c r="I353" s="46">
        <f t="shared" si="233"/>
        <v>0</v>
      </c>
      <c r="J353" s="46">
        <f t="shared" ref="J353" si="234">J310</f>
        <v>0</v>
      </c>
      <c r="K353" s="46"/>
      <c r="L353" s="30">
        <f>SUM(G353:J353)</f>
        <v>0</v>
      </c>
    </row>
    <row r="354" spans="1:12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 t="shared" ref="G354:I354" si="235">G316</f>
        <v>0</v>
      </c>
      <c r="H354" s="46">
        <f t="shared" si="235"/>
        <v>0</v>
      </c>
      <c r="I354" s="46">
        <f t="shared" si="235"/>
        <v>0</v>
      </c>
      <c r="J354" s="46">
        <f t="shared" ref="J354" si="236">J316</f>
        <v>0</v>
      </c>
      <c r="K354" s="46"/>
      <c r="L354" s="30">
        <f>SUM(G354:J354)</f>
        <v>0</v>
      </c>
    </row>
    <row r="355" spans="1:12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</row>
    <row r="356" spans="1:12" ht="11.25" customHeight="1" outlineLevel="1" collapsed="1">
      <c r="A356" s="5" t="s">
        <v>2274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 t="shared" ref="H356:J356" si="237">G356*CHOOSE($B356,H$94,H$104)</f>
        <v>0</v>
      </c>
      <c r="I356" s="40">
        <f t="shared" si="237"/>
        <v>0</v>
      </c>
      <c r="J356" s="40">
        <f t="shared" si="237"/>
        <v>0</v>
      </c>
      <c r="K356" s="26"/>
      <c r="L356" s="27">
        <f>SUM(G356:J356)</f>
        <v>0</v>
      </c>
    </row>
    <row r="357" spans="1:12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 t="shared" ref="G357:I357" si="238">G356*$B357/(1+$B357)</f>
        <v>0</v>
      </c>
      <c r="H357" s="26">
        <f t="shared" si="238"/>
        <v>0</v>
      </c>
      <c r="I357" s="26">
        <f t="shared" si="238"/>
        <v>0</v>
      </c>
      <c r="J357" s="26">
        <f t="shared" ref="J357" si="239">J356*$B357/(1+$B357)</f>
        <v>0</v>
      </c>
      <c r="K357" s="26"/>
      <c r="L357" s="30">
        <f>SUM(G357:J357)</f>
        <v>0</v>
      </c>
    </row>
    <row r="358" spans="1:12" ht="11.25" customHeight="1" outlineLevel="1">
      <c r="G358" s="26"/>
      <c r="H358" s="26"/>
      <c r="I358" s="26"/>
      <c r="J358" s="26"/>
      <c r="K358" s="26"/>
      <c r="L358" s="30"/>
    </row>
    <row r="359" spans="1:12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2322</v>
      </c>
      <c r="G359" s="26">
        <f ca="1">G172*$B359</f>
        <v>0</v>
      </c>
      <c r="H359" s="26">
        <f ca="1">H172*$B359</f>
        <v>0</v>
      </c>
      <c r="I359" s="26">
        <f ca="1">I172*$B359</f>
        <v>0</v>
      </c>
      <c r="J359" s="26">
        <f ca="1">J172*$B359</f>
        <v>0</v>
      </c>
      <c r="K359" s="26"/>
      <c r="L359" s="27">
        <f ca="1">SUM(G359:J359)</f>
        <v>0</v>
      </c>
    </row>
    <row r="360" spans="1:12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2316</v>
      </c>
      <c r="G360" s="26">
        <f t="shared" ref="G360:I360" ca="1" si="240">G359*$B360/(1+$B360)</f>
        <v>0</v>
      </c>
      <c r="H360" s="26">
        <f t="shared" ca="1" si="240"/>
        <v>0</v>
      </c>
      <c r="I360" s="26">
        <f t="shared" ca="1" si="240"/>
        <v>0</v>
      </c>
      <c r="J360" s="26">
        <f t="shared" ref="J360" ca="1" si="241">J359*$B360/(1+$B360)</f>
        <v>0</v>
      </c>
      <c r="K360" s="26"/>
      <c r="L360" s="30">
        <f ca="1">SUM(G360:J360)</f>
        <v>0</v>
      </c>
    </row>
    <row r="361" spans="1:12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8"/>
    </row>
    <row r="362" spans="1:12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242">CUR_Main</f>
        <v>$</v>
      </c>
      <c r="D362" s="11"/>
      <c r="E362" s="11"/>
      <c r="F362" s="11"/>
      <c r="G362" s="46">
        <f t="shared" ref="G362:I362" ca="1" si="243">G255+G258+G307+G308+G309+G310+G312+G337+G376+G379+G382</f>
        <v>213318.13571428569</v>
      </c>
      <c r="H362" s="46">
        <f t="shared" ca="1" si="243"/>
        <v>482113.14857142861</v>
      </c>
      <c r="I362" s="46">
        <f t="shared" ca="1" si="243"/>
        <v>524574.46342857147</v>
      </c>
      <c r="J362" s="46">
        <f t="shared" ref="J362" ca="1" si="244">J255+J258+J307+J308+J309+J310+J312+J337+J376+J379+J382</f>
        <v>571281.90977142856</v>
      </c>
      <c r="K362" s="46"/>
      <c r="L362" s="27">
        <f t="shared" ref="L362:L383" ca="1" si="245">SUM(G362:J362)</f>
        <v>1791287.6574857142</v>
      </c>
    </row>
    <row r="363" spans="1:12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242"/>
        <v>$</v>
      </c>
      <c r="D363" s="11"/>
      <c r="E363" s="11"/>
      <c r="F363" s="11"/>
      <c r="G363" s="46">
        <f t="shared" ref="G363:I363" si="246">G258</f>
        <v>120535.71428571426</v>
      </c>
      <c r="H363" s="46">
        <f t="shared" si="246"/>
        <v>265178.57142857142</v>
      </c>
      <c r="I363" s="46">
        <f t="shared" si="246"/>
        <v>291696.42857142858</v>
      </c>
      <c r="J363" s="46">
        <f t="shared" ref="J363" si="247">J258</f>
        <v>320866.07142857148</v>
      </c>
      <c r="K363" s="46"/>
      <c r="L363" s="30">
        <f t="shared" si="245"/>
        <v>998276.7857142858</v>
      </c>
    </row>
    <row r="364" spans="1:12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242"/>
        <v>$</v>
      </c>
      <c r="D364" s="11"/>
      <c r="E364" s="11"/>
      <c r="F364" s="11"/>
      <c r="G364" s="46">
        <f t="shared" ref="G364:I364" ca="1" si="248">G255+G307+G308+G309+G310</f>
        <v>59760</v>
      </c>
      <c r="H364" s="46">
        <f t="shared" si="248"/>
        <v>95172</v>
      </c>
      <c r="I364" s="46">
        <f t="shared" ca="1" si="248"/>
        <v>104689.2</v>
      </c>
      <c r="J364" s="46">
        <f t="shared" ref="J364" ca="1" si="249">J255+J307+J308+J309+J310</f>
        <v>115158.12</v>
      </c>
      <c r="K364" s="46"/>
      <c r="L364" s="30">
        <f t="shared" ca="1" si="245"/>
        <v>374779.32</v>
      </c>
    </row>
    <row r="365" spans="1:12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242"/>
        <v>$</v>
      </c>
      <c r="D365" s="11"/>
      <c r="E365" s="11"/>
      <c r="F365" s="11"/>
      <c r="G365" s="46">
        <f t="shared" ref="G365:I365" ca="1" si="250">G699+G706+G710</f>
        <v>15537.599999999999</v>
      </c>
      <c r="H365" s="46">
        <f t="shared" si="250"/>
        <v>24744.720000000001</v>
      </c>
      <c r="I365" s="46">
        <f t="shared" ca="1" si="250"/>
        <v>27219.192000000003</v>
      </c>
      <c r="J365" s="46">
        <f t="shared" ref="J365" ca="1" si="251">J699+J706+J710</f>
        <v>29941.111200000003</v>
      </c>
      <c r="K365" s="46"/>
      <c r="L365" s="30">
        <f t="shared" ca="1" si="245"/>
        <v>97442.623200000002</v>
      </c>
    </row>
    <row r="366" spans="1:12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242"/>
        <v>$</v>
      </c>
      <c r="D366" s="11"/>
      <c r="E366" s="11"/>
      <c r="F366" s="11"/>
      <c r="G366" s="46">
        <f t="shared" ref="G366:I366" si="252">G376</f>
        <v>17484.821428571428</v>
      </c>
      <c r="H366" s="46">
        <f t="shared" si="252"/>
        <v>39517.857142857145</v>
      </c>
      <c r="I366" s="46">
        <f t="shared" si="252"/>
        <v>43469.642857142862</v>
      </c>
      <c r="J366" s="46">
        <f t="shared" ref="J366" si="253">J376</f>
        <v>47816.607142857152</v>
      </c>
      <c r="K366" s="46"/>
      <c r="L366" s="30">
        <f t="shared" si="245"/>
        <v>148288.92857142858</v>
      </c>
    </row>
    <row r="367" spans="1:12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242"/>
        <v>$</v>
      </c>
      <c r="D367" s="11"/>
      <c r="E367" s="11"/>
      <c r="F367" s="11"/>
      <c r="G367" s="46">
        <f t="shared" ref="G367:I367" ca="1" si="254">G520</f>
        <v>0</v>
      </c>
      <c r="H367" s="46">
        <f t="shared" ca="1" si="254"/>
        <v>0</v>
      </c>
      <c r="I367" s="46">
        <f t="shared" ca="1" si="254"/>
        <v>0</v>
      </c>
      <c r="J367" s="46">
        <f t="shared" ref="J367" ca="1" si="255">J520</f>
        <v>0</v>
      </c>
      <c r="K367" s="46"/>
      <c r="L367" s="30">
        <f t="shared" ca="1" si="245"/>
        <v>0</v>
      </c>
    </row>
    <row r="368" spans="1:12" ht="11.25" hidden="1" customHeight="1" outlineLevel="2">
      <c r="A368" s="45" t="str">
        <f ca="1">OFFSET(Язык!$A$383,0,LANGUAGE)</f>
        <v xml:space="preserve">    амортизация</v>
      </c>
      <c r="B368" s="236"/>
      <c r="C368" s="6" t="str">
        <f t="shared" ca="1" si="242"/>
        <v>$</v>
      </c>
      <c r="D368" s="45"/>
      <c r="E368" s="45"/>
      <c r="F368" s="45"/>
      <c r="G368" s="237">
        <f t="shared" ref="G368:I368" ca="1" si="256">G337</f>
        <v>0</v>
      </c>
      <c r="H368" s="237">
        <f t="shared" ca="1" si="256"/>
        <v>57500</v>
      </c>
      <c r="I368" s="237">
        <f t="shared" ca="1" si="256"/>
        <v>57500</v>
      </c>
      <c r="J368" s="237">
        <f t="shared" ref="J368" ca="1" si="257">J337</f>
        <v>57500</v>
      </c>
      <c r="K368" s="237"/>
      <c r="L368" s="30">
        <f t="shared" ca="1" si="245"/>
        <v>172500</v>
      </c>
    </row>
    <row r="369" spans="1:12" ht="11.25" hidden="1" customHeight="1" outlineLevel="2">
      <c r="A369" s="45" t="str">
        <f ca="1">OFFSET(Язык!$A$847,0,LANGUAGE)</f>
        <v xml:space="preserve">    коммерческие расходы</v>
      </c>
      <c r="B369" s="236"/>
      <c r="C369" s="6" t="str">
        <f t="shared" ca="1" si="242"/>
        <v>$</v>
      </c>
      <c r="D369" s="45"/>
      <c r="E369" s="45"/>
      <c r="F369" s="45"/>
      <c r="G369" s="237">
        <f t="shared" ref="G369:I369" ca="1" si="258">G382</f>
        <v>0</v>
      </c>
      <c r="H369" s="237">
        <f t="shared" ca="1" si="258"/>
        <v>0</v>
      </c>
      <c r="I369" s="237">
        <f t="shared" ca="1" si="258"/>
        <v>0</v>
      </c>
      <c r="J369" s="237">
        <f t="shared" ref="J369" ca="1" si="259">J382</f>
        <v>0</v>
      </c>
      <c r="K369" s="237"/>
      <c r="L369" s="30">
        <f t="shared" ca="1" si="245"/>
        <v>0</v>
      </c>
    </row>
    <row r="370" spans="1:12" ht="11.25" hidden="1" customHeight="1" outlineLevel="2">
      <c r="A370" s="45" t="str">
        <f ca="1">OFFSET(Язык!$A$848,0,LANGUAGE)</f>
        <v xml:space="preserve">    административные расходы</v>
      </c>
      <c r="B370" s="236"/>
      <c r="C370" s="6" t="str">
        <f t="shared" ca="1" si="242"/>
        <v>$</v>
      </c>
      <c r="D370" s="45"/>
      <c r="E370" s="45"/>
      <c r="F370" s="45"/>
      <c r="G370" s="237">
        <f t="shared" ref="G370:I370" si="260">G379</f>
        <v>0</v>
      </c>
      <c r="H370" s="237">
        <f t="shared" si="260"/>
        <v>0</v>
      </c>
      <c r="I370" s="237">
        <f t="shared" si="260"/>
        <v>0</v>
      </c>
      <c r="J370" s="237">
        <f t="shared" ref="J370" si="261">J379</f>
        <v>0</v>
      </c>
      <c r="K370" s="237"/>
      <c r="L370" s="30">
        <f t="shared" si="245"/>
        <v>0</v>
      </c>
    </row>
    <row r="371" spans="1:12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242"/>
        <v>$</v>
      </c>
      <c r="G371" s="26">
        <f t="shared" ref="G371:I371" ca="1" si="262">SUM(G372:G373)+G375+G378+G381</f>
        <v>229880.59999999998</v>
      </c>
      <c r="H371" s="26">
        <f t="shared" ca="1" si="262"/>
        <v>461176.72</v>
      </c>
      <c r="I371" s="26">
        <f t="shared" ca="1" si="262"/>
        <v>507294.39199999999</v>
      </c>
      <c r="J371" s="26">
        <f t="shared" ref="J371" ca="1" si="263">SUM(J372:J373)+J375+J378+J381</f>
        <v>558023.83120000002</v>
      </c>
      <c r="K371" s="26"/>
      <c r="L371" s="27">
        <f t="shared" ca="1" si="245"/>
        <v>1756375.5431999997</v>
      </c>
    </row>
    <row r="372" spans="1:12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242"/>
        <v>$</v>
      </c>
      <c r="G372" s="26">
        <f t="shared" ref="G372:I372" ca="1" si="264">G326</f>
        <v>134999.99999999997</v>
      </c>
      <c r="H372" s="26">
        <f t="shared" ca="1" si="264"/>
        <v>297000</v>
      </c>
      <c r="I372" s="26">
        <f t="shared" ca="1" si="264"/>
        <v>326700</v>
      </c>
      <c r="J372" s="26">
        <f t="shared" ref="J372" ca="1" si="265">J326</f>
        <v>359370.00000000006</v>
      </c>
      <c r="K372" s="26"/>
      <c r="L372" s="30">
        <f t="shared" ca="1" si="245"/>
        <v>1118070</v>
      </c>
    </row>
    <row r="373" spans="1:12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242"/>
        <v>$</v>
      </c>
      <c r="G373" s="26">
        <f t="shared" ref="G373:I373" ca="1" si="266">G317</f>
        <v>75297.600000000006</v>
      </c>
      <c r="H373" s="26">
        <f t="shared" si="266"/>
        <v>119916.72</v>
      </c>
      <c r="I373" s="26">
        <f t="shared" ca="1" si="266"/>
        <v>131908.39199999999</v>
      </c>
      <c r="J373" s="26">
        <f t="shared" ref="J373" ca="1" si="267">J317</f>
        <v>145099.23120000001</v>
      </c>
      <c r="K373" s="26"/>
      <c r="L373" s="30">
        <f t="shared" ca="1" si="245"/>
        <v>472221.94319999998</v>
      </c>
    </row>
    <row r="374" spans="1:12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242"/>
        <v>$</v>
      </c>
      <c r="G374" s="26">
        <f t="shared" ref="G374:I374" si="268">G338</f>
        <v>0</v>
      </c>
      <c r="H374" s="26">
        <f t="shared" si="268"/>
        <v>0</v>
      </c>
      <c r="I374" s="26">
        <f t="shared" si="268"/>
        <v>0</v>
      </c>
      <c r="J374" s="26">
        <f t="shared" ref="J374" si="269">J338</f>
        <v>0</v>
      </c>
      <c r="K374" s="26"/>
      <c r="L374" s="30">
        <f t="shared" si="245"/>
        <v>0</v>
      </c>
    </row>
    <row r="375" spans="1:12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242"/>
        <v>$</v>
      </c>
      <c r="G375" s="26">
        <f t="shared" ref="G375:I375" si="270">SUMIF($D329:$D342,"*1_01*",G329:G342)+SUMIF($D329:$D342,"*2_01*",G329:G342)*G$98</f>
        <v>19583</v>
      </c>
      <c r="H375" s="26">
        <f t="shared" si="270"/>
        <v>44260</v>
      </c>
      <c r="I375" s="26">
        <f t="shared" si="270"/>
        <v>48686.000000000007</v>
      </c>
      <c r="J375" s="26">
        <f t="shared" ref="J375" si="271">SUMIF($D329:$D342,"*1_01*",J329:J342)+SUMIF($D329:$D342,"*2_01*",J329:J342)*J$98</f>
        <v>53554.600000000013</v>
      </c>
      <c r="K375" s="26"/>
      <c r="L375" s="30">
        <f t="shared" si="245"/>
        <v>166083.6</v>
      </c>
    </row>
    <row r="376" spans="1:12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242"/>
        <v>$</v>
      </c>
      <c r="G376" s="26">
        <f t="shared" ref="G376:I376" si="272">G375-G377</f>
        <v>17484.821428571428</v>
      </c>
      <c r="H376" s="26">
        <f t="shared" si="272"/>
        <v>39517.857142857145</v>
      </c>
      <c r="I376" s="26">
        <f t="shared" si="272"/>
        <v>43469.642857142862</v>
      </c>
      <c r="J376" s="26">
        <f t="shared" ref="J376" si="273">J375-J377</f>
        <v>47816.607142857152</v>
      </c>
      <c r="K376" s="26"/>
      <c r="L376" s="30">
        <f t="shared" si="245"/>
        <v>148288.92857142858</v>
      </c>
    </row>
    <row r="377" spans="1:12" ht="11.25" hidden="1" customHeight="1" outlineLevel="2">
      <c r="A377" s="2" t="str">
        <f ca="1">OFFSET(Язык!$A$148,0,LANGUAGE)</f>
        <v xml:space="preserve">        НДС</v>
      </c>
      <c r="C377" s="6" t="str">
        <f t="shared" ca="1" si="242"/>
        <v>$</v>
      </c>
      <c r="G377" s="26">
        <f t="shared" ref="G377:I377" si="274">SUMIF($D329:$D342,"*1_02*",G329:G342)+SUMIF($D329:$D342,"*2_02*",G329:G342)*G$98</f>
        <v>2098.1785714285711</v>
      </c>
      <c r="H377" s="26">
        <f t="shared" si="274"/>
        <v>4742.1428571428569</v>
      </c>
      <c r="I377" s="26">
        <f t="shared" si="274"/>
        <v>5216.3571428571431</v>
      </c>
      <c r="J377" s="26">
        <f t="shared" ref="J377" si="275">SUMIF($D329:$D342,"*1_02*",J329:J342)+SUMIF($D329:$D342,"*2_02*",J329:J342)*J$98</f>
        <v>5737.9928571428582</v>
      </c>
      <c r="K377" s="26"/>
      <c r="L377" s="30">
        <f t="shared" si="245"/>
        <v>17794.67142857143</v>
      </c>
    </row>
    <row r="378" spans="1:12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242"/>
        <v>$</v>
      </c>
      <c r="G378" s="26">
        <f t="shared" ref="G378:I378" si="276">SUMIF($D347:$D350,"*1_01*",G347:G350)+SUMIF($D347:$D350,"*2_01*",G347:G350)*G$98</f>
        <v>0</v>
      </c>
      <c r="H378" s="26">
        <f t="shared" si="276"/>
        <v>0</v>
      </c>
      <c r="I378" s="26">
        <f t="shared" si="276"/>
        <v>0</v>
      </c>
      <c r="J378" s="26">
        <f t="shared" ref="J378" si="277">SUMIF($D347:$D350,"*1_01*",J347:J350)+SUMIF($D347:$D350,"*2_01*",J347:J350)*J$98</f>
        <v>0</v>
      </c>
      <c r="K378" s="26"/>
      <c r="L378" s="30">
        <f t="shared" si="245"/>
        <v>0</v>
      </c>
    </row>
    <row r="379" spans="1:12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242"/>
        <v>$</v>
      </c>
      <c r="G379" s="26">
        <f t="shared" ref="G379:I379" si="278">G378-G380</f>
        <v>0</v>
      </c>
      <c r="H379" s="26">
        <f t="shared" si="278"/>
        <v>0</v>
      </c>
      <c r="I379" s="26">
        <f t="shared" si="278"/>
        <v>0</v>
      </c>
      <c r="J379" s="26">
        <f t="shared" ref="J379" si="279">J378-J380</f>
        <v>0</v>
      </c>
      <c r="K379" s="26"/>
      <c r="L379" s="30">
        <f t="shared" si="245"/>
        <v>0</v>
      </c>
    </row>
    <row r="380" spans="1:12" ht="11.25" hidden="1" customHeight="1" outlineLevel="2">
      <c r="A380" s="2" t="str">
        <f ca="1">OFFSET(Язык!$A$148,0,LANGUAGE)</f>
        <v xml:space="preserve">        НДС</v>
      </c>
      <c r="C380" s="6" t="str">
        <f t="shared" ca="1" si="242"/>
        <v>$</v>
      </c>
      <c r="G380" s="26">
        <f t="shared" ref="G380:I380" si="280">SUMIF($D347:$D350,"*1_02*",G347:G350)+SUMIF($D347:$D350,"*2_02*",G347:G350)*G$98</f>
        <v>0</v>
      </c>
      <c r="H380" s="26">
        <f t="shared" si="280"/>
        <v>0</v>
      </c>
      <c r="I380" s="26">
        <f t="shared" si="280"/>
        <v>0</v>
      </c>
      <c r="J380" s="26">
        <f t="shared" ref="J380" si="281">SUMIF($D347:$D350,"*1_02*",J347:J350)+SUMIF($D347:$D350,"*2_02*",J347:J350)*J$98</f>
        <v>0</v>
      </c>
      <c r="K380" s="26"/>
      <c r="L380" s="30">
        <f t="shared" si="245"/>
        <v>0</v>
      </c>
    </row>
    <row r="381" spans="1:12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242"/>
        <v>$</v>
      </c>
      <c r="G381" s="26">
        <f t="shared" ref="G381:I381" ca="1" si="282">SUMIF($D355:$D361,"*1_01*",G355:G361)+SUMIF($D355:$D361,"*2_01*",G355:G361)*G$98</f>
        <v>0</v>
      </c>
      <c r="H381" s="26">
        <f t="shared" ca="1" si="282"/>
        <v>0</v>
      </c>
      <c r="I381" s="26">
        <f t="shared" ca="1" si="282"/>
        <v>0</v>
      </c>
      <c r="J381" s="26">
        <f t="shared" ref="J381" ca="1" si="283">SUMIF($D355:$D361,"*1_01*",J355:J361)+SUMIF($D355:$D361,"*2_01*",J355:J361)*J$98</f>
        <v>0</v>
      </c>
      <c r="K381" s="26"/>
      <c r="L381" s="30">
        <f t="shared" ca="1" si="245"/>
        <v>0</v>
      </c>
    </row>
    <row r="382" spans="1:12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242"/>
        <v>$</v>
      </c>
      <c r="G382" s="26">
        <f t="shared" ref="G382:I382" ca="1" si="284">G381-G383</f>
        <v>0</v>
      </c>
      <c r="H382" s="26">
        <f t="shared" ca="1" si="284"/>
        <v>0</v>
      </c>
      <c r="I382" s="26">
        <f t="shared" ca="1" si="284"/>
        <v>0</v>
      </c>
      <c r="J382" s="26">
        <f t="shared" ref="J382" ca="1" si="285">J381-J383</f>
        <v>0</v>
      </c>
      <c r="K382" s="26"/>
      <c r="L382" s="30">
        <f t="shared" ca="1" si="245"/>
        <v>0</v>
      </c>
    </row>
    <row r="383" spans="1:12" ht="11.25" hidden="1" customHeight="1" outlineLevel="2">
      <c r="A383" s="2" t="str">
        <f ca="1">OFFSET(Язык!$A$148,0,LANGUAGE)</f>
        <v xml:space="preserve">        НДС</v>
      </c>
      <c r="C383" s="6" t="str">
        <f t="shared" ca="1" si="242"/>
        <v>$</v>
      </c>
      <c r="G383" s="26">
        <f t="shared" ref="G383:I383" ca="1" si="286">SUMIF($D355:$D361,"*1_02*",G355:G361)+SUMIF($D355:$D361,"*2_02*",G355:G361)*G$98</f>
        <v>0</v>
      </c>
      <c r="H383" s="26">
        <f t="shared" ca="1" si="286"/>
        <v>0</v>
      </c>
      <c r="I383" s="26">
        <f t="shared" ca="1" si="286"/>
        <v>0</v>
      </c>
      <c r="J383" s="26">
        <f t="shared" ref="J383" ca="1" si="287">SUMIF($D355:$D361,"*1_02*",J355:J361)+SUMIF($D355:$D361,"*2_02*",J355:J361)*J$98</f>
        <v>0</v>
      </c>
      <c r="K383" s="26"/>
      <c r="L383" s="30">
        <f t="shared" ca="1" si="245"/>
        <v>0</v>
      </c>
    </row>
    <row r="384" spans="1:12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</row>
    <row r="385" spans="1:12" ht="12" customHeight="1" outlineLevel="1" thickBot="1"/>
    <row r="386" spans="1:12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J386" si="288">PeriodTitle</f>
        <v>"0"</v>
      </c>
      <c r="G386" s="19">
        <f t="shared" si="288"/>
        <v>2013</v>
      </c>
      <c r="H386" s="19">
        <f t="shared" si="288"/>
        <v>2014</v>
      </c>
      <c r="I386" s="19">
        <f t="shared" si="288"/>
        <v>2015</v>
      </c>
      <c r="J386" s="19">
        <f t="shared" si="288"/>
        <v>2016</v>
      </c>
      <c r="K386" s="19"/>
      <c r="L386" s="23" t="str">
        <f ca="1">OFFSET(Язык!$A$77,0,LANGUAGE)</f>
        <v>ИТОГО</v>
      </c>
    </row>
    <row r="387" spans="1:12" ht="12" outlineLevel="1" thickTop="1"/>
    <row r="388" spans="1:12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2" outlineLevel="1" collapsed="1">
      <c r="A389" s="241" t="s">
        <v>2395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300000</v>
      </c>
      <c r="H389" s="40">
        <v>0</v>
      </c>
      <c r="I389" s="40">
        <v>0</v>
      </c>
      <c r="J389" s="40">
        <v>0</v>
      </c>
      <c r="K389" s="26"/>
      <c r="L389" s="27">
        <f>SUM(F389:J389)</f>
        <v>300000</v>
      </c>
    </row>
    <row r="390" spans="1:12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2322</v>
      </c>
      <c r="E390" s="52"/>
      <c r="F390" s="25">
        <f t="shared" ref="F390:I390" si="289">F389*IF($B389=1,1,F$98)/(1+$B402)</f>
        <v>0</v>
      </c>
      <c r="G390" s="25">
        <f t="shared" si="289"/>
        <v>267857.14285714284</v>
      </c>
      <c r="H390" s="25">
        <f t="shared" si="289"/>
        <v>0</v>
      </c>
      <c r="I390" s="25">
        <f t="shared" si="289"/>
        <v>0</v>
      </c>
      <c r="J390" s="25">
        <f t="shared" ref="J390" si="290">J389*IF($B389=1,1,J$98)/(1+$B402)</f>
        <v>0</v>
      </c>
      <c r="K390" s="26"/>
      <c r="L390" s="30">
        <f>SUM(F390:J390)</f>
        <v>267857.14285714284</v>
      </c>
    </row>
    <row r="391" spans="1:12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414</v>
      </c>
      <c r="F391" s="26"/>
      <c r="G391" s="26"/>
      <c r="H391" s="26"/>
      <c r="I391" s="26"/>
      <c r="J391" s="26"/>
      <c r="K391" s="26"/>
      <c r="L391" s="26"/>
    </row>
    <row r="392" spans="1:12" hidden="1" outlineLevel="2">
      <c r="A392" s="52" t="str">
        <f ca="1">OFFSET(Язык!$A$157,0,LANGUAGE)</f>
        <v xml:space="preserve">    общая стоимость актива (без НДС)</v>
      </c>
      <c r="B392" s="53">
        <f>L390+B391</f>
        <v>267857.14285714284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</row>
    <row r="393" spans="1:12" hidden="1" outlineLevel="2">
      <c r="A393" s="108" t="str">
        <f ca="1">OFFSET(Язык!$A$158,0,LANGUAGE)</f>
        <v xml:space="preserve">    начало амортизации с</v>
      </c>
      <c r="B393" s="55">
        <f ca="1">MATCH(OFFSET(L394,0,-2),F394:J394,0)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</row>
    <row r="394" spans="1:12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1738</v>
      </c>
      <c r="F394" s="26">
        <f>B391+F390</f>
        <v>0</v>
      </c>
      <c r="G394" s="26">
        <f t="shared" ref="G394:J394" si="291">F394+G390</f>
        <v>267857.14285714284</v>
      </c>
      <c r="H394" s="26">
        <f t="shared" si="291"/>
        <v>267857.14285714284</v>
      </c>
      <c r="I394" s="26">
        <f t="shared" si="291"/>
        <v>267857.14285714284</v>
      </c>
      <c r="J394" s="26">
        <f t="shared" si="291"/>
        <v>267857.14285714284</v>
      </c>
      <c r="K394" s="26"/>
      <c r="L394" s="26"/>
    </row>
    <row r="395" spans="1:12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1739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267857.14285714284</v>
      </c>
      <c r="I395" s="26">
        <f ca="1">IF($B393&lt;=I$27,IF(SUM($G405:I405)&gt;0.01,0,$B392),0)</f>
        <v>267857.14285714284</v>
      </c>
      <c r="J395" s="26">
        <f ca="1">IF($B393&lt;=J$27,IF(SUM($G405:J405)&gt;0.01,0,$B392),0)</f>
        <v>267857.14285714284</v>
      </c>
      <c r="K395" s="26"/>
      <c r="L395" s="26"/>
    </row>
    <row r="396" spans="1:12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1740</v>
      </c>
      <c r="F396" s="26">
        <f t="shared" ref="F396:I396" ca="1" si="292">IF($B393&gt;F$27,F394,0)</f>
        <v>0</v>
      </c>
      <c r="G396" s="26">
        <f t="shared" ca="1" si="292"/>
        <v>267857.14285714284</v>
      </c>
      <c r="H396" s="26">
        <f t="shared" ca="1" si="292"/>
        <v>0</v>
      </c>
      <c r="I396" s="26">
        <f t="shared" ca="1" si="292"/>
        <v>0</v>
      </c>
      <c r="J396" s="26">
        <f t="shared" ref="J396" ca="1" si="293">IF($B393&gt;J$27,J394,0)</f>
        <v>0</v>
      </c>
      <c r="K396" s="26"/>
      <c r="L396" s="26"/>
    </row>
    <row r="397" spans="1:12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1741</v>
      </c>
      <c r="F397" s="26"/>
      <c r="G397" s="26">
        <f t="shared" ref="G397:I397" ca="1" si="294">IF($B393&lt;=G$27,$B392-G394,0)</f>
        <v>0</v>
      </c>
      <c r="H397" s="26">
        <f t="shared" ca="1" si="294"/>
        <v>0</v>
      </c>
      <c r="I397" s="26">
        <f t="shared" ca="1" si="294"/>
        <v>0</v>
      </c>
      <c r="J397" s="26">
        <f t="shared" ref="J397" ca="1" si="295">IF($B393&lt;=J$27,$B392-J394,0)</f>
        <v>0</v>
      </c>
      <c r="K397" s="26"/>
      <c r="L397" s="26"/>
    </row>
    <row r="398" spans="1:12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1854</v>
      </c>
      <c r="F398" s="26"/>
      <c r="G398" s="26">
        <f t="shared" ref="G398:J398" ca="1" si="296">MIN(G395*$B398*PRJ_Step/360,MAX(F401+G395-F395,0))</f>
        <v>0</v>
      </c>
      <c r="H398" s="26">
        <f t="shared" ca="1" si="296"/>
        <v>13392.857142857143</v>
      </c>
      <c r="I398" s="26">
        <f t="shared" ca="1" si="296"/>
        <v>13392.857142857143</v>
      </c>
      <c r="J398" s="26">
        <f t="shared" ca="1" si="296"/>
        <v>13392.857142857143</v>
      </c>
      <c r="K398" s="26"/>
      <c r="L398" s="30">
        <f ca="1">SUM(F398:J398)</f>
        <v>40178.571428571428</v>
      </c>
    </row>
    <row r="399" spans="1:12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1855</v>
      </c>
      <c r="F399" s="26"/>
      <c r="G399" s="26">
        <f t="shared" ref="G399:J399" si="297">IF(OR($B399=0,F401=0),0,IF($B398&gt;0,0,IF(F401&gt;0.2*F395,F401*2/$B399*PRJ_Step/360,MIN(F401,F395*PRJ_Step/360/IF($B399&lt;4,1,IF($B399&gt;5,3,2))))))</f>
        <v>0</v>
      </c>
      <c r="H399" s="26">
        <f t="shared" ca="1" si="297"/>
        <v>0</v>
      </c>
      <c r="I399" s="26">
        <f t="shared" ca="1" si="297"/>
        <v>0</v>
      </c>
      <c r="J399" s="26">
        <f t="shared" ca="1" si="297"/>
        <v>0</v>
      </c>
      <c r="K399" s="26"/>
      <c r="L399" s="30">
        <f ca="1">SUM(F399:J399)</f>
        <v>0</v>
      </c>
    </row>
    <row r="400" spans="1:12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298">CUR_Main</f>
        <v>$</v>
      </c>
      <c r="D400" s="2" t="s">
        <v>1742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13392.857142857143</v>
      </c>
      <c r="I400" s="26">
        <f ca="1">IF(SUM($G405:I405)&gt;0.01,0,H400+I398+I399)</f>
        <v>26785.714285714286</v>
      </c>
      <c r="J400" s="26">
        <f ca="1">IF(SUM($G405:J405)&gt;0.01,0,I400+J398+J399)</f>
        <v>40178.571428571428</v>
      </c>
      <c r="K400" s="26"/>
      <c r="L400" s="30"/>
    </row>
    <row r="401" spans="1:12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298"/>
        <v>$</v>
      </c>
      <c r="D401" s="43" t="s">
        <v>1743</v>
      </c>
      <c r="E401" s="43"/>
      <c r="F401" s="46">
        <v>0</v>
      </c>
      <c r="G401" s="46">
        <f t="shared" ref="G401:I401" ca="1" si="299">G395-G400</f>
        <v>0</v>
      </c>
      <c r="H401" s="46">
        <f t="shared" ca="1" si="299"/>
        <v>254464.28571428571</v>
      </c>
      <c r="I401" s="46">
        <f t="shared" ca="1" si="299"/>
        <v>241071.42857142855</v>
      </c>
      <c r="J401" s="46">
        <f t="shared" ref="J401" ca="1" si="300">J395-J400</f>
        <v>227678.57142857142</v>
      </c>
      <c r="K401" s="46"/>
      <c r="L401" s="46"/>
    </row>
    <row r="402" spans="1:12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298"/>
        <v>$</v>
      </c>
      <c r="D402" s="2" t="s">
        <v>1856</v>
      </c>
      <c r="F402" s="46">
        <f t="shared" ref="F402:I402" si="301">F390*$B402</f>
        <v>0</v>
      </c>
      <c r="G402" s="46">
        <f t="shared" si="301"/>
        <v>32142.857142857141</v>
      </c>
      <c r="H402" s="46">
        <f t="shared" si="301"/>
        <v>0</v>
      </c>
      <c r="I402" s="46">
        <f t="shared" si="301"/>
        <v>0</v>
      </c>
      <c r="J402" s="46">
        <f t="shared" ref="J402" si="302">J390*$B402</f>
        <v>0</v>
      </c>
      <c r="K402" s="46"/>
      <c r="L402" s="152">
        <f>SUM(F402:J402)</f>
        <v>32142.857142857141</v>
      </c>
    </row>
    <row r="403" spans="1:12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298"/>
        <v>$</v>
      </c>
      <c r="D403" s="2" t="s">
        <v>415</v>
      </c>
      <c r="F403" s="46"/>
      <c r="G403" s="46"/>
      <c r="H403" s="46"/>
      <c r="I403" s="46"/>
      <c r="J403" s="46"/>
      <c r="K403" s="46"/>
      <c r="L403" s="46"/>
    </row>
    <row r="404" spans="1:12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298"/>
        <v>$</v>
      </c>
      <c r="D404" s="43" t="s">
        <v>1857</v>
      </c>
      <c r="E404" s="43"/>
      <c r="F404" s="46">
        <f ca="1">IF(AND($B393=F$27,OR(VAT_OnAssets=1,F$637=0)),$B403+MIN($L402,SUM($F402:F402)),IF($B393&gt;F$27,0,F402+IF(AND(VAT_OnAssets=2,F$637=0),$B403+MIN($L402,SUM($F402:F402))-SUM($E404:E404),0)))</f>
        <v>0</v>
      </c>
      <c r="G404" s="46">
        <f ca="1">IF(AND($B393=G$27,OR(VAT_OnAssets=1,G$637=0)),$B403+MIN($L402,SUM($F402:G402)),IF($B393&gt;G$27,0,G402+IF(AND(VAT_OnAssets=2,G$637=0),$B403+MIN($L402,SUM($F402:G402))-SUM($E404:F404),0)))</f>
        <v>0</v>
      </c>
      <c r="H404" s="46">
        <f ca="1">IF(AND($B393=H$27,OR(VAT_OnAssets=1,H$637=0)),$B403+MIN($L402,SUM($F402:H402)),IF($B393&gt;H$27,0,H402+IF(AND(VAT_OnAssets=2,H$637=0),$B403+MIN($L402,SUM($F402:H402))-SUM($E404:G404),0)))</f>
        <v>32142.857142857141</v>
      </c>
      <c r="I404" s="46">
        <f ca="1">IF(AND($B393=I$27,OR(VAT_OnAssets=1,I$637=0)),$B403+MIN($L402,SUM($F402:I402)),IF($B393&gt;I$27,0,I402+IF(AND(VAT_OnAssets=2,I$637=0),$B403+MIN($L402,SUM($F402:I402))-SUM($E404:H404),0)))</f>
        <v>0</v>
      </c>
      <c r="J404" s="46">
        <f ca="1">IF(AND($B393=J$27,OR(VAT_OnAssets=1,J$637=0)),$B403+MIN($L402,SUM($F402:J402)),IF($B393&gt;J$27,0,J402+IF(AND(VAT_OnAssets=2,J$637=0),$B403+MIN($L402,SUM($F402:J402))-SUM($E404:I404),0)))</f>
        <v>0</v>
      </c>
      <c r="K404" s="46"/>
      <c r="L404" s="152">
        <f ca="1">SUM(F404:J404)</f>
        <v>32142.857142857141</v>
      </c>
    </row>
    <row r="405" spans="1:12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298"/>
        <v>$</v>
      </c>
      <c r="D405" s="2" t="s">
        <v>1858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46"/>
      <c r="L405" s="152">
        <f>SUM(F405:J405)</f>
        <v>0</v>
      </c>
    </row>
    <row r="406" spans="1:12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298"/>
        <v>$</v>
      </c>
      <c r="D406" s="2" t="s">
        <v>1859</v>
      </c>
      <c r="F406" s="46"/>
      <c r="G406" s="46">
        <f t="shared" ref="G406:J406" si="303">IF(G405=0,0,G405-F401)</f>
        <v>0</v>
      </c>
      <c r="H406" s="46">
        <f t="shared" si="303"/>
        <v>0</v>
      </c>
      <c r="I406" s="46">
        <f t="shared" si="303"/>
        <v>0</v>
      </c>
      <c r="J406" s="46">
        <f t="shared" si="303"/>
        <v>0</v>
      </c>
      <c r="K406" s="46"/>
      <c r="L406" s="152">
        <f>SUM(F406:J406)</f>
        <v>0</v>
      </c>
    </row>
    <row r="407" spans="1:12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298"/>
        <v>$</v>
      </c>
      <c r="D407" s="43" t="s">
        <v>1860</v>
      </c>
      <c r="E407" s="43"/>
      <c r="F407" s="46"/>
      <c r="G407" s="46">
        <f t="shared" ref="G407:I407" si="304">G405*$B407</f>
        <v>0</v>
      </c>
      <c r="H407" s="46">
        <f t="shared" si="304"/>
        <v>0</v>
      </c>
      <c r="I407" s="46">
        <f t="shared" si="304"/>
        <v>0</v>
      </c>
      <c r="J407" s="46">
        <f t="shared" ref="J407" si="305">J405*$B407</f>
        <v>0</v>
      </c>
      <c r="K407" s="46"/>
      <c r="L407" s="152">
        <f>SUM(F407:J407)</f>
        <v>0</v>
      </c>
    </row>
    <row r="408" spans="1:12" outlineLevel="1">
      <c r="F408" s="46"/>
      <c r="G408" s="46"/>
      <c r="H408" s="46"/>
      <c r="I408" s="46"/>
      <c r="J408" s="46"/>
      <c r="K408" s="46"/>
      <c r="L408" s="46"/>
    </row>
    <row r="409" spans="1:12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</row>
    <row r="410" spans="1:12" outlineLevel="1" collapsed="1">
      <c r="A410" s="5" t="s">
        <v>410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197000</v>
      </c>
      <c r="H410" s="40">
        <v>0</v>
      </c>
      <c r="I410" s="40">
        <v>0</v>
      </c>
      <c r="J410" s="40">
        <v>0</v>
      </c>
      <c r="K410" s="26"/>
      <c r="L410" s="27">
        <f>SUM(F410:J410)</f>
        <v>197000</v>
      </c>
    </row>
    <row r="411" spans="1:12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2322</v>
      </c>
      <c r="E411" s="52"/>
      <c r="F411" s="25">
        <f t="shared" ref="F411:I411" si="306">IF($B415=0,F410*IF($B410=1,1,F$98)/(1+$B425),F410*IF($B410=1,1,F$98))</f>
        <v>0</v>
      </c>
      <c r="G411" s="25">
        <f t="shared" si="306"/>
        <v>175892.85714285713</v>
      </c>
      <c r="H411" s="25">
        <f t="shared" si="306"/>
        <v>0</v>
      </c>
      <c r="I411" s="25">
        <f t="shared" si="306"/>
        <v>0</v>
      </c>
      <c r="J411" s="25">
        <f t="shared" ref="J411" si="307">IF($B415=0,J410*IF($B410=1,1,J$98)/(1+$B425),J410*IF($B410=1,1,J$98))</f>
        <v>0</v>
      </c>
      <c r="K411" s="26"/>
      <c r="L411" s="30">
        <f>SUM(F411:J411)</f>
        <v>175892.85714285713</v>
      </c>
    </row>
    <row r="412" spans="1:12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414</v>
      </c>
      <c r="F412" s="26"/>
      <c r="G412" s="26"/>
      <c r="H412" s="26"/>
      <c r="I412" s="26"/>
      <c r="J412" s="26"/>
      <c r="K412" s="26"/>
      <c r="L412" s="26"/>
    </row>
    <row r="413" spans="1:12" hidden="1" outlineLevel="2">
      <c r="A413" s="52" t="str">
        <f ca="1">OFFSET(Язык!$A$157,0,LANGUAGE)</f>
        <v xml:space="preserve">    общая стоимость актива (без НДС)</v>
      </c>
      <c r="B413" s="53">
        <f>L411+B412</f>
        <v>175892.85714285713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</row>
    <row r="414" spans="1:12" hidden="1" outlineLevel="2">
      <c r="A414" s="108" t="str">
        <f ca="1">OFFSET(Язык!$A$158,0,LANGUAGE)</f>
        <v xml:space="preserve">    начало амортизации с</v>
      </c>
      <c r="B414" s="55">
        <f ca="1">MATCH(OFFSET(L417,0,-2),F417:J417,0)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</row>
    <row r="415" spans="1:12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</row>
    <row r="416" spans="1:12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1861</v>
      </c>
      <c r="E416" s="43"/>
      <c r="F416" s="46"/>
      <c r="G416" s="46">
        <f>IF($B415&gt;0,IF(G$27=$B415,$L410*IF($B410=1,1,G$98)*$B416,0),0)</f>
        <v>0</v>
      </c>
      <c r="H416" s="46">
        <f>IF($B415&gt;0,IF(H$27=$B415,$L410*IF($B410=1,1,H$98)*$B416,0),0)</f>
        <v>0</v>
      </c>
      <c r="I416" s="46">
        <f>IF($B415&gt;0,IF(I$27=$B415,$L410*IF($B410=1,1,I$98)*$B416,0),0)</f>
        <v>0</v>
      </c>
      <c r="J416" s="46">
        <f>IF($B415&gt;0,IF(J$27=$B415,$L410*IF($B410=1,1,J$98)*$B416,0),0)</f>
        <v>0</v>
      </c>
      <c r="K416" s="46"/>
      <c r="L416" s="152">
        <f>SUM(F416:J416)</f>
        <v>0</v>
      </c>
    </row>
    <row r="417" spans="1:12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1738</v>
      </c>
      <c r="F417" s="46">
        <f>B412+F411</f>
        <v>0</v>
      </c>
      <c r="G417" s="46">
        <f t="shared" ref="G417:J417" si="308">F417+G411</f>
        <v>175892.85714285713</v>
      </c>
      <c r="H417" s="46">
        <f t="shared" si="308"/>
        <v>175892.85714285713</v>
      </c>
      <c r="I417" s="46">
        <f t="shared" si="308"/>
        <v>175892.85714285713</v>
      </c>
      <c r="J417" s="46">
        <f t="shared" si="308"/>
        <v>175892.85714285713</v>
      </c>
      <c r="K417" s="46"/>
      <c r="L417" s="46"/>
    </row>
    <row r="418" spans="1:12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1739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175892.85714285713</v>
      </c>
      <c r="I418" s="46">
        <f ca="1">IF($B414&lt;=I$27,IF(SUM($G428:I428)&gt;0.01,0,$B413),0)</f>
        <v>175892.85714285713</v>
      </c>
      <c r="J418" s="46">
        <f ca="1">IF($B414&lt;=J$27,IF(SUM($G428:J428)&gt;0.01,0,$B413),0)</f>
        <v>175892.85714285713</v>
      </c>
      <c r="K418" s="46"/>
      <c r="L418" s="46"/>
    </row>
    <row r="419" spans="1:12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1740</v>
      </c>
      <c r="F419" s="46">
        <f t="shared" ref="F419:I419" ca="1" si="309">IF($B414&gt;F$27,F417,0)</f>
        <v>0</v>
      </c>
      <c r="G419" s="46">
        <f t="shared" ca="1" si="309"/>
        <v>175892.85714285713</v>
      </c>
      <c r="H419" s="46">
        <f t="shared" ca="1" si="309"/>
        <v>0</v>
      </c>
      <c r="I419" s="46">
        <f t="shared" ca="1" si="309"/>
        <v>0</v>
      </c>
      <c r="J419" s="46">
        <f t="shared" ref="J419" ca="1" si="310">IF($B414&gt;J$27,J417,0)</f>
        <v>0</v>
      </c>
      <c r="K419" s="46"/>
      <c r="L419" s="46"/>
    </row>
    <row r="420" spans="1:12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1741</v>
      </c>
      <c r="F420" s="46"/>
      <c r="G420" s="46">
        <f t="shared" ref="G420:I420" ca="1" si="311">IF($B414&lt;=G$27,$B413-G417,0)</f>
        <v>0</v>
      </c>
      <c r="H420" s="46">
        <f t="shared" ca="1" si="311"/>
        <v>0</v>
      </c>
      <c r="I420" s="46">
        <f t="shared" ca="1" si="311"/>
        <v>0</v>
      </c>
      <c r="J420" s="46">
        <f t="shared" ref="J420" ca="1" si="312">IF($B414&lt;=J$27,$B413-J417,0)</f>
        <v>0</v>
      </c>
      <c r="K420" s="46"/>
      <c r="L420" s="46"/>
    </row>
    <row r="421" spans="1:12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1854</v>
      </c>
      <c r="F421" s="46"/>
      <c r="G421" s="46">
        <f t="shared" ref="G421:J421" ca="1" si="313">MIN(G418*$B421*PRJ_Step/360,MAX(F424+G418-F418,0))</f>
        <v>0</v>
      </c>
      <c r="H421" s="46">
        <f t="shared" ca="1" si="313"/>
        <v>35178.571428571428</v>
      </c>
      <c r="I421" s="46">
        <f t="shared" ca="1" si="313"/>
        <v>35178.571428571428</v>
      </c>
      <c r="J421" s="46">
        <f t="shared" ca="1" si="313"/>
        <v>35178.571428571428</v>
      </c>
      <c r="K421" s="46"/>
      <c r="L421" s="152">
        <f ca="1">SUM(F421:J421)</f>
        <v>105535.71428571429</v>
      </c>
    </row>
    <row r="422" spans="1:12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1855</v>
      </c>
      <c r="F422" s="46"/>
      <c r="G422" s="46">
        <f t="shared" ref="G422:J422" si="314">IF(OR($B422=0,F424=0),0,IF($B421&gt;0,0,IF(F424&gt;0.2*F418,F424*2/$B422*PRJ_Step/360,MIN(F424,F418*PRJ_Step/360/IF($B422&lt;4,1,IF($B422&gt;5,3,2))))))</f>
        <v>0</v>
      </c>
      <c r="H422" s="46">
        <f t="shared" ca="1" si="314"/>
        <v>0</v>
      </c>
      <c r="I422" s="46">
        <f t="shared" ca="1" si="314"/>
        <v>0</v>
      </c>
      <c r="J422" s="46">
        <f t="shared" ca="1" si="314"/>
        <v>0</v>
      </c>
      <c r="K422" s="46"/>
      <c r="L422" s="152">
        <f ca="1">SUM(F422:J422)</f>
        <v>0</v>
      </c>
    </row>
    <row r="423" spans="1:12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315">CUR_Main</f>
        <v>$</v>
      </c>
      <c r="D423" s="2" t="s">
        <v>1742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35178.571428571428</v>
      </c>
      <c r="I423" s="46">
        <f ca="1">IF(SUM($G428:I428)&gt;0.01,0,H423+I421+I422)</f>
        <v>70357.142857142855</v>
      </c>
      <c r="J423" s="46">
        <f ca="1">IF(SUM($G428:J428)&gt;0.01,0,I423+J421+J422)</f>
        <v>105535.71428571429</v>
      </c>
      <c r="K423" s="46"/>
      <c r="L423" s="152"/>
    </row>
    <row r="424" spans="1:12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315"/>
        <v>$</v>
      </c>
      <c r="D424" s="43" t="s">
        <v>1743</v>
      </c>
      <c r="E424" s="43"/>
      <c r="F424" s="46">
        <v>0</v>
      </c>
      <c r="G424" s="46">
        <f t="shared" ref="G424:I424" ca="1" si="316">G418-G423</f>
        <v>0</v>
      </c>
      <c r="H424" s="46">
        <f t="shared" ca="1" si="316"/>
        <v>140714.28571428571</v>
      </c>
      <c r="I424" s="46">
        <f t="shared" ca="1" si="316"/>
        <v>105535.71428571428</v>
      </c>
      <c r="J424" s="46">
        <f t="shared" ref="J424" ca="1" si="317">J418-J423</f>
        <v>70357.142857142841</v>
      </c>
      <c r="K424" s="46"/>
      <c r="L424" s="46"/>
    </row>
    <row r="425" spans="1:12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315"/>
        <v>$</v>
      </c>
      <c r="D425" s="2" t="s">
        <v>1856</v>
      </c>
      <c r="F425" s="46">
        <f>IF($B415=0,F411*$B425,IF(F$27=$B415,($L416+$L410*IF($B410=1,1,F$98))*$B425,0))</f>
        <v>0</v>
      </c>
      <c r="G425" s="46">
        <f>IF($B415=0,G411*$B425,IF(G$27=$B415,($L416+$L410*IF($B410=1,1,G$98))*$B425,0))</f>
        <v>21107.142857142855</v>
      </c>
      <c r="H425" s="46">
        <f>IF($B415=0,H411*$B425,IF(H$27=$B415,($L416+$L410*IF($B410=1,1,H$98))*$B425,0))</f>
        <v>0</v>
      </c>
      <c r="I425" s="46">
        <f>IF($B415=0,I411*$B425,IF(I$27=$B415,($L416+$L410*IF($B410=1,1,I$98))*$B425,0))</f>
        <v>0</v>
      </c>
      <c r="J425" s="46">
        <f>IF($B415=0,J411*$B425,IF(J$27=$B415,($L416+$L410*IF($B410=1,1,J$98))*$B425,0))</f>
        <v>0</v>
      </c>
      <c r="K425" s="46"/>
      <c r="L425" s="152">
        <f>SUM(F425:J425)</f>
        <v>21107.142857142855</v>
      </c>
    </row>
    <row r="426" spans="1:12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315"/>
        <v>$</v>
      </c>
      <c r="D426" s="2" t="s">
        <v>415</v>
      </c>
      <c r="F426" s="46"/>
      <c r="G426" s="46"/>
      <c r="H426" s="46"/>
      <c r="I426" s="46"/>
      <c r="J426" s="46"/>
      <c r="K426" s="46"/>
      <c r="L426" s="46"/>
    </row>
    <row r="427" spans="1:12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315"/>
        <v>$</v>
      </c>
      <c r="D427" s="43" t="s">
        <v>1857</v>
      </c>
      <c r="E427" s="43"/>
      <c r="F427" s="46">
        <f ca="1">IF(AND($B414=F$27,OR(VAT_OnAssets=1,F$637=0)),$B426+MIN($L425,SUM($F425:F425)),IF($B414&gt;F$27,0,F425+IF(AND(VAT_OnAssets=2,F$637=0),$B426+MIN($L425,SUM($E425:E425))-SUM($E427:E427),0)))</f>
        <v>0</v>
      </c>
      <c r="G427" s="46">
        <f ca="1">IF(AND($B414=G$27,OR(VAT_OnAssets=1,G$637=0)),$B426+MIN($L425,SUM($F425:G425)),IF($B414&gt;G$27,0,G425+IF(AND(VAT_OnAssets=2,G$637=0),$B426+MIN($L425,SUM($E425:F425))-SUM($E427:F427),0)))</f>
        <v>0</v>
      </c>
      <c r="H427" s="46">
        <f ca="1">IF(AND($B414=H$27,OR(VAT_OnAssets=1,H$637=0)),$B426+MIN($L425,SUM($F425:H425)),IF($B414&gt;H$27,0,H425+IF(AND(VAT_OnAssets=2,H$637=0),$B426+MIN($L425,SUM($E425:G425))-SUM($E427:G427),0)))</f>
        <v>21107.142857142855</v>
      </c>
      <c r="I427" s="46">
        <f ca="1">IF(AND($B414=I$27,OR(VAT_OnAssets=1,I$637=0)),$B426+MIN($L425,SUM($F425:I425)),IF($B414&gt;I$27,0,I425+IF(AND(VAT_OnAssets=2,I$637=0),$B426+MIN($L425,SUM($E425:H425))-SUM($E427:H427),0)))</f>
        <v>0</v>
      </c>
      <c r="J427" s="46">
        <f ca="1">IF(AND($B414=J$27,OR(VAT_OnAssets=1,J$637=0)),$B426+MIN($L425,SUM($F425:J425)),IF($B414&gt;J$27,0,J425+IF(AND(VAT_OnAssets=2,J$637=0),$B426+MIN($L425,SUM($E425:I425))-SUM($E427:I427),0)))</f>
        <v>0</v>
      </c>
      <c r="K427" s="46"/>
      <c r="L427" s="152">
        <f ca="1">SUM(F427:J427)</f>
        <v>21107.142857142855</v>
      </c>
    </row>
    <row r="428" spans="1:12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315"/>
        <v>$</v>
      </c>
      <c r="D428" s="2" t="s">
        <v>1858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46"/>
      <c r="L428" s="152">
        <f>SUM(F428:J428)</f>
        <v>0</v>
      </c>
    </row>
    <row r="429" spans="1:12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315"/>
        <v>$</v>
      </c>
      <c r="D429" s="2" t="s">
        <v>1859</v>
      </c>
      <c r="F429" s="46"/>
      <c r="G429" s="46">
        <f t="shared" ref="G429:J429" si="318">IF(G428=0,0,G428-F424)</f>
        <v>0</v>
      </c>
      <c r="H429" s="46">
        <f t="shared" si="318"/>
        <v>0</v>
      </c>
      <c r="I429" s="46">
        <f t="shared" si="318"/>
        <v>0</v>
      </c>
      <c r="J429" s="46">
        <f t="shared" si="318"/>
        <v>0</v>
      </c>
      <c r="K429" s="46"/>
      <c r="L429" s="152">
        <f>SUM(F429:J429)</f>
        <v>0</v>
      </c>
    </row>
    <row r="430" spans="1:12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315"/>
        <v>$</v>
      </c>
      <c r="D430" s="43" t="s">
        <v>1860</v>
      </c>
      <c r="E430" s="43"/>
      <c r="F430" s="46"/>
      <c r="G430" s="46">
        <f t="shared" ref="G430:I430" si="319">G428*$B430</f>
        <v>0</v>
      </c>
      <c r="H430" s="46">
        <f t="shared" si="319"/>
        <v>0</v>
      </c>
      <c r="I430" s="46">
        <f t="shared" si="319"/>
        <v>0</v>
      </c>
      <c r="J430" s="46">
        <f t="shared" ref="J430" si="320">J428*$B430</f>
        <v>0</v>
      </c>
      <c r="K430" s="46"/>
      <c r="L430" s="152">
        <f>SUM(F430:J430)</f>
        <v>0</v>
      </c>
    </row>
    <row r="431" spans="1:12" outlineLevel="1">
      <c r="F431" s="46"/>
      <c r="G431" s="46"/>
      <c r="H431" s="46"/>
      <c r="I431" s="46"/>
      <c r="J431" s="46"/>
      <c r="K431" s="46"/>
      <c r="L431" s="46"/>
    </row>
    <row r="432" spans="1:12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</row>
    <row r="433" spans="1:12" outlineLevel="1" collapsed="1">
      <c r="A433" s="5" t="s">
        <v>411</v>
      </c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50000</v>
      </c>
      <c r="H433" s="148">
        <v>0</v>
      </c>
      <c r="I433" s="148">
        <v>0</v>
      </c>
      <c r="J433" s="148">
        <v>0</v>
      </c>
      <c r="K433" s="46"/>
      <c r="L433" s="150">
        <f>SUM(F433:J433)</f>
        <v>50000</v>
      </c>
    </row>
    <row r="434" spans="1:12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2322</v>
      </c>
      <c r="E434" s="52"/>
      <c r="F434" s="149">
        <f t="shared" ref="F434:I434" si="321">F433*IF($B433=1,1,F$98)/(1+$B446)</f>
        <v>0</v>
      </c>
      <c r="G434" s="149">
        <f t="shared" si="321"/>
        <v>44642.857142857138</v>
      </c>
      <c r="H434" s="149">
        <f t="shared" si="321"/>
        <v>0</v>
      </c>
      <c r="I434" s="149">
        <f t="shared" si="321"/>
        <v>0</v>
      </c>
      <c r="J434" s="149">
        <f t="shared" ref="J434" si="322">J433*IF($B433=1,1,J$98)/(1+$B446)</f>
        <v>0</v>
      </c>
      <c r="K434" s="46"/>
      <c r="L434" s="152">
        <f>SUM(F434:J434)</f>
        <v>44642.857142857138</v>
      </c>
    </row>
    <row r="435" spans="1:12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414</v>
      </c>
      <c r="F435" s="46"/>
      <c r="G435" s="46"/>
      <c r="H435" s="46"/>
      <c r="I435" s="46"/>
      <c r="J435" s="46"/>
      <c r="K435" s="46"/>
      <c r="L435" s="46"/>
    </row>
    <row r="436" spans="1:12" hidden="1" outlineLevel="2">
      <c r="A436" s="52" t="str">
        <f ca="1">OFFSET(Язык!$A$157,0,LANGUAGE)</f>
        <v xml:space="preserve">    общая стоимость актива (без НДС)</v>
      </c>
      <c r="B436" s="53">
        <f>L434+B435</f>
        <v>44642.857142857138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</row>
    <row r="437" spans="1:12" hidden="1" outlineLevel="2">
      <c r="A437" s="108" t="str">
        <f ca="1">OFFSET(Язык!$A$158,0,LANGUAGE)</f>
        <v xml:space="preserve">    начало амортизации с</v>
      </c>
      <c r="B437" s="55">
        <f ca="1">MATCH(OFFSET(L438,0,-2),F438:J438,0)</f>
        <v>2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</row>
    <row r="438" spans="1:12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1738</v>
      </c>
      <c r="F438" s="46">
        <f>B435+F434</f>
        <v>0</v>
      </c>
      <c r="G438" s="46">
        <f t="shared" ref="G438:J438" si="323">F438+G434</f>
        <v>44642.857142857138</v>
      </c>
      <c r="H438" s="46">
        <f t="shared" si="323"/>
        <v>44642.857142857138</v>
      </c>
      <c r="I438" s="46">
        <f t="shared" si="323"/>
        <v>44642.857142857138</v>
      </c>
      <c r="J438" s="46">
        <f t="shared" si="323"/>
        <v>44642.857142857138</v>
      </c>
      <c r="K438" s="46"/>
      <c r="L438" s="46"/>
    </row>
    <row r="439" spans="1:12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1739</v>
      </c>
      <c r="F439" s="46">
        <f t="shared" ref="F439:I439" ca="1" si="324">IF($B437&lt;=F$27,$B436,0)</f>
        <v>0</v>
      </c>
      <c r="G439" s="46">
        <f t="shared" ca="1" si="324"/>
        <v>0</v>
      </c>
      <c r="H439" s="46">
        <f t="shared" ca="1" si="324"/>
        <v>44642.857142857138</v>
      </c>
      <c r="I439" s="46">
        <f t="shared" ca="1" si="324"/>
        <v>44642.857142857138</v>
      </c>
      <c r="J439" s="46">
        <f t="shared" ref="J439" ca="1" si="325">IF($B437&lt;=J$27,$B436,0)</f>
        <v>44642.857142857138</v>
      </c>
      <c r="K439" s="46"/>
      <c r="L439" s="46"/>
    </row>
    <row r="440" spans="1:12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1740</v>
      </c>
      <c r="F440" s="46">
        <f t="shared" ref="F440:I440" ca="1" si="326">IF($B437&gt;F$27,F438,0)</f>
        <v>0</v>
      </c>
      <c r="G440" s="46">
        <f t="shared" ca="1" si="326"/>
        <v>44642.857142857138</v>
      </c>
      <c r="H440" s="46">
        <f t="shared" ca="1" si="326"/>
        <v>0</v>
      </c>
      <c r="I440" s="46">
        <f t="shared" ca="1" si="326"/>
        <v>0</v>
      </c>
      <c r="J440" s="46">
        <f t="shared" ref="J440" ca="1" si="327">IF($B437&gt;J$27,J438,0)</f>
        <v>0</v>
      </c>
      <c r="K440" s="46"/>
      <c r="L440" s="46"/>
    </row>
    <row r="441" spans="1:12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1741</v>
      </c>
      <c r="F441" s="46"/>
      <c r="G441" s="46">
        <f t="shared" ref="G441:I441" ca="1" si="328">IF($B437&lt;=G$27,$B436-G438,0)</f>
        <v>0</v>
      </c>
      <c r="H441" s="46">
        <f t="shared" ca="1" si="328"/>
        <v>0</v>
      </c>
      <c r="I441" s="46">
        <f t="shared" ca="1" si="328"/>
        <v>0</v>
      </c>
      <c r="J441" s="46">
        <f t="shared" ref="J441" ca="1" si="329">IF($B437&lt;=J$27,$B436-J438,0)</f>
        <v>0</v>
      </c>
      <c r="K441" s="46"/>
      <c r="L441" s="46"/>
    </row>
    <row r="442" spans="1:12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1854</v>
      </c>
      <c r="F442" s="46"/>
      <c r="G442" s="46">
        <f t="shared" ref="G442:J442" ca="1" si="330">MIN(G439*$B442*PRJ_Step/360,MAX(F445+G439-F439,0))</f>
        <v>0</v>
      </c>
      <c r="H442" s="46">
        <f t="shared" ca="1" si="330"/>
        <v>8928.5714285714275</v>
      </c>
      <c r="I442" s="46">
        <f t="shared" ca="1" si="330"/>
        <v>8928.5714285714275</v>
      </c>
      <c r="J442" s="46">
        <f t="shared" ca="1" si="330"/>
        <v>8928.5714285714275</v>
      </c>
      <c r="K442" s="46"/>
      <c r="L442" s="152">
        <f ca="1">SUM(F442:J442)</f>
        <v>26785.714285714283</v>
      </c>
    </row>
    <row r="443" spans="1:12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1855</v>
      </c>
      <c r="F443" s="46"/>
      <c r="G443" s="46">
        <f t="shared" ref="G443:J443" si="331">IF(OR($B443=0,F445=0),0,IF($B442&gt;0,0,IF(F445&gt;0.2*F439,F445*2/$B443*PRJ_Step/360,MIN(F445,F439*PRJ_Step/360/IF($B443&lt;4,1,IF($B443&gt;5,3,2))))))</f>
        <v>0</v>
      </c>
      <c r="H443" s="46">
        <f t="shared" ca="1" si="331"/>
        <v>0</v>
      </c>
      <c r="I443" s="46">
        <f t="shared" ca="1" si="331"/>
        <v>0</v>
      </c>
      <c r="J443" s="46">
        <f t="shared" ca="1" si="331"/>
        <v>0</v>
      </c>
      <c r="K443" s="46"/>
      <c r="L443" s="152">
        <f ca="1">SUM(F443:J443)</f>
        <v>0</v>
      </c>
    </row>
    <row r="444" spans="1:12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1742</v>
      </c>
      <c r="F444" s="46">
        <v>0</v>
      </c>
      <c r="G444" s="46">
        <f t="shared" ref="G444:J444" ca="1" si="332">F444+G442+G443</f>
        <v>0</v>
      </c>
      <c r="H444" s="46">
        <f t="shared" ca="1" si="332"/>
        <v>8928.5714285714275</v>
      </c>
      <c r="I444" s="46">
        <f t="shared" ca="1" si="332"/>
        <v>17857.142857142855</v>
      </c>
      <c r="J444" s="46">
        <f t="shared" ca="1" si="332"/>
        <v>26785.714285714283</v>
      </c>
      <c r="K444" s="46"/>
      <c r="L444" s="152"/>
    </row>
    <row r="445" spans="1:12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1743</v>
      </c>
      <c r="E445" s="43"/>
      <c r="F445" s="46">
        <v>0</v>
      </c>
      <c r="G445" s="46">
        <f t="shared" ref="G445:I445" ca="1" si="333">G439-G444</f>
        <v>0</v>
      </c>
      <c r="H445" s="46">
        <f t="shared" ca="1" si="333"/>
        <v>35714.28571428571</v>
      </c>
      <c r="I445" s="46">
        <f t="shared" ca="1" si="333"/>
        <v>26785.714285714283</v>
      </c>
      <c r="J445" s="46">
        <f t="shared" ref="J445" ca="1" si="334">J439-J444</f>
        <v>17857.142857142855</v>
      </c>
      <c r="K445" s="46"/>
      <c r="L445" s="46"/>
    </row>
    <row r="446" spans="1:12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1856</v>
      </c>
      <c r="F446" s="46">
        <f t="shared" ref="F446:I446" si="335">F434*$B446</f>
        <v>0</v>
      </c>
      <c r="G446" s="46">
        <f t="shared" si="335"/>
        <v>5357.142857142856</v>
      </c>
      <c r="H446" s="46">
        <f t="shared" si="335"/>
        <v>0</v>
      </c>
      <c r="I446" s="46">
        <f t="shared" si="335"/>
        <v>0</v>
      </c>
      <c r="J446" s="46">
        <f t="shared" ref="J446" si="336">J434*$B446</f>
        <v>0</v>
      </c>
      <c r="K446" s="46"/>
      <c r="L446" s="152">
        <f>SUM(F446:J446)</f>
        <v>5357.142857142856</v>
      </c>
    </row>
    <row r="447" spans="1:12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415</v>
      </c>
      <c r="F447" s="46"/>
      <c r="G447" s="46"/>
      <c r="H447" s="46"/>
      <c r="I447" s="46"/>
      <c r="J447" s="46"/>
      <c r="K447" s="46"/>
      <c r="L447" s="46"/>
    </row>
    <row r="448" spans="1:12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1857</v>
      </c>
      <c r="E448" s="43"/>
      <c r="F448" s="46">
        <f ca="1">IF(AND($B437=F$27,OR(VAT_OnAssets=1,F$637=0)),$B447+MIN($L446,SUM($F446:F446)),IF($B437&gt;F$27,0,F446+IF(AND(VAT_OnAssets=2,F$637=0),$B447+MIN($L446,SUM($E446:E446))-SUM($E448:E448),0)))</f>
        <v>0</v>
      </c>
      <c r="G448" s="46">
        <f ca="1">IF(AND($B437=G$27,OR(VAT_OnAssets=1,G$637=0)),$B447+MIN($L446,SUM($F446:G446)),IF($B437&gt;G$27,0,G446+IF(AND(VAT_OnAssets=2,G$637=0),$B447+MIN($L446,SUM($E446:F446))-SUM($E448:F448),0)))</f>
        <v>0</v>
      </c>
      <c r="H448" s="46">
        <f ca="1">IF(AND($B437=H$27,OR(VAT_OnAssets=1,H$637=0)),$B447+MIN($L446,SUM($F446:H446)),IF($B437&gt;H$27,0,H446+IF(AND(VAT_OnAssets=2,H$637=0),$B447+MIN($L446,SUM($E446:G446))-SUM($E448:G448),0)))</f>
        <v>5357.142857142856</v>
      </c>
      <c r="I448" s="46">
        <f ca="1">IF(AND($B437=I$27,OR(VAT_OnAssets=1,I$637=0)),$B447+MIN($L446,SUM($F446:I446)),IF($B437&gt;I$27,0,I446+IF(AND(VAT_OnAssets=2,I$637=0),$B447+MIN($L446,SUM($E446:H446))-SUM($E448:H448),0)))</f>
        <v>0</v>
      </c>
      <c r="J448" s="46">
        <f ca="1">IF(AND($B437=J$27,OR(VAT_OnAssets=1,J$637=0)),$B447+MIN($L446,SUM($F446:J446)),IF($B437&gt;J$27,0,J446+IF(AND(VAT_OnAssets=2,J$637=0),$B447+MIN($L446,SUM($E446:I446))-SUM($E448:I448),0)))</f>
        <v>0</v>
      </c>
      <c r="K448" s="46"/>
      <c r="L448" s="152">
        <f ca="1">SUM(F448:J448)</f>
        <v>5357.142857142856</v>
      </c>
    </row>
    <row r="449" spans="1:12" outlineLevel="1">
      <c r="F449" s="26"/>
      <c r="G449" s="26"/>
      <c r="H449" s="26"/>
      <c r="I449" s="26"/>
      <c r="J449" s="26"/>
      <c r="K449" s="26"/>
      <c r="L449" s="26"/>
    </row>
    <row r="450" spans="1:12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ca="1">IF(G27&lt;$B451,G633-G634,0)</f>
        <v>0</v>
      </c>
      <c r="H450" s="26">
        <f ca="1">IF(H27&lt;$B451,H633-H634,0)</f>
        <v>0</v>
      </c>
      <c r="I450" s="26">
        <f ca="1">IF(I27&lt;$B451,I633-I634,0)</f>
        <v>0</v>
      </c>
      <c r="J450" s="26">
        <f ca="1">IF(J27&lt;$B451,J633-J634,0)</f>
        <v>0</v>
      </c>
      <c r="K450" s="26"/>
      <c r="L450" s="30">
        <f ca="1">SUM(F450:J450)</f>
        <v>0</v>
      </c>
    </row>
    <row r="451" spans="1:12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IF((L461+L473)&gt;0,MAX(B393,B414),0)</f>
        <v>2</v>
      </c>
      <c r="F451" s="26"/>
      <c r="G451" s="26"/>
      <c r="H451" s="26"/>
      <c r="I451" s="26"/>
      <c r="J451" s="26"/>
      <c r="K451" s="26"/>
      <c r="L451" s="26"/>
    </row>
    <row r="452" spans="1:12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1737</v>
      </c>
      <c r="F452" s="26"/>
      <c r="G452" s="26">
        <f ca="1">IF(G27&lt;$B451,F452+G450,0)</f>
        <v>0</v>
      </c>
      <c r="H452" s="26">
        <f ca="1">IF(H27&lt;$B451,G452+H450,0)</f>
        <v>0</v>
      </c>
      <c r="I452" s="26">
        <f ca="1">IF(I27&lt;$B451,H452+I450,0)</f>
        <v>0</v>
      </c>
      <c r="J452" s="26">
        <f ca="1">IF(J27&lt;$B451,I452+J450,0)</f>
        <v>0</v>
      </c>
      <c r="K452" s="26"/>
      <c r="L452" s="30"/>
    </row>
    <row r="453" spans="1:12" hidden="1" outlineLevel="2">
      <c r="A453" s="2" t="str">
        <f ca="1">OFFSET(Язык!$A$629,0,LANGUAGE)</f>
        <v xml:space="preserve">    балансовая стоимость</v>
      </c>
      <c r="D453" s="2" t="s">
        <v>1737</v>
      </c>
      <c r="F453" s="26"/>
      <c r="G453" s="26">
        <f ca="1">IF(G27&gt;=$B451,F453+F452,0)</f>
        <v>0</v>
      </c>
      <c r="H453" s="26">
        <f ca="1">IF(H27&gt;=$B451,G453+G452,0)</f>
        <v>0</v>
      </c>
      <c r="I453" s="26">
        <f ca="1">IF(I27&gt;=$B451,H453+H452,0)</f>
        <v>0</v>
      </c>
      <c r="J453" s="26">
        <f ca="1">IF(J27&gt;=$B451,I453+I452,0)</f>
        <v>0</v>
      </c>
      <c r="K453" s="26"/>
      <c r="L453" s="30"/>
    </row>
    <row r="454" spans="1:12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 t="shared" ref="G454:J454" si="337">MIN(F453*$B454*PRJ_Step/360,F455)</f>
        <v>0</v>
      </c>
      <c r="H454" s="26">
        <f t="shared" ca="1" si="337"/>
        <v>0</v>
      </c>
      <c r="I454" s="26">
        <f t="shared" ca="1" si="337"/>
        <v>0</v>
      </c>
      <c r="J454" s="26">
        <f t="shared" ca="1" si="337"/>
        <v>0</v>
      </c>
      <c r="K454" s="26"/>
      <c r="L454" s="30">
        <f ca="1">SUM(F454:J454)</f>
        <v>0</v>
      </c>
    </row>
    <row r="455" spans="1:12" hidden="1" outlineLevel="2">
      <c r="A455" s="2" t="str">
        <f ca="1">OFFSET(Язык!$A$631,0,LANGUAGE)</f>
        <v xml:space="preserve">    остаточная стоимость</v>
      </c>
      <c r="D455" s="2" t="s">
        <v>1737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/>
      <c r="L455" s="30"/>
    </row>
    <row r="456" spans="1:12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</row>
    <row r="457" spans="1:12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</row>
    <row r="458" spans="1:12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</row>
    <row r="459" spans="1:12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338">CUR_Main</f>
        <v>$</v>
      </c>
      <c r="F459" s="26"/>
      <c r="G459" s="26"/>
      <c r="H459" s="26"/>
      <c r="I459" s="26"/>
      <c r="J459" s="26"/>
      <c r="K459" s="26"/>
      <c r="L459" s="26"/>
    </row>
    <row r="460" spans="1:12" outlineLevel="1">
      <c r="A460" s="2" t="s">
        <v>678</v>
      </c>
      <c r="F460" s="26"/>
      <c r="G460" s="26"/>
      <c r="H460" s="26"/>
      <c r="I460" s="26"/>
      <c r="J460" s="26"/>
      <c r="K460" s="26"/>
      <c r="L460" s="26"/>
    </row>
    <row r="461" spans="1:12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338"/>
        <v>$</v>
      </c>
      <c r="F461" s="26">
        <f t="shared" ref="F461:I461" si="339">SUMIF($D388:$D408,"*1_00*",F388:F408)+SUMIF($D388:$D408,"*2_00*",F388:F408)*F$98</f>
        <v>0</v>
      </c>
      <c r="G461" s="26">
        <f t="shared" si="339"/>
        <v>300000</v>
      </c>
      <c r="H461" s="26">
        <f t="shared" si="339"/>
        <v>0</v>
      </c>
      <c r="I461" s="26">
        <f t="shared" si="339"/>
        <v>0</v>
      </c>
      <c r="J461" s="26">
        <f t="shared" ref="J461" si="340">SUMIF($D388:$D408,"*1_00*",J388:J408)+SUMIF($D388:$D408,"*2_00*",J388:J408)*J$98</f>
        <v>0</v>
      </c>
      <c r="K461" s="26"/>
      <c r="L461" s="27">
        <f>SUM(F461:J461)</f>
        <v>300000</v>
      </c>
    </row>
    <row r="462" spans="1:12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338"/>
        <v>$</v>
      </c>
      <c r="F462" s="26">
        <f t="shared" ref="F462:I462" si="341">SUMIF($D388:$D408,"*1_01*",F388:F408)</f>
        <v>0</v>
      </c>
      <c r="G462" s="26">
        <f t="shared" si="341"/>
        <v>267857.14285714284</v>
      </c>
      <c r="H462" s="26">
        <f t="shared" si="341"/>
        <v>0</v>
      </c>
      <c r="I462" s="26">
        <f t="shared" si="341"/>
        <v>0</v>
      </c>
      <c r="J462" s="26">
        <f t="shared" ref="J462" si="342">SUMIF($D388:$D408,"*1_01*",J388:J408)</f>
        <v>0</v>
      </c>
      <c r="K462" s="26"/>
      <c r="L462" s="30">
        <f t="shared" ref="L462:L495" si="343">SUM(F462:J462)</f>
        <v>267857.14285714284</v>
      </c>
    </row>
    <row r="463" spans="1:12" hidden="1" outlineLevel="2">
      <c r="A463" s="60" t="str">
        <f ca="1">OFFSET(Язык!$A$179,0,LANGUAGE)</f>
        <v xml:space="preserve">    балансовая стоимость</v>
      </c>
      <c r="C463" s="6" t="str">
        <f t="shared" ca="1" si="338"/>
        <v>$</v>
      </c>
      <c r="D463" s="2" t="s">
        <v>1737</v>
      </c>
      <c r="F463" s="26">
        <f t="shared" ref="F463:I463" ca="1" si="344">SUMIF($D388:$D408,"*1_03*",F388:F408)</f>
        <v>0</v>
      </c>
      <c r="G463" s="26">
        <f t="shared" ca="1" si="344"/>
        <v>0</v>
      </c>
      <c r="H463" s="26">
        <f t="shared" ca="1" si="344"/>
        <v>267857.14285714284</v>
      </c>
      <c r="I463" s="26">
        <f t="shared" ca="1" si="344"/>
        <v>267857.14285714284</v>
      </c>
      <c r="J463" s="26">
        <f t="shared" ref="J463" ca="1" si="345">SUMIF($D388:$D408,"*1_03*",J388:J408)</f>
        <v>267857.14285714284</v>
      </c>
      <c r="K463" s="26"/>
      <c r="L463" s="30"/>
    </row>
    <row r="464" spans="1:12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338"/>
        <v>$</v>
      </c>
      <c r="D464" s="2" t="s">
        <v>1737</v>
      </c>
      <c r="F464" s="26">
        <f t="shared" ref="F464:I464" ca="1" si="346">SUMIF($D388:$D408,"*1_04*",F388:F408)</f>
        <v>0</v>
      </c>
      <c r="G464" s="26">
        <f t="shared" ca="1" si="346"/>
        <v>267857.14285714284</v>
      </c>
      <c r="H464" s="26">
        <f t="shared" ca="1" si="346"/>
        <v>0</v>
      </c>
      <c r="I464" s="26">
        <f t="shared" ca="1" si="346"/>
        <v>0</v>
      </c>
      <c r="J464" s="26">
        <f t="shared" ref="J464" ca="1" si="347">SUMIF($D388:$D408,"*1_04*",J388:J408)</f>
        <v>0</v>
      </c>
      <c r="K464" s="26"/>
      <c r="L464" s="30"/>
    </row>
    <row r="465" spans="1:12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338"/>
        <v>$</v>
      </c>
      <c r="D465" s="2" t="s">
        <v>1737</v>
      </c>
      <c r="F465" s="26">
        <f t="shared" ref="F465:I465" si="348">SUMIF($D388:$D408,"*1_05*",F388:F408)</f>
        <v>0</v>
      </c>
      <c r="G465" s="26">
        <f t="shared" ca="1" si="348"/>
        <v>0</v>
      </c>
      <c r="H465" s="26">
        <f t="shared" ca="1" si="348"/>
        <v>0</v>
      </c>
      <c r="I465" s="26">
        <f t="shared" ca="1" si="348"/>
        <v>0</v>
      </c>
      <c r="J465" s="26">
        <f t="shared" ref="J465" ca="1" si="349">SUMIF($D388:$D408,"*1_05*",J388:J408)</f>
        <v>0</v>
      </c>
      <c r="K465" s="26"/>
      <c r="L465" s="30"/>
    </row>
    <row r="466" spans="1:12" hidden="1" outlineLevel="2">
      <c r="A466" s="60" t="str">
        <f ca="1">OFFSET(Язык!$A$182,0,LANGUAGE)</f>
        <v xml:space="preserve">    амортизация</v>
      </c>
      <c r="C466" s="6" t="str">
        <f t="shared" ca="1" si="338"/>
        <v>$</v>
      </c>
      <c r="F466" s="26">
        <f t="shared" ref="F466:I466" si="350">(SUMIF($D388:$D408,"*1_06*",F388:F408)+SUMIF($D388:$D408,"*1_07*",F388:F408))</f>
        <v>0</v>
      </c>
      <c r="G466" s="26">
        <f t="shared" ca="1" si="350"/>
        <v>0</v>
      </c>
      <c r="H466" s="26">
        <f t="shared" ca="1" si="350"/>
        <v>13392.857142857143</v>
      </c>
      <c r="I466" s="26">
        <f t="shared" ca="1" si="350"/>
        <v>13392.857142857143</v>
      </c>
      <c r="J466" s="26">
        <f t="shared" ref="J466" ca="1" si="351">(SUMIF($D388:$D408,"*1_06*",J388:J408)+SUMIF($D388:$D408,"*1_07*",J388:J408))</f>
        <v>13392.857142857143</v>
      </c>
      <c r="K466" s="26"/>
      <c r="L466" s="30">
        <f t="shared" ca="1" si="343"/>
        <v>40178.571428571428</v>
      </c>
    </row>
    <row r="467" spans="1:12" hidden="1" outlineLevel="2">
      <c r="A467" s="60" t="str">
        <f ca="1">OFFSET(Язык!$A$183,0,LANGUAGE)</f>
        <v xml:space="preserve">    остаточная стоимость</v>
      </c>
      <c r="C467" s="6" t="str">
        <f t="shared" ca="1" si="338"/>
        <v>$</v>
      </c>
      <c r="D467" s="2" t="s">
        <v>1737</v>
      </c>
      <c r="F467" s="26">
        <f t="shared" ref="F467:I467" si="352">SUMIF($D388:$D408,"*1_09*",F388:F408)</f>
        <v>0</v>
      </c>
      <c r="G467" s="26">
        <f t="shared" ca="1" si="352"/>
        <v>0</v>
      </c>
      <c r="H467" s="26">
        <f t="shared" ca="1" si="352"/>
        <v>254464.28571428571</v>
      </c>
      <c r="I467" s="26">
        <f t="shared" ca="1" si="352"/>
        <v>241071.42857142855</v>
      </c>
      <c r="J467" s="26">
        <f t="shared" ref="J467" ca="1" si="353">SUMIF($D388:$D408,"*1_09*",J388:J408)</f>
        <v>227678.57142857142</v>
      </c>
      <c r="K467" s="26"/>
      <c r="L467" s="30"/>
    </row>
    <row r="468" spans="1:12" hidden="1" outlineLevel="2">
      <c r="A468" s="45" t="str">
        <f ca="1">OFFSET(Язык!$A$185,0,LANGUAGE)</f>
        <v xml:space="preserve">    выплаченный НДС</v>
      </c>
      <c r="C468" s="6" t="str">
        <f t="shared" ca="1" si="338"/>
        <v>$</v>
      </c>
      <c r="F468" s="26">
        <f t="shared" ref="F468:I468" si="354">SUMIF($D388:$D408,"*1_10*",F388:F408)</f>
        <v>0</v>
      </c>
      <c r="G468" s="26">
        <f t="shared" si="354"/>
        <v>32142.857142857141</v>
      </c>
      <c r="H468" s="26">
        <f t="shared" si="354"/>
        <v>0</v>
      </c>
      <c r="I468" s="26">
        <f t="shared" si="354"/>
        <v>0</v>
      </c>
      <c r="J468" s="26">
        <f t="shared" ref="J468" si="355">SUMIF($D388:$D408,"*1_10*",J388:J408)</f>
        <v>0</v>
      </c>
      <c r="K468" s="26"/>
      <c r="L468" s="30">
        <f t="shared" si="343"/>
        <v>32142.857142857141</v>
      </c>
    </row>
    <row r="469" spans="1:12" hidden="1" outlineLevel="2">
      <c r="A469" s="45" t="str">
        <f ca="1">OFFSET(Язык!$A$186,0,LANGUAGE)</f>
        <v xml:space="preserve">    зачет НДС</v>
      </c>
      <c r="C469" s="6" t="str">
        <f t="shared" ca="1" si="338"/>
        <v>$</v>
      </c>
      <c r="F469" s="26">
        <f t="shared" ref="F469:I469" ca="1" si="356">SUMIF($D388:$D408,"*1_11*",F388:F408)</f>
        <v>0</v>
      </c>
      <c r="G469" s="26">
        <f t="shared" ca="1" si="356"/>
        <v>0</v>
      </c>
      <c r="H469" s="26">
        <f t="shared" ca="1" si="356"/>
        <v>32142.857142857141</v>
      </c>
      <c r="I469" s="26">
        <f t="shared" ca="1" si="356"/>
        <v>0</v>
      </c>
      <c r="J469" s="26">
        <f t="shared" ref="J469" ca="1" si="357">SUMIF($D388:$D408,"*1_11*",J388:J408)</f>
        <v>0</v>
      </c>
      <c r="K469" s="26"/>
      <c r="L469" s="30">
        <f t="shared" ca="1" si="343"/>
        <v>32142.857142857141</v>
      </c>
    </row>
    <row r="470" spans="1:12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338"/>
        <v>$</v>
      </c>
      <c r="F470" s="26">
        <f t="shared" ref="F470:I470" si="358">SUMIF($D388:$D408,"*1_12*",F388:F408)</f>
        <v>0</v>
      </c>
      <c r="G470" s="26">
        <f t="shared" si="358"/>
        <v>0</v>
      </c>
      <c r="H470" s="26">
        <f t="shared" si="358"/>
        <v>0</v>
      </c>
      <c r="I470" s="26">
        <f t="shared" si="358"/>
        <v>0</v>
      </c>
      <c r="J470" s="26">
        <f t="shared" ref="J470" si="359">SUMIF($D388:$D408,"*1_12*",J388:J408)</f>
        <v>0</v>
      </c>
      <c r="K470" s="26"/>
      <c r="L470" s="30">
        <f t="shared" si="343"/>
        <v>0</v>
      </c>
    </row>
    <row r="471" spans="1:12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338"/>
        <v>$</v>
      </c>
      <c r="F471" s="26">
        <f t="shared" ref="F471:I471" si="360">SUMIF($D388:$D408,"*1_13*",F388:F408)</f>
        <v>0</v>
      </c>
      <c r="G471" s="26">
        <f t="shared" si="360"/>
        <v>0</v>
      </c>
      <c r="H471" s="26">
        <f t="shared" si="360"/>
        <v>0</v>
      </c>
      <c r="I471" s="26">
        <f t="shared" si="360"/>
        <v>0</v>
      </c>
      <c r="J471" s="26">
        <f t="shared" ref="J471" si="361">SUMIF($D388:$D408,"*1_13*",J388:J408)</f>
        <v>0</v>
      </c>
      <c r="K471" s="26"/>
      <c r="L471" s="30">
        <f t="shared" si="343"/>
        <v>0</v>
      </c>
    </row>
    <row r="472" spans="1:12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338"/>
        <v>$</v>
      </c>
      <c r="F472" s="26">
        <f t="shared" ref="F472:I472" si="362">SUMIF($D388:$D408,"*1_14*",F388:F408)</f>
        <v>0</v>
      </c>
      <c r="G472" s="26">
        <f t="shared" si="362"/>
        <v>0</v>
      </c>
      <c r="H472" s="26">
        <f t="shared" si="362"/>
        <v>0</v>
      </c>
      <c r="I472" s="26">
        <f t="shared" si="362"/>
        <v>0</v>
      </c>
      <c r="J472" s="26">
        <f t="shared" ref="J472" si="363">SUMIF($D388:$D408,"*1_14*",J388:J408)</f>
        <v>0</v>
      </c>
      <c r="K472" s="26"/>
      <c r="L472" s="30">
        <f t="shared" si="343"/>
        <v>0</v>
      </c>
    </row>
    <row r="473" spans="1:12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338"/>
        <v>$</v>
      </c>
      <c r="F473" s="26">
        <f t="shared" ref="F473:I473" si="364">(SUMIF($D409:$D431,"*1_00*",F409:F431)+SUMIF($D409:$D431,"*2_00*",F409:F431)*F$98)</f>
        <v>0</v>
      </c>
      <c r="G473" s="26">
        <f t="shared" si="364"/>
        <v>197000</v>
      </c>
      <c r="H473" s="26">
        <f t="shared" si="364"/>
        <v>0</v>
      </c>
      <c r="I473" s="26">
        <f t="shared" si="364"/>
        <v>0</v>
      </c>
      <c r="J473" s="26">
        <f t="shared" ref="J473" si="365">(SUMIF($D409:$D431,"*1_00*",J409:J431)+SUMIF($D409:$D431,"*2_00*",J409:J431)*J$98)</f>
        <v>0</v>
      </c>
      <c r="K473" s="26"/>
      <c r="L473" s="27">
        <f t="shared" si="343"/>
        <v>197000</v>
      </c>
    </row>
    <row r="474" spans="1:12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338"/>
        <v>$</v>
      </c>
      <c r="F474" s="26">
        <f t="shared" ref="F474:I474" si="366">SUMIF($D409:$D431,"*1_01*",F409:F431)</f>
        <v>0</v>
      </c>
      <c r="G474" s="26">
        <f t="shared" si="366"/>
        <v>175892.85714285713</v>
      </c>
      <c r="H474" s="26">
        <f t="shared" si="366"/>
        <v>0</v>
      </c>
      <c r="I474" s="26">
        <f t="shared" si="366"/>
        <v>0</v>
      </c>
      <c r="J474" s="26">
        <f t="shared" ref="J474" si="367">SUMIF($D409:$D431,"*1_01*",J409:J431)</f>
        <v>0</v>
      </c>
      <c r="K474" s="26"/>
      <c r="L474" s="30">
        <f t="shared" si="343"/>
        <v>175892.85714285713</v>
      </c>
    </row>
    <row r="475" spans="1:12" hidden="1" outlineLevel="2">
      <c r="A475" s="47" t="str">
        <f ca="1">OFFSET(Язык!$A$179,0,LANGUAGE)</f>
        <v xml:space="preserve">    балансовая стоимость</v>
      </c>
      <c r="C475" s="6" t="str">
        <f t="shared" ca="1" si="338"/>
        <v>$</v>
      </c>
      <c r="D475" s="2" t="s">
        <v>1737</v>
      </c>
      <c r="F475" s="26">
        <f t="shared" ref="F475:I475" ca="1" si="368">SUMIF($D409:$D431,"*1_03*",F409:F431)+F453</f>
        <v>0</v>
      </c>
      <c r="G475" s="26">
        <f t="shared" ca="1" si="368"/>
        <v>0</v>
      </c>
      <c r="H475" s="26">
        <f t="shared" ca="1" si="368"/>
        <v>175892.85714285713</v>
      </c>
      <c r="I475" s="26">
        <f t="shared" ca="1" si="368"/>
        <v>175892.85714285713</v>
      </c>
      <c r="J475" s="26">
        <f t="shared" ref="J475" ca="1" si="369">SUMIF($D409:$D431,"*1_03*",J409:J431)+J453</f>
        <v>175892.85714285713</v>
      </c>
      <c r="K475" s="26"/>
      <c r="L475" s="30"/>
    </row>
    <row r="476" spans="1:12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338"/>
        <v>$</v>
      </c>
      <c r="D476" s="2" t="s">
        <v>1737</v>
      </c>
      <c r="F476" s="26">
        <f t="shared" ref="F476:I476" ca="1" si="370">SUMIF($D409:$D431,"*1_04*",F409:F431)+F452</f>
        <v>0</v>
      </c>
      <c r="G476" s="26">
        <f t="shared" ca="1" si="370"/>
        <v>175892.85714285713</v>
      </c>
      <c r="H476" s="26">
        <f t="shared" ca="1" si="370"/>
        <v>0</v>
      </c>
      <c r="I476" s="26">
        <f t="shared" ca="1" si="370"/>
        <v>0</v>
      </c>
      <c r="J476" s="26">
        <f t="shared" ref="J476" ca="1" si="371">SUMIF($D409:$D431,"*1_04*",J409:J431)+J452</f>
        <v>0</v>
      </c>
      <c r="K476" s="26"/>
      <c r="L476" s="30"/>
    </row>
    <row r="477" spans="1:12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338"/>
        <v>$</v>
      </c>
      <c r="D477" s="2" t="s">
        <v>1737</v>
      </c>
      <c r="F477" s="26">
        <f t="shared" ref="F477:I477" si="372">SUMIF($D409:$D431,"*1_05*",F409:F431)</f>
        <v>0</v>
      </c>
      <c r="G477" s="26">
        <f t="shared" ca="1" si="372"/>
        <v>0</v>
      </c>
      <c r="H477" s="26">
        <f t="shared" ca="1" si="372"/>
        <v>0</v>
      </c>
      <c r="I477" s="26">
        <f t="shared" ca="1" si="372"/>
        <v>0</v>
      </c>
      <c r="J477" s="26">
        <f t="shared" ref="J477" ca="1" si="373">SUMIF($D409:$D431,"*1_05*",J409:J431)</f>
        <v>0</v>
      </c>
      <c r="K477" s="26"/>
      <c r="L477" s="30"/>
    </row>
    <row r="478" spans="1:12" hidden="1" outlineLevel="2">
      <c r="A478" s="47" t="str">
        <f ca="1">OFFSET(Язык!$A$182,0,LANGUAGE)</f>
        <v xml:space="preserve">    амортизация</v>
      </c>
      <c r="C478" s="6" t="str">
        <f t="shared" ca="1" si="338"/>
        <v>$</v>
      </c>
      <c r="F478" s="26">
        <f t="shared" ref="F478:I478" si="374">(SUMIF($D409:$D431,"*1_06*",F409:F431)+SUMIF($D409:$D431,"*1_07*",F409:F431))+F454</f>
        <v>0</v>
      </c>
      <c r="G478" s="26">
        <f t="shared" ca="1" si="374"/>
        <v>0</v>
      </c>
      <c r="H478" s="26">
        <f t="shared" ca="1" si="374"/>
        <v>35178.571428571428</v>
      </c>
      <c r="I478" s="26">
        <f t="shared" ca="1" si="374"/>
        <v>35178.571428571428</v>
      </c>
      <c r="J478" s="26">
        <f t="shared" ref="J478" ca="1" si="375">(SUMIF($D409:$D431,"*1_06*",J409:J431)+SUMIF($D409:$D431,"*1_07*",J409:J431))+J454</f>
        <v>35178.571428571428</v>
      </c>
      <c r="K478" s="26"/>
      <c r="L478" s="30">
        <f t="shared" ca="1" si="343"/>
        <v>105535.71428571429</v>
      </c>
    </row>
    <row r="479" spans="1:12" hidden="1" outlineLevel="2">
      <c r="A479" s="47" t="str">
        <f ca="1">OFFSET(Язык!$A$183,0,LANGUAGE)</f>
        <v xml:space="preserve">    остаточная стоимость</v>
      </c>
      <c r="C479" s="6" t="str">
        <f t="shared" ca="1" si="338"/>
        <v>$</v>
      </c>
      <c r="D479" s="2" t="s">
        <v>1737</v>
      </c>
      <c r="F479" s="26">
        <f t="shared" ref="F479:I479" si="376">SUMIF($D409:$D431,"*1_09*",F409:F431)+F455</f>
        <v>0</v>
      </c>
      <c r="G479" s="26">
        <f t="shared" ca="1" si="376"/>
        <v>0</v>
      </c>
      <c r="H479" s="26">
        <f t="shared" ca="1" si="376"/>
        <v>140714.28571428571</v>
      </c>
      <c r="I479" s="26">
        <f t="shared" ca="1" si="376"/>
        <v>105535.71428571428</v>
      </c>
      <c r="J479" s="26">
        <f t="shared" ref="J479" ca="1" si="377">SUMIF($D409:$D431,"*1_09*",J409:J431)+J455</f>
        <v>70357.142857142841</v>
      </c>
      <c r="K479" s="26"/>
      <c r="L479" s="30"/>
    </row>
    <row r="480" spans="1:12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338"/>
        <v>$</v>
      </c>
      <c r="F480" s="26">
        <f t="shared" ref="F480:I480" si="378">SUMIF($D409:$D431,"*1_15*",F409:F431)</f>
        <v>0</v>
      </c>
      <c r="G480" s="26">
        <f t="shared" si="378"/>
        <v>0</v>
      </c>
      <c r="H480" s="26">
        <f t="shared" si="378"/>
        <v>0</v>
      </c>
      <c r="I480" s="26">
        <f t="shared" si="378"/>
        <v>0</v>
      </c>
      <c r="J480" s="26">
        <f t="shared" ref="J480" si="379">SUMIF($D409:$D431,"*1_15*",J409:J431)</f>
        <v>0</v>
      </c>
      <c r="K480" s="26"/>
      <c r="L480" s="30">
        <f t="shared" si="343"/>
        <v>0</v>
      </c>
    </row>
    <row r="481" spans="1:12" hidden="1" outlineLevel="2">
      <c r="A481" s="47" t="str">
        <f ca="1">OFFSET(Язык!$A$185,0,LANGUAGE)</f>
        <v xml:space="preserve">    выплаченный НДС</v>
      </c>
      <c r="C481" s="6" t="str">
        <f t="shared" ca="1" si="338"/>
        <v>$</v>
      </c>
      <c r="F481" s="26">
        <f t="shared" ref="F481:I481" si="380">SUMIF($D409:$D431,"*1_10*",F409:F431)</f>
        <v>0</v>
      </c>
      <c r="G481" s="26">
        <f t="shared" si="380"/>
        <v>21107.142857142855</v>
      </c>
      <c r="H481" s="26">
        <f t="shared" si="380"/>
        <v>0</v>
      </c>
      <c r="I481" s="26">
        <f t="shared" si="380"/>
        <v>0</v>
      </c>
      <c r="J481" s="26">
        <f t="shared" ref="J481" si="381">SUMIF($D409:$D431,"*1_10*",J409:J431)</f>
        <v>0</v>
      </c>
      <c r="K481" s="26"/>
      <c r="L481" s="30">
        <f t="shared" si="343"/>
        <v>21107.142857142855</v>
      </c>
    </row>
    <row r="482" spans="1:12" hidden="1" outlineLevel="2">
      <c r="A482" s="47" t="str">
        <f ca="1">OFFSET(Язык!$A$186,0,LANGUAGE)</f>
        <v xml:space="preserve">    зачет НДС</v>
      </c>
      <c r="C482" s="6" t="str">
        <f t="shared" ca="1" si="338"/>
        <v>$</v>
      </c>
      <c r="F482" s="26">
        <f t="shared" ref="F482:I482" ca="1" si="382">SUMIF($D409:$D431,"*1_11*",F409:F431)</f>
        <v>0</v>
      </c>
      <c r="G482" s="26">
        <f t="shared" ca="1" si="382"/>
        <v>0</v>
      </c>
      <c r="H482" s="26">
        <f t="shared" ca="1" si="382"/>
        <v>21107.142857142855</v>
      </c>
      <c r="I482" s="26">
        <f t="shared" ca="1" si="382"/>
        <v>0</v>
      </c>
      <c r="J482" s="26">
        <f t="shared" ref="J482" ca="1" si="383">SUMIF($D409:$D431,"*1_11*",J409:J431)</f>
        <v>0</v>
      </c>
      <c r="K482" s="26"/>
      <c r="L482" s="30">
        <f t="shared" ca="1" si="343"/>
        <v>21107.142857142855</v>
      </c>
    </row>
    <row r="483" spans="1:12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338"/>
        <v>$</v>
      </c>
      <c r="F483" s="26">
        <f t="shared" ref="F483:I483" si="384">SUMIF($D409:$D431,"*1_12*",F409:F431)</f>
        <v>0</v>
      </c>
      <c r="G483" s="26">
        <f t="shared" si="384"/>
        <v>0</v>
      </c>
      <c r="H483" s="26">
        <f t="shared" si="384"/>
        <v>0</v>
      </c>
      <c r="I483" s="26">
        <f t="shared" si="384"/>
        <v>0</v>
      </c>
      <c r="J483" s="26">
        <f t="shared" ref="J483" si="385">SUMIF($D409:$D431,"*1_12*",J409:J431)</f>
        <v>0</v>
      </c>
      <c r="K483" s="26"/>
      <c r="L483" s="30">
        <f t="shared" si="343"/>
        <v>0</v>
      </c>
    </row>
    <row r="484" spans="1:12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338"/>
        <v>$</v>
      </c>
      <c r="F484" s="26">
        <f t="shared" ref="F484:I484" si="386">SUMIF($D409:$D431,"*1_13*",F409:F431)</f>
        <v>0</v>
      </c>
      <c r="G484" s="26">
        <f t="shared" si="386"/>
        <v>0</v>
      </c>
      <c r="H484" s="26">
        <f t="shared" si="386"/>
        <v>0</v>
      </c>
      <c r="I484" s="26">
        <f t="shared" si="386"/>
        <v>0</v>
      </c>
      <c r="J484" s="26">
        <f t="shared" ref="J484" si="387">SUMIF($D409:$D431,"*1_13*",J409:J431)</f>
        <v>0</v>
      </c>
      <c r="K484" s="26"/>
      <c r="L484" s="30">
        <f t="shared" si="343"/>
        <v>0</v>
      </c>
    </row>
    <row r="485" spans="1:12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338"/>
        <v>$</v>
      </c>
      <c r="F485" s="26">
        <f t="shared" ref="F485:I485" si="388">SUMIF($D409:$D431,"*1_14*",F409:F431)</f>
        <v>0</v>
      </c>
      <c r="G485" s="26">
        <f t="shared" si="388"/>
        <v>0</v>
      </c>
      <c r="H485" s="26">
        <f t="shared" si="388"/>
        <v>0</v>
      </c>
      <c r="I485" s="26">
        <f t="shared" si="388"/>
        <v>0</v>
      </c>
      <c r="J485" s="26">
        <f t="shared" ref="J485" si="389">SUMIF($D409:$D431,"*1_14*",J409:J431)</f>
        <v>0</v>
      </c>
      <c r="K485" s="26"/>
      <c r="L485" s="30">
        <f t="shared" si="343"/>
        <v>0</v>
      </c>
    </row>
    <row r="486" spans="1:12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338"/>
        <v>$</v>
      </c>
      <c r="F486" s="26">
        <f t="shared" ref="F486:I486" si="390">(SUMIF($D432:$D449,"*1_00*",F432:F449)+SUMIF($D432:$D449,"*2_00*",F432:F449)*F$98)</f>
        <v>0</v>
      </c>
      <c r="G486" s="26">
        <f t="shared" si="390"/>
        <v>50000</v>
      </c>
      <c r="H486" s="26">
        <f t="shared" si="390"/>
        <v>0</v>
      </c>
      <c r="I486" s="26">
        <f t="shared" si="390"/>
        <v>0</v>
      </c>
      <c r="J486" s="26">
        <f t="shared" ref="J486" si="391">(SUMIF($D432:$D449,"*1_00*",J432:J449)+SUMIF($D432:$D449,"*2_00*",J432:J449)*J$98)</f>
        <v>0</v>
      </c>
      <c r="K486" s="26"/>
      <c r="L486" s="27">
        <f t="shared" si="343"/>
        <v>50000</v>
      </c>
    </row>
    <row r="487" spans="1:12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338"/>
        <v>$</v>
      </c>
      <c r="F487" s="26">
        <f t="shared" ref="F487:I487" si="392">SUMIF($D432:$D449,"*1_01*",F432:F449)</f>
        <v>0</v>
      </c>
      <c r="G487" s="26">
        <f t="shared" si="392"/>
        <v>44642.857142857138</v>
      </c>
      <c r="H487" s="26">
        <f t="shared" si="392"/>
        <v>0</v>
      </c>
      <c r="I487" s="26">
        <f t="shared" si="392"/>
        <v>0</v>
      </c>
      <c r="J487" s="26">
        <f t="shared" ref="J487" si="393">SUMIF($D432:$D449,"*1_01*",J432:J449)</f>
        <v>0</v>
      </c>
      <c r="K487" s="26"/>
      <c r="L487" s="30">
        <f t="shared" si="343"/>
        <v>44642.857142857138</v>
      </c>
    </row>
    <row r="488" spans="1:12" hidden="1" outlineLevel="2">
      <c r="A488" s="60" t="str">
        <f ca="1">OFFSET(Язык!$A$179,0,LANGUAGE)</f>
        <v xml:space="preserve">    балансовая стоимость</v>
      </c>
      <c r="C488" s="6" t="str">
        <f t="shared" ca="1" si="338"/>
        <v>$</v>
      </c>
      <c r="D488" s="2" t="s">
        <v>1737</v>
      </c>
      <c r="F488" s="26">
        <f t="shared" ref="F488:I488" ca="1" si="394">SUMIF($D432:$D449,"*1_03*",F432:F449)</f>
        <v>0</v>
      </c>
      <c r="G488" s="26">
        <f t="shared" ca="1" si="394"/>
        <v>0</v>
      </c>
      <c r="H488" s="26">
        <f t="shared" ca="1" si="394"/>
        <v>44642.857142857138</v>
      </c>
      <c r="I488" s="26">
        <f t="shared" ca="1" si="394"/>
        <v>44642.857142857138</v>
      </c>
      <c r="J488" s="26">
        <f t="shared" ref="J488" ca="1" si="395">SUMIF($D432:$D449,"*1_03*",J432:J449)</f>
        <v>44642.857142857138</v>
      </c>
      <c r="K488" s="26"/>
      <c r="L488" s="30"/>
    </row>
    <row r="489" spans="1:12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338"/>
        <v>$</v>
      </c>
      <c r="D489" s="2" t="s">
        <v>1737</v>
      </c>
      <c r="F489" s="26">
        <f t="shared" ref="F489:I489" ca="1" si="396">SUMIF($D432:$D449,"*1_04*",F432:F449)</f>
        <v>0</v>
      </c>
      <c r="G489" s="26">
        <f t="shared" ca="1" si="396"/>
        <v>44642.857142857138</v>
      </c>
      <c r="H489" s="26">
        <f t="shared" ca="1" si="396"/>
        <v>0</v>
      </c>
      <c r="I489" s="26">
        <f t="shared" ca="1" si="396"/>
        <v>0</v>
      </c>
      <c r="J489" s="26">
        <f t="shared" ref="J489" ca="1" si="397">SUMIF($D432:$D449,"*1_04*",J432:J449)</f>
        <v>0</v>
      </c>
      <c r="K489" s="26"/>
      <c r="L489" s="30"/>
    </row>
    <row r="490" spans="1:12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338"/>
        <v>$</v>
      </c>
      <c r="D490" s="2" t="s">
        <v>1737</v>
      </c>
      <c r="F490" s="26">
        <f t="shared" ref="F490:I490" si="398">SUMIF($D432:$D449,"*1_05*",F432:F449)</f>
        <v>0</v>
      </c>
      <c r="G490" s="26">
        <f t="shared" ca="1" si="398"/>
        <v>0</v>
      </c>
      <c r="H490" s="26">
        <f t="shared" ca="1" si="398"/>
        <v>0</v>
      </c>
      <c r="I490" s="26">
        <f t="shared" ca="1" si="398"/>
        <v>0</v>
      </c>
      <c r="J490" s="26">
        <f t="shared" ref="J490" ca="1" si="399">SUMIF($D432:$D449,"*1_05*",J432:J449)</f>
        <v>0</v>
      </c>
      <c r="K490" s="26"/>
      <c r="L490" s="30"/>
    </row>
    <row r="491" spans="1:12" hidden="1" outlineLevel="2">
      <c r="A491" s="60" t="str">
        <f ca="1">OFFSET(Язык!$A$182,0,LANGUAGE)</f>
        <v xml:space="preserve">    амортизация</v>
      </c>
      <c r="C491" s="6" t="str">
        <f t="shared" ca="1" si="338"/>
        <v>$</v>
      </c>
      <c r="F491" s="26">
        <f t="shared" ref="F491:I491" si="400">(SUMIF($D432:$D449,"*1_06*",F432:F449)+SUMIF($D432:$D449,"*1_07*",F432:F449))</f>
        <v>0</v>
      </c>
      <c r="G491" s="26">
        <f t="shared" ca="1" si="400"/>
        <v>0</v>
      </c>
      <c r="H491" s="26">
        <f t="shared" ca="1" si="400"/>
        <v>8928.5714285714275</v>
      </c>
      <c r="I491" s="26">
        <f t="shared" ca="1" si="400"/>
        <v>8928.5714285714275</v>
      </c>
      <c r="J491" s="26">
        <f t="shared" ref="J491" ca="1" si="401">(SUMIF($D432:$D449,"*1_06*",J432:J449)+SUMIF($D432:$D449,"*1_07*",J432:J449))</f>
        <v>8928.5714285714275</v>
      </c>
      <c r="K491" s="26"/>
      <c r="L491" s="30">
        <f t="shared" ca="1" si="343"/>
        <v>26785.714285714283</v>
      </c>
    </row>
    <row r="492" spans="1:12" hidden="1" outlineLevel="2">
      <c r="A492" s="60" t="str">
        <f ca="1">OFFSET(Язык!$A$183,0,LANGUAGE)</f>
        <v xml:space="preserve">    остаточная стоимость</v>
      </c>
      <c r="C492" s="6" t="str">
        <f t="shared" ca="1" si="338"/>
        <v>$</v>
      </c>
      <c r="D492" s="2" t="s">
        <v>1737</v>
      </c>
      <c r="F492" s="26">
        <f t="shared" ref="F492:I492" si="402">SUMIF($D432:$D449,"*1_09*",F432:F449)</f>
        <v>0</v>
      </c>
      <c r="G492" s="26">
        <f t="shared" ca="1" si="402"/>
        <v>0</v>
      </c>
      <c r="H492" s="26">
        <f t="shared" ca="1" si="402"/>
        <v>35714.28571428571</v>
      </c>
      <c r="I492" s="26">
        <f t="shared" ca="1" si="402"/>
        <v>26785.714285714283</v>
      </c>
      <c r="J492" s="26">
        <f t="shared" ref="J492" ca="1" si="403">SUMIF($D432:$D449,"*1_09*",J432:J449)</f>
        <v>17857.142857142855</v>
      </c>
      <c r="K492" s="26"/>
      <c r="L492" s="30"/>
    </row>
    <row r="493" spans="1:12" hidden="1" outlineLevel="2">
      <c r="A493" s="45" t="str">
        <f ca="1">OFFSET(Язык!$A$185,0,LANGUAGE)</f>
        <v xml:space="preserve">    выплаченный НДС</v>
      </c>
      <c r="C493" s="6" t="str">
        <f t="shared" ca="1" si="338"/>
        <v>$</v>
      </c>
      <c r="F493" s="26">
        <f t="shared" ref="F493:I493" si="404">SUMIF($D432:$D449,"*1_10*",F432:F449)</f>
        <v>0</v>
      </c>
      <c r="G493" s="26">
        <f t="shared" si="404"/>
        <v>5357.142857142856</v>
      </c>
      <c r="H493" s="26">
        <f t="shared" si="404"/>
        <v>0</v>
      </c>
      <c r="I493" s="26">
        <f t="shared" si="404"/>
        <v>0</v>
      </c>
      <c r="J493" s="26">
        <f t="shared" ref="J493" si="405">SUMIF($D432:$D449,"*1_10*",J432:J449)</f>
        <v>0</v>
      </c>
      <c r="K493" s="26"/>
      <c r="L493" s="30">
        <f t="shared" si="343"/>
        <v>5357.142857142856</v>
      </c>
    </row>
    <row r="494" spans="1:12" hidden="1" outlineLevel="2">
      <c r="A494" s="45" t="str">
        <f ca="1">OFFSET(Язык!$A$186,0,LANGUAGE)</f>
        <v xml:space="preserve">    зачет НДС</v>
      </c>
      <c r="C494" s="6" t="str">
        <f t="shared" ca="1" si="338"/>
        <v>$</v>
      </c>
      <c r="F494" s="26">
        <f t="shared" ref="F494:I494" ca="1" si="406">SUMIF($D432:$D449,"*1_11*",F432:F449)</f>
        <v>0</v>
      </c>
      <c r="G494" s="26">
        <f t="shared" ca="1" si="406"/>
        <v>0</v>
      </c>
      <c r="H494" s="26">
        <f t="shared" ca="1" si="406"/>
        <v>5357.142857142856</v>
      </c>
      <c r="I494" s="26">
        <f t="shared" ca="1" si="406"/>
        <v>0</v>
      </c>
      <c r="J494" s="26">
        <f t="shared" ref="J494" ca="1" si="407">SUMIF($D432:$D449,"*1_11*",J432:J449)</f>
        <v>0</v>
      </c>
      <c r="K494" s="26"/>
      <c r="L494" s="30">
        <f t="shared" ca="1" si="343"/>
        <v>5357.142857142856</v>
      </c>
    </row>
    <row r="495" spans="1:12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338"/>
        <v>$</v>
      </c>
      <c r="F495" s="26">
        <f t="shared" ref="F495:I495" si="408">F461+F473+F486</f>
        <v>0</v>
      </c>
      <c r="G495" s="26">
        <f t="shared" si="408"/>
        <v>547000</v>
      </c>
      <c r="H495" s="26">
        <f t="shared" si="408"/>
        <v>0</v>
      </c>
      <c r="I495" s="26">
        <f t="shared" si="408"/>
        <v>0</v>
      </c>
      <c r="J495" s="26">
        <f t="shared" ref="J495" si="409">J461+J473+J486</f>
        <v>0</v>
      </c>
      <c r="K495" s="26"/>
      <c r="L495" s="27">
        <f t="shared" si="343"/>
        <v>547000</v>
      </c>
    </row>
    <row r="496" spans="1:12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</row>
    <row r="497" spans="1:12" ht="12" outlineLevel="1" thickBot="1"/>
    <row r="498" spans="1:12" ht="15.95" customHeight="1" collapsed="1" thickTop="1" thickBot="1">
      <c r="A498" s="18"/>
      <c r="B498" s="23"/>
      <c r="C498" s="19"/>
      <c r="D498" s="18"/>
      <c r="E498" s="18"/>
      <c r="F498" s="19" t="str">
        <f t="shared" ref="F498:J498" si="410">PeriodTitle</f>
        <v>"0"</v>
      </c>
      <c r="G498" s="19">
        <f t="shared" si="410"/>
        <v>2013</v>
      </c>
      <c r="H498" s="19">
        <f t="shared" si="410"/>
        <v>2014</v>
      </c>
      <c r="I498" s="19">
        <f t="shared" si="410"/>
        <v>2015</v>
      </c>
      <c r="J498" s="19">
        <f t="shared" si="410"/>
        <v>2016</v>
      </c>
      <c r="K498" s="19"/>
      <c r="L498" s="23" t="str">
        <f ca="1">OFFSET(Язык!$A$77,0,LANGUAGE)</f>
        <v>ИТОГО</v>
      </c>
    </row>
    <row r="499" spans="1:12" ht="12.75" hidden="1" outlineLevel="1" thickTop="1" thickBot="1">
      <c r="E499" s="2">
        <v>1</v>
      </c>
    </row>
    <row r="500" spans="1:12" ht="12.75" hidden="1" outlineLevel="1" thickTop="1" thickBot="1">
      <c r="A500" s="5" t="s">
        <v>2274</v>
      </c>
    </row>
    <row r="501" spans="1:12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2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2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2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2322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/>
      <c r="L504" s="26"/>
    </row>
    <row r="505" spans="1:12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2316</v>
      </c>
      <c r="F505" s="26">
        <f t="shared" ref="F505:J505" si="411">IF(F$27&gt;=$B502,MIN(E506,$E504*$B505*PRJ_Step/360),0)</f>
        <v>0</v>
      </c>
      <c r="G505" s="26">
        <f t="shared" si="411"/>
        <v>0</v>
      </c>
      <c r="H505" s="26">
        <f t="shared" si="411"/>
        <v>0</v>
      </c>
      <c r="I505" s="26">
        <f t="shared" si="411"/>
        <v>0</v>
      </c>
      <c r="J505" s="26">
        <f t="shared" si="411"/>
        <v>0</v>
      </c>
      <c r="K505" s="26"/>
      <c r="L505" s="30">
        <f>SUM(G505:J505)</f>
        <v>0</v>
      </c>
    </row>
    <row r="506" spans="1:12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1739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/>
      <c r="L506" s="26"/>
    </row>
    <row r="507" spans="1:12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1852</v>
      </c>
      <c r="F507" s="26">
        <f t="shared" ref="F507:J507" si="412">IF(AND(F$27&gt;$B502-1,F$27&lt;=$B502+$B503-1),E506*$B507*PRJ_Step/360,0)</f>
        <v>0</v>
      </c>
      <c r="G507" s="26">
        <f t="shared" si="412"/>
        <v>0</v>
      </c>
      <c r="H507" s="26">
        <f t="shared" si="412"/>
        <v>0</v>
      </c>
      <c r="I507" s="26">
        <f t="shared" si="412"/>
        <v>0</v>
      </c>
      <c r="J507" s="26">
        <f t="shared" si="412"/>
        <v>0</v>
      </c>
      <c r="K507" s="26"/>
      <c r="L507" s="30">
        <f>SUM(G507:J507)</f>
        <v>0</v>
      </c>
    </row>
    <row r="508" spans="1:12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L507+SUM(F505:OFFSET($F505,0,$B502+$B503-1))</f>
        <v>0</v>
      </c>
      <c r="C508" s="6" t="str">
        <f t="shared" ref="C508:C518" ca="1" si="413">CUR_Main</f>
        <v>$</v>
      </c>
      <c r="D508" s="2" t="s">
        <v>1853</v>
      </c>
      <c r="F508" s="26">
        <f t="shared" ref="F508:I508" ca="1" si="414">$B508/MAX(1,$B503)*IF(AND(F$27+1&gt;$B502,F$27+1&lt;=$B502+$B503),1,0)</f>
        <v>0</v>
      </c>
      <c r="G508" s="26">
        <f t="shared" ca="1" si="414"/>
        <v>0</v>
      </c>
      <c r="H508" s="26">
        <f t="shared" ca="1" si="414"/>
        <v>0</v>
      </c>
      <c r="I508" s="26">
        <f t="shared" ca="1" si="414"/>
        <v>0</v>
      </c>
      <c r="J508" s="26">
        <f t="shared" ref="J508" ca="1" si="415">$B508/MAX(1,$B503)*IF(AND(J$27+1&gt;$B502,J$27+1&lt;=$B502+$B503),1,0)</f>
        <v>0</v>
      </c>
      <c r="K508" s="26"/>
      <c r="L508" s="30">
        <f ca="1">SUM(G508:J508)</f>
        <v>0</v>
      </c>
    </row>
    <row r="509" spans="1:12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413"/>
        <v>$</v>
      </c>
      <c r="D509" s="2" t="s">
        <v>1854</v>
      </c>
      <c r="F509" s="40">
        <f t="shared" ref="F509:I509" ca="1" si="416">F508+F510</f>
        <v>0</v>
      </c>
      <c r="G509" s="40">
        <f t="shared" ca="1" si="416"/>
        <v>0</v>
      </c>
      <c r="H509" s="40">
        <f t="shared" ca="1" si="416"/>
        <v>0</v>
      </c>
      <c r="I509" s="40">
        <f t="shared" ca="1" si="416"/>
        <v>0</v>
      </c>
      <c r="J509" s="40">
        <f t="shared" ref="J509" ca="1" si="417">J508+J510</f>
        <v>0</v>
      </c>
      <c r="K509" s="26"/>
      <c r="L509" s="30">
        <f ca="1">SUM(G509:J509)</f>
        <v>0</v>
      </c>
    </row>
    <row r="510" spans="1:12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413"/>
        <v>$</v>
      </c>
      <c r="D510" s="2" t="s">
        <v>1855</v>
      </c>
      <c r="F510" s="26">
        <f t="shared" ref="F510:I510" ca="1" si="418">F508*$B510</f>
        <v>0</v>
      </c>
      <c r="G510" s="26">
        <f t="shared" ca="1" si="418"/>
        <v>0</v>
      </c>
      <c r="H510" s="26">
        <f t="shared" ca="1" si="418"/>
        <v>0</v>
      </c>
      <c r="I510" s="26">
        <f t="shared" ca="1" si="418"/>
        <v>0</v>
      </c>
      <c r="J510" s="26">
        <f t="shared" ref="J510" ca="1" si="419">J508*$B510</f>
        <v>0</v>
      </c>
      <c r="K510" s="26"/>
      <c r="L510" s="30">
        <f ca="1">SUM(G510:J510)</f>
        <v>0</v>
      </c>
    </row>
    <row r="511" spans="1:12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413"/>
        <v>$</v>
      </c>
      <c r="D511" s="2" t="s">
        <v>1742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/>
      <c r="L511" s="26"/>
    </row>
    <row r="512" spans="1:12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413"/>
        <v>$</v>
      </c>
      <c r="D512" s="2" t="s">
        <v>1743</v>
      </c>
      <c r="F512" s="26">
        <f t="shared" ref="F512:I512" si="420">IF(AND(F$27&gt;=$B502-1,F$27&lt;$B502+$B503-1),F506,0)</f>
        <v>0</v>
      </c>
      <c r="G512" s="26">
        <f t="shared" si="420"/>
        <v>0</v>
      </c>
      <c r="H512" s="26">
        <f t="shared" si="420"/>
        <v>0</v>
      </c>
      <c r="I512" s="26">
        <f t="shared" si="420"/>
        <v>0</v>
      </c>
      <c r="J512" s="26">
        <f t="shared" ref="J512" si="421">IF(AND(J$27&gt;=$B502-1,J$27&lt;$B502+$B503-1),J506,0)</f>
        <v>0</v>
      </c>
      <c r="K512" s="26"/>
      <c r="L512" s="26"/>
    </row>
    <row r="513" spans="1:12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413"/>
        <v>$</v>
      </c>
      <c r="D513" s="2" t="s">
        <v>1744</v>
      </c>
      <c r="F513" s="26">
        <f t="shared" ref="F513:J513" si="422">IF(F$27&gt;=$B502,CHOOSE($B501,IF(F$27&gt;$B502+$B503-1,(E516+F516)/2,0),SUM(E512,F512,E516,F516)/2,0,IF(F$27=$B502+$B503,(E512+E512-F516)/2,(E512+F512)/2)),0)</f>
        <v>0</v>
      </c>
      <c r="G513" s="26">
        <f t="shared" si="422"/>
        <v>0</v>
      </c>
      <c r="H513" s="26">
        <f t="shared" si="422"/>
        <v>0</v>
      </c>
      <c r="I513" s="26">
        <f t="shared" si="422"/>
        <v>0</v>
      </c>
      <c r="J513" s="26">
        <f t="shared" si="422"/>
        <v>0</v>
      </c>
      <c r="K513" s="26"/>
      <c r="L513" s="26"/>
    </row>
    <row r="514" spans="1:12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413"/>
        <v>$</v>
      </c>
      <c r="D514" s="2" t="s">
        <v>1857</v>
      </c>
      <c r="F514" s="26">
        <f t="shared" ref="F514:I514" si="423">IF(AND(F$27=$B502+$B503-1,OR($B501=1,$B501=2)),F506,0)</f>
        <v>0</v>
      </c>
      <c r="G514" s="26">
        <f t="shared" si="423"/>
        <v>0</v>
      </c>
      <c r="H514" s="26">
        <f t="shared" si="423"/>
        <v>0</v>
      </c>
      <c r="I514" s="26">
        <f t="shared" si="423"/>
        <v>0</v>
      </c>
      <c r="J514" s="26">
        <f t="shared" ref="J514" si="424">IF(AND(J$27=$B502+$B503-1,OR($B501=1,$B501=2)),J506,0)</f>
        <v>0</v>
      </c>
      <c r="K514" s="26"/>
      <c r="L514" s="30">
        <f>SUM(G514:J514)</f>
        <v>0</v>
      </c>
    </row>
    <row r="515" spans="1:12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413"/>
        <v>$</v>
      </c>
      <c r="D515" s="2" t="s">
        <v>1745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/>
      <c r="L515" s="26"/>
    </row>
    <row r="516" spans="1:12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413"/>
        <v>$</v>
      </c>
      <c r="D516" s="2" t="s">
        <v>1746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/>
      <c r="L516" s="26"/>
    </row>
    <row r="517" spans="1:12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413"/>
        <v>$</v>
      </c>
      <c r="D517" s="2" t="s">
        <v>1860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/>
      <c r="L517" s="30">
        <f>SUM(G517:J517)</f>
        <v>0</v>
      </c>
    </row>
    <row r="518" spans="1:12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413"/>
        <v>$</v>
      </c>
      <c r="D518" s="2" t="s">
        <v>1861</v>
      </c>
      <c r="F518" s="26">
        <f t="shared" ref="F518:I518" si="425">F514*$B518</f>
        <v>0</v>
      </c>
      <c r="G518" s="26">
        <f t="shared" si="425"/>
        <v>0</v>
      </c>
      <c r="H518" s="26">
        <f t="shared" si="425"/>
        <v>0</v>
      </c>
      <c r="I518" s="26">
        <f t="shared" si="425"/>
        <v>0</v>
      </c>
      <c r="J518" s="26">
        <f t="shared" ref="J518" si="426">J514*$B518</f>
        <v>0</v>
      </c>
      <c r="K518" s="26"/>
      <c r="L518" s="30">
        <f>SUM(G518:J518)</f>
        <v>0</v>
      </c>
    </row>
    <row r="519" spans="1:12" ht="12.75" hidden="1" outlineLevel="1" thickTop="1" thickBot="1"/>
    <row r="520" spans="1:12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427">CUR_Main</f>
        <v>$</v>
      </c>
      <c r="F520" s="62">
        <f t="shared" ref="F520:I520" ca="1" si="428">SUMIF($D499:$D519,"*1_05*",F499:F519)</f>
        <v>0</v>
      </c>
      <c r="G520" s="62">
        <f t="shared" ca="1" si="428"/>
        <v>0</v>
      </c>
      <c r="H520" s="62">
        <f t="shared" ca="1" si="428"/>
        <v>0</v>
      </c>
      <c r="I520" s="62">
        <f t="shared" ca="1" si="428"/>
        <v>0</v>
      </c>
      <c r="J520" s="62">
        <f t="shared" ref="J520" ca="1" si="429">SUMIF($D499:$D519,"*1_05*",J499:J519)</f>
        <v>0</v>
      </c>
      <c r="K520" s="62"/>
      <c r="L520" s="27">
        <f ca="1">SUM(G520:J520)</f>
        <v>0</v>
      </c>
    </row>
    <row r="521" spans="1:12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427"/>
        <v>$</v>
      </c>
      <c r="F521" s="62">
        <f t="shared" ref="F521:I521" ca="1" si="430">SUMIF($D499:$D519,"*1_06*",F499:F519)</f>
        <v>0</v>
      </c>
      <c r="G521" s="62">
        <f t="shared" ca="1" si="430"/>
        <v>0</v>
      </c>
      <c r="H521" s="62">
        <f t="shared" ca="1" si="430"/>
        <v>0</v>
      </c>
      <c r="I521" s="62">
        <f t="shared" ca="1" si="430"/>
        <v>0</v>
      </c>
      <c r="J521" s="62">
        <f t="shared" ref="J521" ca="1" si="431">SUMIF($D499:$D519,"*1_06*",J499:J519)</f>
        <v>0</v>
      </c>
      <c r="K521" s="62"/>
      <c r="L521" s="27">
        <f ca="1">SUM(G521:J521)</f>
        <v>0</v>
      </c>
    </row>
    <row r="522" spans="1:12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427"/>
        <v>$</v>
      </c>
      <c r="F522" s="62">
        <f t="shared" ref="F522:I522" si="432">SUMIF($D499:$D519,"*1_11*",F499:F519)+SUMIF($D499:$D519,"*1_15*",F499:F519)</f>
        <v>0</v>
      </c>
      <c r="G522" s="62">
        <f t="shared" si="432"/>
        <v>0</v>
      </c>
      <c r="H522" s="62">
        <f t="shared" si="432"/>
        <v>0</v>
      </c>
      <c r="I522" s="62">
        <f t="shared" si="432"/>
        <v>0</v>
      </c>
      <c r="J522" s="62">
        <f t="shared" ref="J522" si="433">SUMIF($D499:$D519,"*1_11*",J499:J519)+SUMIF($D499:$D519,"*1_15*",J499:J519)</f>
        <v>0</v>
      </c>
      <c r="K522" s="62"/>
      <c r="L522" s="27">
        <f>SUM(G522:J522)</f>
        <v>0</v>
      </c>
    </row>
    <row r="523" spans="1:12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427"/>
        <v>$</v>
      </c>
      <c r="F523" s="72">
        <f t="shared" ref="F523:I523" ca="1" si="434">SUMIF($D499:$D519,"*1_07*",F499:F519)+SUMIF($D499:$D519,"*1_15*",F499:F519)</f>
        <v>0</v>
      </c>
      <c r="G523" s="72">
        <f t="shared" ca="1" si="434"/>
        <v>0</v>
      </c>
      <c r="H523" s="72">
        <f t="shared" ca="1" si="434"/>
        <v>0</v>
      </c>
      <c r="I523" s="72">
        <f t="shared" ca="1" si="434"/>
        <v>0</v>
      </c>
      <c r="J523" s="72">
        <f t="shared" ref="J523" ca="1" si="435">SUMIF($D499:$D519,"*1_07*",J499:J519)+SUMIF($D499:$D519,"*1_15*",J499:J519)</f>
        <v>0</v>
      </c>
      <c r="K523" s="72"/>
      <c r="L523" s="30">
        <f ca="1">SUM(G523:J523)</f>
        <v>0</v>
      </c>
    </row>
    <row r="524" spans="1:12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427"/>
        <v>$</v>
      </c>
      <c r="D524" s="2" t="s">
        <v>1737</v>
      </c>
      <c r="F524" s="26">
        <f t="shared" ref="F524:I524" ca="1" si="436">SUMIF($D499:$D519,"*1_08*",F499:F519)</f>
        <v>0</v>
      </c>
      <c r="G524" s="26">
        <f t="shared" ca="1" si="436"/>
        <v>0</v>
      </c>
      <c r="H524" s="26">
        <f t="shared" ca="1" si="436"/>
        <v>0</v>
      </c>
      <c r="I524" s="26">
        <f t="shared" ca="1" si="436"/>
        <v>0</v>
      </c>
      <c r="J524" s="26">
        <f t="shared" ref="J524" ca="1" si="437">SUMIF($D499:$D519,"*1_08*",J499:J519)</f>
        <v>0</v>
      </c>
      <c r="K524" s="26"/>
      <c r="L524" s="26"/>
    </row>
    <row r="525" spans="1:12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427"/>
        <v>$</v>
      </c>
      <c r="D525" s="2" t="s">
        <v>1737</v>
      </c>
      <c r="F525" s="26">
        <f t="shared" ref="F525:I525" si="438">SUMIF($D499:$D519,"*1_09*",F499:F519)</f>
        <v>0</v>
      </c>
      <c r="G525" s="26">
        <f t="shared" si="438"/>
        <v>0</v>
      </c>
      <c r="H525" s="26">
        <f t="shared" si="438"/>
        <v>0</v>
      </c>
      <c r="I525" s="26">
        <f t="shared" si="438"/>
        <v>0</v>
      </c>
      <c r="J525" s="26">
        <f t="shared" ref="J525" si="439">SUMIF($D499:$D519,"*1_09*",J499:J519)</f>
        <v>0</v>
      </c>
      <c r="K525" s="26"/>
      <c r="L525" s="26"/>
    </row>
    <row r="526" spans="1:12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427"/>
        <v>$</v>
      </c>
      <c r="D526" s="2" t="s">
        <v>1737</v>
      </c>
      <c r="F526" s="26">
        <f t="shared" ref="F526:I526" si="440">SUMIF($D499:$D519,"*1_10*",F499:F519)</f>
        <v>0</v>
      </c>
      <c r="G526" s="26">
        <f t="shared" si="440"/>
        <v>0</v>
      </c>
      <c r="H526" s="26">
        <f t="shared" si="440"/>
        <v>0</v>
      </c>
      <c r="I526" s="26">
        <f t="shared" si="440"/>
        <v>0</v>
      </c>
      <c r="J526" s="26">
        <f t="shared" ref="J526" si="441">SUMIF($D499:$D519,"*1_10*",J499:J519)</f>
        <v>0</v>
      </c>
      <c r="K526" s="26"/>
      <c r="L526" s="26"/>
    </row>
    <row r="527" spans="1:12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427"/>
        <v>$</v>
      </c>
      <c r="D527" s="2" t="s">
        <v>1737</v>
      </c>
      <c r="F527" s="26">
        <f t="shared" ref="F527:I527" si="442">SUMIF($D499:$D519,"*1_12*",F499:F519)</f>
        <v>0</v>
      </c>
      <c r="G527" s="26">
        <f t="shared" si="442"/>
        <v>0</v>
      </c>
      <c r="H527" s="26">
        <f t="shared" si="442"/>
        <v>0</v>
      </c>
      <c r="I527" s="26">
        <f t="shared" si="442"/>
        <v>0</v>
      </c>
      <c r="J527" s="26">
        <f t="shared" ref="J527" si="443">SUMIF($D499:$D519,"*1_12*",J499:J519)</f>
        <v>0</v>
      </c>
      <c r="K527" s="26"/>
      <c r="L527" s="26"/>
    </row>
    <row r="528" spans="1:12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427"/>
        <v>$</v>
      </c>
      <c r="D528" s="2" t="s">
        <v>1737</v>
      </c>
      <c r="F528" s="26">
        <f t="shared" ref="F528:I528" si="444">SUMIF($D499:$D519,"*1_13*",F499:F519)</f>
        <v>0</v>
      </c>
      <c r="G528" s="26">
        <f t="shared" si="444"/>
        <v>0</v>
      </c>
      <c r="H528" s="26">
        <f t="shared" si="444"/>
        <v>0</v>
      </c>
      <c r="I528" s="26">
        <f t="shared" si="444"/>
        <v>0</v>
      </c>
      <c r="J528" s="26">
        <f t="shared" ref="J528" si="445">SUMIF($D499:$D519,"*1_13*",J499:J519)</f>
        <v>0</v>
      </c>
      <c r="K528" s="26"/>
      <c r="L528" s="26"/>
    </row>
    <row r="529" spans="1:12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427"/>
        <v>$</v>
      </c>
      <c r="F529" s="26">
        <f t="shared" ref="F529:I529" si="446">SUMIF($D499:$D519,"*1_14*",F499:F519)</f>
        <v>0</v>
      </c>
      <c r="G529" s="26">
        <f t="shared" si="446"/>
        <v>0</v>
      </c>
      <c r="H529" s="26">
        <f t="shared" si="446"/>
        <v>0</v>
      </c>
      <c r="I529" s="26">
        <f t="shared" si="446"/>
        <v>0</v>
      </c>
      <c r="J529" s="26">
        <f t="shared" ref="J529" si="447">SUMIF($D499:$D519,"*1_14*",J499:J519)</f>
        <v>0</v>
      </c>
      <c r="K529" s="26"/>
      <c r="L529" s="30">
        <f>SUM(G529:J529)</f>
        <v>0</v>
      </c>
    </row>
    <row r="530" spans="1:12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</row>
    <row r="531" spans="1:12" ht="12.75" hidden="1" outlineLevel="1" thickTop="1" thickBot="1"/>
    <row r="532" spans="1:12" ht="15.95" customHeight="1" collapsed="1" thickTop="1" thickBot="1">
      <c r="A532" s="18"/>
      <c r="B532" s="23"/>
      <c r="C532" s="19"/>
      <c r="D532" s="18"/>
      <c r="E532" s="18"/>
      <c r="F532" s="19" t="str">
        <f t="shared" ref="F532:J532" si="448">PeriodTitle</f>
        <v>"0"</v>
      </c>
      <c r="G532" s="19">
        <f t="shared" si="448"/>
        <v>2013</v>
      </c>
      <c r="H532" s="19">
        <f t="shared" si="448"/>
        <v>2014</v>
      </c>
      <c r="I532" s="19">
        <f t="shared" si="448"/>
        <v>2015</v>
      </c>
      <c r="J532" s="19">
        <f t="shared" si="448"/>
        <v>2016</v>
      </c>
      <c r="K532" s="19"/>
      <c r="L532" s="23" t="str">
        <f ca="1">OFFSET(Язык!$A$77,0,LANGUAGE)</f>
        <v>ИТОГО</v>
      </c>
    </row>
    <row r="533" spans="1:12" ht="12.75" hidden="1" outlineLevel="1" thickTop="1" thickBot="1"/>
    <row r="534" spans="1:12" ht="12.75" hidden="1" outlineLevel="1" thickTop="1" thickBot="1">
      <c r="A534" s="2" t="str">
        <f ca="1">OFFSET(Язык!$A$226,0,LANGUAGE)</f>
        <v>ЗАПАСЫ</v>
      </c>
    </row>
    <row r="535" spans="1:12" ht="12.75" hidden="1" outlineLevel="1" thickTop="1" thickBot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1737</v>
      </c>
      <c r="F535" s="26"/>
      <c r="G535" s="26">
        <f t="shared" ref="G535:I535" si="449">G263</f>
        <v>0</v>
      </c>
      <c r="H535" s="26">
        <f t="shared" si="449"/>
        <v>0</v>
      </c>
      <c r="I535" s="26">
        <f t="shared" si="449"/>
        <v>0</v>
      </c>
      <c r="J535" s="26">
        <f t="shared" ref="J535" si="450">J263</f>
        <v>0</v>
      </c>
    </row>
    <row r="536" spans="1:12" ht="12.75" hidden="1" outlineLevel="1" thickTop="1" thickBot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2" ht="12.75" hidden="1" outlineLevel="1" thickTop="1" thickBot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2" ht="12.75" hidden="1" outlineLevel="1" thickTop="1" thickBot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2" ht="12.75" hidden="1" outlineLevel="1" thickTop="1" thickBot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1737</v>
      </c>
      <c r="F539" s="26"/>
      <c r="G539" s="26">
        <f ca="1">G261+IF(G172&gt;0,(G327+G328+G335+G336+G375)*MIN($B540/PRJ_Step,1),0)</f>
        <v>0</v>
      </c>
      <c r="H539" s="26">
        <f ca="1">H261+IF(H172&gt;0,(H327+H328+H335+H336+H375)*MIN($B540/PRJ_Step,1),0)</f>
        <v>0</v>
      </c>
      <c r="I539" s="26">
        <f ca="1">I261+IF(I172&gt;0,(I327+I328+I335+I336+I375)*MIN($B540/PRJ_Step,1),0)</f>
        <v>0</v>
      </c>
      <c r="J539" s="26">
        <f ca="1">J261+IF(J172&gt;0,(J327+J328+J335+J336+J375)*MIN($B540/PRJ_Step,1),0)</f>
        <v>0</v>
      </c>
    </row>
    <row r="540" spans="1:12" ht="12.75" hidden="1" outlineLevel="1" thickTop="1" thickBot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2" ht="12.75" hidden="1" outlineLevel="1" thickTop="1" thickBot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1737</v>
      </c>
      <c r="F541" s="26"/>
      <c r="G541" s="26">
        <f ca="1">G260+G257+IF(G172&gt;0,(G327+G328+G335+G336+G375+G378)*$B544/PRJ_Step,0)</f>
        <v>0</v>
      </c>
      <c r="H541" s="26">
        <f ca="1">H260+H257+IF(H172&gt;0,(H327+H328+H335+H336+H375+H378)*$B544/PRJ_Step,0)</f>
        <v>0</v>
      </c>
      <c r="I541" s="26">
        <f ca="1">I260+I257+IF(I172&gt;0,(I327+I328+I335+I336+I375+I378)*$B544/PRJ_Step,0)</f>
        <v>0</v>
      </c>
      <c r="J541" s="26">
        <f ca="1">J260+J257+IF(J172&gt;0,(J327+J328+J335+J336+J375+J378)*$B544/PRJ_Step,0)</f>
        <v>0</v>
      </c>
    </row>
    <row r="542" spans="1:12" ht="12.75" hidden="1" outlineLevel="1" thickTop="1" thickBot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2" ht="12.75" hidden="1" outlineLevel="1" thickTop="1" thickBot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2" ht="12.75" hidden="1" outlineLevel="1" thickTop="1" thickBot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1:12" ht="12.75" hidden="1" outlineLevel="1" thickTop="1" thickBot="1"/>
    <row r="546" spans="1:12" ht="12.75" hidden="1" outlineLevel="1" thickTop="1" thickBot="1">
      <c r="A546" s="2" t="str">
        <f ca="1">OFFSET(Язык!$A$237,0,LANGUAGE)</f>
        <v>РАСЧЕТЫ С ПОКУПАТЕЛЯМИ</v>
      </c>
    </row>
    <row r="547" spans="1:12" ht="12.75" hidden="1" outlineLevel="1" thickTop="1" thickBot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2" ht="12.75" hidden="1" outlineLevel="1" thickTop="1" thickBot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2043</v>
      </c>
    </row>
    <row r="549" spans="1:12" ht="12.75" hidden="1" outlineLevel="1" thickTop="1" thickBot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2" ht="12.75" hidden="1" outlineLevel="1" thickTop="1" thickBot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2" ht="12.75" hidden="1" outlineLevel="1" collapsed="1" thickTop="1" thickBot="1">
      <c r="A551" s="2" t="str">
        <f ca="1">OFFSET(Язык!$A$242,0,LANGUAGE)</f>
        <v>Сумма счетов к получению</v>
      </c>
      <c r="C551" s="6" t="str">
        <f t="shared" ref="C551:C556" ca="1" si="451">CUR_Main</f>
        <v>$</v>
      </c>
      <c r="D551" s="2" t="s">
        <v>1737</v>
      </c>
      <c r="F551" s="26">
        <f t="shared" ref="F551:I551" ca="1" si="452">F552+F553</f>
        <v>0</v>
      </c>
      <c r="G551" s="26">
        <f t="shared" ca="1" si="452"/>
        <v>0</v>
      </c>
      <c r="H551" s="26">
        <f t="shared" ca="1" si="452"/>
        <v>0</v>
      </c>
      <c r="I551" s="26">
        <f t="shared" ca="1" si="452"/>
        <v>0</v>
      </c>
      <c r="J551" s="26">
        <f t="shared" ref="J551" ca="1" si="453">J552+J553</f>
        <v>0</v>
      </c>
    </row>
    <row r="552" spans="1:12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451"/>
        <v>$</v>
      </c>
      <c r="D552" s="2" t="s">
        <v>1737</v>
      </c>
      <c r="F552" s="26">
        <f>F183</f>
        <v>0</v>
      </c>
      <c r="G552" s="26">
        <f t="shared" ref="G552:I553" si="454">G183</f>
        <v>0</v>
      </c>
      <c r="H552" s="26">
        <f t="shared" si="454"/>
        <v>0</v>
      </c>
      <c r="I552" s="26">
        <f t="shared" si="454"/>
        <v>0</v>
      </c>
      <c r="J552" s="26">
        <f t="shared" ref="J552" si="455">J183</f>
        <v>0</v>
      </c>
    </row>
    <row r="553" spans="1:12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451"/>
        <v>$</v>
      </c>
      <c r="D553" s="2" t="s">
        <v>1737</v>
      </c>
      <c r="F553" s="26">
        <f ca="1">F184</f>
        <v>0</v>
      </c>
      <c r="G553" s="26">
        <f t="shared" ca="1" si="454"/>
        <v>0</v>
      </c>
      <c r="H553" s="26">
        <f t="shared" ca="1" si="454"/>
        <v>0</v>
      </c>
      <c r="I553" s="26">
        <f t="shared" ca="1" si="454"/>
        <v>0</v>
      </c>
      <c r="J553" s="26">
        <f t="shared" ref="J553" ca="1" si="456">J184</f>
        <v>0</v>
      </c>
    </row>
    <row r="554" spans="1:12" ht="12.75" hidden="1" outlineLevel="1" collapsed="1" thickTop="1" thickBot="1">
      <c r="A554" s="2" t="str">
        <f ca="1">OFFSET(Язык!$A$245,0,LANGUAGE)</f>
        <v>Сумма полученных авансов</v>
      </c>
      <c r="C554" s="6" t="str">
        <f t="shared" ca="1" si="451"/>
        <v>$</v>
      </c>
      <c r="D554" s="2" t="s">
        <v>1737</v>
      </c>
      <c r="F554" s="26">
        <f t="shared" ref="F554:I554" ca="1" si="457">F555+F556</f>
        <v>0</v>
      </c>
      <c r="G554" s="26">
        <f t="shared" ca="1" si="457"/>
        <v>0</v>
      </c>
      <c r="H554" s="26">
        <f t="shared" ca="1" si="457"/>
        <v>0</v>
      </c>
      <c r="I554" s="26">
        <f t="shared" ca="1" si="457"/>
        <v>0</v>
      </c>
      <c r="J554" s="26">
        <f t="shared" ref="J554" ca="1" si="458">J555+J556</f>
        <v>0</v>
      </c>
    </row>
    <row r="555" spans="1:12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451"/>
        <v>$</v>
      </c>
      <c r="D555" s="2" t="s">
        <v>1737</v>
      </c>
      <c r="F555" s="26">
        <f>F181</f>
        <v>0</v>
      </c>
      <c r="G555" s="26">
        <f t="shared" ref="G555:I556" si="459">G181</f>
        <v>0</v>
      </c>
      <c r="H555" s="26">
        <f t="shared" si="459"/>
        <v>0</v>
      </c>
      <c r="I555" s="26">
        <f t="shared" si="459"/>
        <v>0</v>
      </c>
      <c r="J555" s="26">
        <f t="shared" ref="J555" si="460">J181</f>
        <v>0</v>
      </c>
    </row>
    <row r="556" spans="1:12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451"/>
        <v>$</v>
      </c>
      <c r="D556" s="2" t="s">
        <v>1737</v>
      </c>
      <c r="F556" s="26">
        <f ca="1">F182</f>
        <v>0</v>
      </c>
      <c r="G556" s="26">
        <f t="shared" ca="1" si="459"/>
        <v>0</v>
      </c>
      <c r="H556" s="26">
        <f t="shared" ca="1" si="459"/>
        <v>0</v>
      </c>
      <c r="I556" s="26">
        <f t="shared" ca="1" si="459"/>
        <v>0</v>
      </c>
      <c r="J556" s="26">
        <f t="shared" ref="J556" ca="1" si="461">J182</f>
        <v>0</v>
      </c>
    </row>
    <row r="557" spans="1:12" ht="12.75" hidden="1" outlineLevel="1" thickTop="1" thickBot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</row>
    <row r="558" spans="1:12" ht="12.75" hidden="1" outlineLevel="1" thickTop="1" thickBot="1">
      <c r="A558" s="2" t="str">
        <f ca="1">OFFSET(Язык!$A$248,0,LANGUAGE)</f>
        <v>РАСЧЕТЫ С ПОСТАВЩИКАМИ</v>
      </c>
    </row>
    <row r="559" spans="1:12" ht="12.75" hidden="1" outlineLevel="1" thickTop="1" thickBot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2" ht="12.75" hidden="1" outlineLevel="1" thickTop="1" thickBot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2043</v>
      </c>
    </row>
    <row r="561" spans="1:12" ht="12.75" hidden="1" outlineLevel="1" thickTop="1" thickBot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2" ht="12.75" hidden="1" outlineLevel="1" thickTop="1" thickBot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2" ht="12.75" hidden="1" outlineLevel="1" collapsed="1" thickTop="1" thickBot="1">
      <c r="A563" s="2" t="str">
        <f ca="1">OFFSET(Язык!$A$253,0,LANGUAGE)</f>
        <v>Сумма счетов к оплате</v>
      </c>
      <c r="C563" s="6" t="str">
        <f t="shared" ref="C563:C568" ca="1" si="462">CUR_Main</f>
        <v>$</v>
      </c>
      <c r="D563" s="2" t="s">
        <v>1737</v>
      </c>
      <c r="F563" s="26">
        <f t="shared" ref="F563:I563" ca="1" si="463">F564+F565</f>
        <v>0</v>
      </c>
      <c r="G563" s="26">
        <f t="shared" ca="1" si="463"/>
        <v>0</v>
      </c>
      <c r="H563" s="26">
        <f t="shared" ca="1" si="463"/>
        <v>0</v>
      </c>
      <c r="I563" s="26">
        <f t="shared" ca="1" si="463"/>
        <v>0</v>
      </c>
      <c r="J563" s="26">
        <f t="shared" ref="J563" ca="1" si="464">J564+J565</f>
        <v>0</v>
      </c>
    </row>
    <row r="564" spans="1:12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462"/>
        <v>$</v>
      </c>
      <c r="D564" s="2" t="s">
        <v>1737</v>
      </c>
      <c r="F564" s="26">
        <f>F273</f>
        <v>0</v>
      </c>
      <c r="G564" s="26">
        <f t="shared" ref="G564:I565" si="465">G273</f>
        <v>0</v>
      </c>
      <c r="H564" s="26">
        <f t="shared" si="465"/>
        <v>0</v>
      </c>
      <c r="I564" s="26">
        <f t="shared" si="465"/>
        <v>0</v>
      </c>
      <c r="J564" s="26">
        <f t="shared" ref="J564" si="466">J273</f>
        <v>0</v>
      </c>
    </row>
    <row r="565" spans="1:12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462"/>
        <v>$</v>
      </c>
      <c r="D565" s="2" t="s">
        <v>1737</v>
      </c>
      <c r="F565" s="26">
        <f ca="1">F274</f>
        <v>0</v>
      </c>
      <c r="G565" s="26">
        <f t="shared" ca="1" si="465"/>
        <v>0</v>
      </c>
      <c r="H565" s="26">
        <f t="shared" ca="1" si="465"/>
        <v>0</v>
      </c>
      <c r="I565" s="26">
        <f t="shared" ca="1" si="465"/>
        <v>0</v>
      </c>
      <c r="J565" s="26">
        <f t="shared" ref="J565" ca="1" si="467">J274</f>
        <v>0</v>
      </c>
    </row>
    <row r="566" spans="1:12" ht="12.75" hidden="1" outlineLevel="1" collapsed="1" thickTop="1" thickBot="1">
      <c r="A566" s="2" t="str">
        <f ca="1">OFFSET(Язык!$A$256,0,LANGUAGE)</f>
        <v>Сумма уплаченных авансов</v>
      </c>
      <c r="C566" s="6" t="str">
        <f t="shared" ca="1" si="462"/>
        <v>$</v>
      </c>
      <c r="D566" s="2" t="s">
        <v>1737</v>
      </c>
      <c r="F566" s="26">
        <f t="shared" ref="F566:I566" ca="1" si="468">F567+F568</f>
        <v>0</v>
      </c>
      <c r="G566" s="26">
        <f t="shared" ca="1" si="468"/>
        <v>0</v>
      </c>
      <c r="H566" s="26">
        <f t="shared" ca="1" si="468"/>
        <v>0</v>
      </c>
      <c r="I566" s="26">
        <f t="shared" ca="1" si="468"/>
        <v>0</v>
      </c>
      <c r="J566" s="26">
        <f t="shared" ref="J566" ca="1" si="469">J567+J568</f>
        <v>0</v>
      </c>
    </row>
    <row r="567" spans="1:12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462"/>
        <v>$</v>
      </c>
      <c r="D567" s="2" t="s">
        <v>1737</v>
      </c>
      <c r="F567" s="26">
        <f>F271</f>
        <v>0</v>
      </c>
      <c r="G567" s="26">
        <f t="shared" ref="G567:I568" si="470">G271</f>
        <v>0</v>
      </c>
      <c r="H567" s="26">
        <f t="shared" si="470"/>
        <v>0</v>
      </c>
      <c r="I567" s="26">
        <f t="shared" si="470"/>
        <v>0</v>
      </c>
      <c r="J567" s="26">
        <f t="shared" ref="J567" si="471">J271</f>
        <v>0</v>
      </c>
    </row>
    <row r="568" spans="1:12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462"/>
        <v>$</v>
      </c>
      <c r="D568" s="2" t="s">
        <v>1737</v>
      </c>
      <c r="F568" s="26">
        <f ca="1">F272</f>
        <v>0</v>
      </c>
      <c r="G568" s="26">
        <f t="shared" ca="1" si="470"/>
        <v>0</v>
      </c>
      <c r="H568" s="26">
        <f t="shared" ca="1" si="470"/>
        <v>0</v>
      </c>
      <c r="I568" s="26">
        <f t="shared" ca="1" si="470"/>
        <v>0</v>
      </c>
      <c r="J568" s="26">
        <f t="shared" ref="J568" ca="1" si="472">J272</f>
        <v>0</v>
      </c>
    </row>
    <row r="569" spans="1:12" ht="12.75" hidden="1" outlineLevel="1" thickTop="1" thickBot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</row>
    <row r="570" spans="1:12" ht="12.75" hidden="1" outlineLevel="1" thickTop="1" thickBot="1">
      <c r="A570" s="2" t="str">
        <f ca="1">OFFSET(Язык!$A$259,0,LANGUAGE)</f>
        <v>РАСЧЕТЫ С БЮДЖЕТОМ</v>
      </c>
    </row>
    <row r="571" spans="1:12" ht="12.75" hidden="1" outlineLevel="1" thickTop="1" thickBot="1">
      <c r="A571" s="2" t="str">
        <f ca="1">OFFSET(Язык!$A$260,0,LANGUAGE)</f>
        <v>По НДС</v>
      </c>
      <c r="C571" s="6" t="str">
        <f ca="1">CUR_Main</f>
        <v>$</v>
      </c>
      <c r="D571" s="2" t="s">
        <v>1737</v>
      </c>
      <c r="F571" s="26"/>
      <c r="G571" s="26">
        <f t="shared" ref="G571:I571" ca="1" si="473">G691*VAT_Period/PRJ_Step</f>
        <v>2235.8660714285716</v>
      </c>
      <c r="H571" s="26">
        <f t="shared" ca="1" si="473"/>
        <v>24.464285714285023</v>
      </c>
      <c r="I571" s="26">
        <f t="shared" ca="1" si="473"/>
        <v>5399.2321428571413</v>
      </c>
      <c r="J571" s="26">
        <f t="shared" ref="J571" ca="1" si="474">J691*VAT_Period/PRJ_Step</f>
        <v>5939.1553571428558</v>
      </c>
    </row>
    <row r="572" spans="1:12" ht="12.75" hidden="1" outlineLevel="1" thickTop="1" thickBot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1737</v>
      </c>
      <c r="F572" s="26"/>
      <c r="G572" s="26">
        <f t="shared" ref="G572:I573" si="475">G673*$B673/PRJ_Step</f>
        <v>0</v>
      </c>
      <c r="H572" s="26">
        <f t="shared" si="475"/>
        <v>0</v>
      </c>
      <c r="I572" s="26">
        <f t="shared" si="475"/>
        <v>0</v>
      </c>
      <c r="J572" s="26">
        <f t="shared" ref="J572" si="476">J673*$B673/PRJ_Step</f>
        <v>0</v>
      </c>
    </row>
    <row r="573" spans="1:12" ht="12.75" hidden="1" outlineLevel="1" thickTop="1" thickBot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1737</v>
      </c>
      <c r="F573" s="26"/>
      <c r="G573" s="26">
        <f t="shared" si="475"/>
        <v>0</v>
      </c>
      <c r="H573" s="26">
        <f t="shared" si="475"/>
        <v>0</v>
      </c>
      <c r="I573" s="26">
        <f t="shared" si="475"/>
        <v>0</v>
      </c>
      <c r="J573" s="26">
        <f t="shared" ref="J573" si="477">J674*$B674/PRJ_Step</f>
        <v>0</v>
      </c>
    </row>
    <row r="574" spans="1:12" ht="12.75" hidden="1" outlineLevel="1" thickTop="1" thickBot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1737</v>
      </c>
      <c r="F574" s="26"/>
      <c r="G574" s="26">
        <f t="shared" ref="G574:I574" ca="1" si="478">G736*ProfitTax_Period/PRJ_Step</f>
        <v>29657.801428571431</v>
      </c>
      <c r="H574" s="26">
        <f t="shared" ca="1" si="478"/>
        <v>46499.120285714271</v>
      </c>
      <c r="I574" s="26">
        <f t="shared" ca="1" si="478"/>
        <v>55703.035885714307</v>
      </c>
      <c r="J574" s="26">
        <f t="shared" ref="J574" ca="1" si="479">J736*ProfitTax_Period/PRJ_Step</f>
        <v>70461.046617142842</v>
      </c>
    </row>
    <row r="575" spans="1:12" ht="12.75" hidden="1" outlineLevel="1" thickTop="1" thickBot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1737</v>
      </c>
      <c r="F575" s="26"/>
      <c r="G575" s="26">
        <f t="shared" ref="G575:I575" ca="1" si="480">(G699*IF(($B701+$B704)&gt;0,($B702*$B701+$B705*$B704)/($B701+$B704),0)+G706*$B709+G711*$B713+G714*$B717+G721*$B725+G726*$B730)/PRJ_Step</f>
        <v>1294.7999999999997</v>
      </c>
      <c r="H575" s="26">
        <f t="shared" ca="1" si="480"/>
        <v>3148.8010714285715</v>
      </c>
      <c r="I575" s="26">
        <f t="shared" ca="1" si="480"/>
        <v>4308.1767142857143</v>
      </c>
      <c r="J575" s="26">
        <f t="shared" ref="J575" ca="1" si="481">(J699*IF(($B701+$B704)&gt;0,($B702*$B701+$B705*$B704)/($B701+$B704),0)+J706*$B709+J711*$B713+J714*$B717+J721*$B725+J726*$B730)/PRJ_Step</f>
        <v>4267.8604571428568</v>
      </c>
    </row>
    <row r="576" spans="1:12" ht="12.75" hidden="1" outlineLevel="1" thickTop="1" thickBot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</row>
    <row r="577" spans="1:12" ht="12.75" hidden="1" outlineLevel="1" thickTop="1" thickBot="1">
      <c r="A577" s="2" t="str">
        <f ca="1">OFFSET(Язык!$A$265,0,LANGUAGE)</f>
        <v>РАСЧЕТЫ С ПЕРСОНАЛОМ</v>
      </c>
    </row>
    <row r="578" spans="1:12" ht="12.75" hidden="1" outlineLevel="1" thickTop="1" thickBot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1737</v>
      </c>
      <c r="F578" s="26"/>
      <c r="G578" s="26">
        <f t="shared" ref="G578:I578" ca="1" si="482">G305*$B579/PRJ_Step</f>
        <v>2490</v>
      </c>
      <c r="H578" s="26">
        <f t="shared" si="482"/>
        <v>3965.5</v>
      </c>
      <c r="I578" s="26">
        <f t="shared" ca="1" si="482"/>
        <v>4362.05</v>
      </c>
      <c r="J578" s="26">
        <f t="shared" ref="J578" ca="1" si="483">J305*$B579/PRJ_Step</f>
        <v>4798.2549999999992</v>
      </c>
    </row>
    <row r="579" spans="1:12" ht="12.75" hidden="1" outlineLevel="1" thickTop="1" thickBot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2" ht="12.75" hidden="1" outlineLevel="1" thickTop="1" thickBot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</row>
    <row r="581" spans="1:12" ht="12.75" hidden="1" outlineLevel="1" thickTop="1" thickBot="1">
      <c r="A581" s="2" t="str">
        <f ca="1">OFFSET(Язык!$A$268,0,LANGUAGE)</f>
        <v>РЕЗЕРВ ДЕНЕЖНЫХ СРЕДСТВ</v>
      </c>
    </row>
    <row r="582" spans="1:12" ht="12.75" hidden="1" outlineLevel="1" thickTop="1" thickBot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1737</v>
      </c>
      <c r="F582" s="26"/>
      <c r="G582" s="26">
        <f t="shared" ref="G582:I582" ca="1" si="484">IF($B583=1,G371*$B584/PRJ_Step,0)</f>
        <v>4469.900555555555</v>
      </c>
      <c r="H582" s="26">
        <f t="shared" ca="1" si="484"/>
        <v>8967.3251111111113</v>
      </c>
      <c r="I582" s="26">
        <f t="shared" ca="1" si="484"/>
        <v>9864.0576222222226</v>
      </c>
      <c r="J582" s="26">
        <f t="shared" ref="J582" ca="1" si="485">IF($B583=1,J371*$B584/PRJ_Step,0)</f>
        <v>10850.463384444445</v>
      </c>
    </row>
    <row r="583" spans="1:12" ht="12.75" hidden="1" outlineLevel="1" thickTop="1" thickBot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2" ht="12.75" hidden="1" outlineLevel="1" thickTop="1" thickBot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2" ht="12.75" hidden="1" outlineLevel="1" thickTop="1" thickBot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</row>
    <row r="586" spans="1:12" ht="12.75" hidden="1" outlineLevel="1" thickTop="1" thickBot="1">
      <c r="A586" s="2" t="str">
        <f ca="1">OFFSET(Язык!$A$272,0,LANGUAGE)</f>
        <v>Итого текущих активов</v>
      </c>
      <c r="C586" s="6" t="str">
        <f t="shared" ref="C586:C591" ca="1" si="486">CUR_Main</f>
        <v>$</v>
      </c>
      <c r="D586" s="2" t="s">
        <v>1737</v>
      </c>
      <c r="F586" s="26"/>
      <c r="G586" s="26">
        <f t="shared" ref="G586:I586" ca="1" si="487">G535+G539+G541+G551+G582+G566</f>
        <v>4469.900555555555</v>
      </c>
      <c r="H586" s="26">
        <f t="shared" ca="1" si="487"/>
        <v>8967.3251111111113</v>
      </c>
      <c r="I586" s="26">
        <f t="shared" ca="1" si="487"/>
        <v>9864.0576222222226</v>
      </c>
      <c r="J586" s="26">
        <f t="shared" ref="J586" ca="1" si="488">J535+J539+J541+J551+J582+J566</f>
        <v>10850.463384444445</v>
      </c>
    </row>
    <row r="587" spans="1:12" ht="12.75" hidden="1" outlineLevel="1" thickTop="1" thickBot="1">
      <c r="A587" s="2" t="str">
        <f ca="1">OFFSET(Язык!$A$273,0,LANGUAGE)</f>
        <v>Итого текущих обязательств</v>
      </c>
      <c r="C587" s="6" t="str">
        <f t="shared" ca="1" si="486"/>
        <v>$</v>
      </c>
      <c r="D587" s="2" t="s">
        <v>1737</v>
      </c>
      <c r="F587" s="26"/>
      <c r="G587" s="26">
        <f t="shared" ref="G587:I587" ca="1" si="489">G563+SUM(G571:G575)+G578+G554</f>
        <v>35678.467500000006</v>
      </c>
      <c r="H587" s="26">
        <f t="shared" ca="1" si="489"/>
        <v>53637.885642857123</v>
      </c>
      <c r="I587" s="26">
        <f t="shared" ca="1" si="489"/>
        <v>69772.494742857161</v>
      </c>
      <c r="J587" s="26">
        <f t="shared" ref="J587" ca="1" si="490">J563+SUM(J571:J575)+J578+J554</f>
        <v>85466.317431428557</v>
      </c>
    </row>
    <row r="588" spans="1:12" ht="12.75" hidden="1" outlineLevel="1" thickTop="1" thickBot="1">
      <c r="A588" s="2" t="str">
        <f ca="1">OFFSET(Язык!$A$274,0,LANGUAGE)</f>
        <v>Оборотный капитал компании</v>
      </c>
      <c r="C588" s="6" t="str">
        <f t="shared" ca="1" si="486"/>
        <v>$</v>
      </c>
      <c r="D588" s="2" t="s">
        <v>1737</v>
      </c>
      <c r="F588" s="26"/>
      <c r="G588" s="26">
        <f t="shared" ref="G588:I588" ca="1" si="491">G586-G587</f>
        <v>-31208.56694444445</v>
      </c>
      <c r="H588" s="26">
        <f t="shared" ca="1" si="491"/>
        <v>-44670.560531746014</v>
      </c>
      <c r="I588" s="26">
        <f t="shared" ca="1" si="491"/>
        <v>-59908.437120634939</v>
      </c>
      <c r="J588" s="26">
        <f t="shared" ref="J588" ca="1" si="492">J586-J587</f>
        <v>-74615.85404698411</v>
      </c>
    </row>
    <row r="589" spans="1:12" ht="12.75" hidden="1" outlineLevel="1" thickTop="1" thickBot="1">
      <c r="A589" s="32" t="str">
        <f ca="1">OFFSET(Язык!$A$275,0,LANGUAGE)</f>
        <v>Изменение оборотного капитала</v>
      </c>
      <c r="B589" s="63"/>
      <c r="C589" s="6" t="str">
        <f t="shared" ca="1" si="486"/>
        <v>$</v>
      </c>
      <c r="D589" s="32" t="s">
        <v>1737</v>
      </c>
      <c r="E589" s="32"/>
      <c r="F589" s="62"/>
      <c r="G589" s="62">
        <f t="shared" ref="G589:J589" ca="1" si="493">G588-F588</f>
        <v>-31208.56694444445</v>
      </c>
      <c r="H589" s="62">
        <f t="shared" ca="1" si="493"/>
        <v>-13461.993587301564</v>
      </c>
      <c r="I589" s="62">
        <f t="shared" ca="1" si="493"/>
        <v>-15237.876588888925</v>
      </c>
      <c r="J589" s="62">
        <f t="shared" ca="1" si="493"/>
        <v>-14707.416926349171</v>
      </c>
      <c r="K589" s="32"/>
      <c r="L589" s="27">
        <f ca="1">SUM(F589:J589)</f>
        <v>-74615.85404698411</v>
      </c>
    </row>
    <row r="590" spans="1:12" s="73" customFormat="1" ht="12.75" hidden="1" outlineLevel="1" thickTop="1" thickBot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486"/>
        <v>$</v>
      </c>
      <c r="D590" s="47" t="s">
        <v>1737</v>
      </c>
      <c r="E590" s="47"/>
      <c r="F590" s="72"/>
      <c r="G590" s="72">
        <f t="shared" ref="G590:I590" ca="1" si="494">(G552+G582+G567)-(G555+G564+SUM(G571:G575)+G578)+G539+G541-G257-G260-G261</f>
        <v>-31208.56694444445</v>
      </c>
      <c r="H590" s="72">
        <f t="shared" ca="1" si="494"/>
        <v>-44670.560531746014</v>
      </c>
      <c r="I590" s="72">
        <f t="shared" ca="1" si="494"/>
        <v>-59908.437120634939</v>
      </c>
      <c r="J590" s="72">
        <f t="shared" ref="J590" ca="1" si="495">(J552+J582+J567)-(J555+J564+SUM(J571:J575)+J578)+J539+J541-J257-J260-J261</f>
        <v>-74615.85404698411</v>
      </c>
      <c r="K590" s="47"/>
      <c r="L590" s="30"/>
    </row>
    <row r="591" spans="1:12" ht="12.75" hidden="1" outlineLevel="1" thickTop="1" thickBot="1">
      <c r="A591" s="32" t="str">
        <f ca="1">OFFSET(Язык!$A$277,0,LANGUAGE)</f>
        <v>Инвестиции в ЧОК для организации расчетов</v>
      </c>
      <c r="C591" s="6" t="str">
        <f t="shared" ca="1" si="486"/>
        <v>$</v>
      </c>
      <c r="D591" s="2" t="s">
        <v>1737</v>
      </c>
      <c r="F591" s="26"/>
      <c r="G591" s="62">
        <f t="shared" ref="G591:J591" ca="1" si="496">G590-F590</f>
        <v>-31208.56694444445</v>
      </c>
      <c r="H591" s="62">
        <f t="shared" ca="1" si="496"/>
        <v>-13461.993587301564</v>
      </c>
      <c r="I591" s="62">
        <f t="shared" ca="1" si="496"/>
        <v>-15237.876588888925</v>
      </c>
      <c r="J591" s="62">
        <f t="shared" ca="1" si="496"/>
        <v>-14707.416926349171</v>
      </c>
      <c r="L591" s="27">
        <f ca="1">SUM(F591:J591)</f>
        <v>-74615.85404698411</v>
      </c>
    </row>
    <row r="592" spans="1:12" ht="12.75" hidden="1" outlineLevel="1" thickTop="1" thickBot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68"/>
      <c r="L592" s="158"/>
    </row>
    <row r="593" spans="1:12" ht="12.75" hidden="1" outlineLevel="1" thickTop="1" thickBot="1"/>
    <row r="594" spans="1:12" ht="15.95" customHeight="1" collapsed="1" thickTop="1" thickBot="1">
      <c r="A594" s="18"/>
      <c r="B594" s="23"/>
      <c r="C594" s="19"/>
      <c r="D594" s="18"/>
      <c r="E594" s="18"/>
      <c r="F594" s="19" t="str">
        <f t="shared" ref="F594:J594" si="497">PeriodTitle</f>
        <v>"0"</v>
      </c>
      <c r="G594" s="19">
        <f t="shared" si="497"/>
        <v>2013</v>
      </c>
      <c r="H594" s="19">
        <f t="shared" si="497"/>
        <v>2014</v>
      </c>
      <c r="I594" s="19">
        <f t="shared" si="497"/>
        <v>2015</v>
      </c>
      <c r="J594" s="19">
        <f t="shared" si="497"/>
        <v>2016</v>
      </c>
      <c r="K594" s="19"/>
      <c r="L594" s="23" t="str">
        <f ca="1">OFFSET(Язык!$A$77,0,LANGUAGE)</f>
        <v>ИТОГО</v>
      </c>
    </row>
    <row r="595" spans="1:12" ht="12" hidden="1" outlineLevel="1" thickTop="1"/>
    <row r="596" spans="1:12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I596" si="498">SUM(F598:F601)</f>
        <v>0</v>
      </c>
      <c r="G596" s="40">
        <f t="shared" si="498"/>
        <v>0</v>
      </c>
      <c r="H596" s="40">
        <f t="shared" si="498"/>
        <v>0</v>
      </c>
      <c r="I596" s="40">
        <f t="shared" si="498"/>
        <v>0</v>
      </c>
      <c r="J596" s="40">
        <f t="shared" ref="J596" si="499">SUM(J598:J601)</f>
        <v>0</v>
      </c>
      <c r="L596" s="30">
        <f>SUM(F596:J596)</f>
        <v>0</v>
      </c>
    </row>
    <row r="597" spans="1:12" hidden="1" outlineLevel="2">
      <c r="B597" s="6" t="str">
        <f ca="1">OFFSET(Язык!$A$283,0,LANGUAGE)</f>
        <v>доля в УК</v>
      </c>
    </row>
    <row r="598" spans="1:12" hidden="1" outlineLevel="2">
      <c r="A598" s="5" t="s">
        <v>960</v>
      </c>
      <c r="B598" s="77">
        <f>IF(L$596&gt;0,L598/L$596,1)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L598" s="30">
        <f>SUM(F598:J598)</f>
        <v>0</v>
      </c>
    </row>
    <row r="599" spans="1:12" hidden="1" outlineLevel="2">
      <c r="A599" s="5" t="s">
        <v>961</v>
      </c>
      <c r="B599" s="77">
        <f>IF(L$596&gt;0,L599/L$596,0)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L599" s="30">
        <f>SUM(F599:J599)</f>
        <v>0</v>
      </c>
    </row>
    <row r="600" spans="1:12" hidden="1" outlineLevel="2">
      <c r="A600" s="5" t="s">
        <v>1991</v>
      </c>
      <c r="B600" s="77">
        <f>IF(L$596&gt;0,L600/L$596,0)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L600" s="30">
        <f>SUM(F600:J600)</f>
        <v>0</v>
      </c>
    </row>
    <row r="601" spans="1:12" hidden="1" outlineLevel="2">
      <c r="A601" s="5" t="s">
        <v>1992</v>
      </c>
      <c r="B601" s="77">
        <f>IF(L$596&gt;0,L601/L$596,0)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L601" s="30">
        <f>SUM(F601:J601)</f>
        <v>0</v>
      </c>
    </row>
    <row r="602" spans="1:12" hidden="1" outlineLevel="1"/>
    <row r="603" spans="1:12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L603" s="30">
        <f>SUM(F603:J603)</f>
        <v>0</v>
      </c>
    </row>
    <row r="604" spans="1:12" hidden="1" outlineLevel="1"/>
    <row r="605" spans="1:12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26"/>
      <c r="L605" s="30">
        <f>SUM(F605:J605)</f>
        <v>0</v>
      </c>
    </row>
    <row r="606" spans="1:12" hidden="1" outlineLevel="1"/>
    <row r="607" spans="1:12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1737</v>
      </c>
      <c r="E607" s="37"/>
      <c r="F607" s="30">
        <f ca="1">F887*IF(CUR_I_Report=2,G$98,1)</f>
        <v>0</v>
      </c>
      <c r="G607" s="30">
        <f ca="1">G887*IF(CUR_I_Report=2,H$98,1)</f>
        <v>149839.77265873016</v>
      </c>
      <c r="H607" s="30">
        <f ca="1">H887*IF(CUR_I_Report=2,I$98,1)</f>
        <v>374405.39024603163</v>
      </c>
      <c r="I607" s="30">
        <f ca="1">I887*IF(CUR_I_Report=2,#REF!,1)</f>
        <v>441955.41037777776</v>
      </c>
      <c r="J607" s="30">
        <f ca="1">J887*IF(CUR_I_Report=2,#REF!,1)</f>
        <v>568007.01377269835</v>
      </c>
      <c r="K607" s="37"/>
      <c r="L607" s="37"/>
    </row>
    <row r="608" spans="1:12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59"/>
      <c r="L608" s="159"/>
    </row>
    <row r="609" spans="1:12" ht="12" hidden="1" outlineLevel="1" thickBot="1"/>
    <row r="610" spans="1:12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J610" si="500">PeriodTitle</f>
        <v>"0"</v>
      </c>
      <c r="G610" s="19">
        <f t="shared" si="500"/>
        <v>2013</v>
      </c>
      <c r="H610" s="19">
        <f t="shared" si="500"/>
        <v>2014</v>
      </c>
      <c r="I610" s="19">
        <f t="shared" si="500"/>
        <v>2015</v>
      </c>
      <c r="J610" s="19">
        <f t="shared" si="500"/>
        <v>2016</v>
      </c>
      <c r="K610" s="19"/>
      <c r="L610" s="23" t="str">
        <f ca="1">OFFSET(Язык!$A$77,0,LANGUAGE)</f>
        <v>ИТОГО</v>
      </c>
    </row>
    <row r="611" spans="1:12" ht="12" outlineLevel="1" thickTop="1">
      <c r="E611" s="2">
        <v>1</v>
      </c>
    </row>
    <row r="612" spans="1:12" outlineLevel="1">
      <c r="A612" s="5" t="s">
        <v>2274</v>
      </c>
    </row>
    <row r="613" spans="1:12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2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2" outlineLevel="1">
      <c r="A615" s="2" t="str">
        <f ca="1">OFFSET(Язык!$A$289,0,LANGUAGE)</f>
        <v>Годовая процентная ставка</v>
      </c>
      <c r="B615" s="50">
        <v>0.14000000000000001</v>
      </c>
      <c r="D615" s="2" t="s">
        <v>1749</v>
      </c>
      <c r="G615" s="74">
        <f>$B615</f>
        <v>0.14000000000000001</v>
      </c>
      <c r="H615" s="74">
        <f t="shared" ref="H615:J615" si="501">G615</f>
        <v>0.14000000000000001</v>
      </c>
      <c r="I615" s="74">
        <f t="shared" si="501"/>
        <v>0.14000000000000001</v>
      </c>
      <c r="J615" s="74">
        <f t="shared" si="501"/>
        <v>0.14000000000000001</v>
      </c>
    </row>
    <row r="616" spans="1:12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2" outlineLevel="1">
      <c r="D617" s="2" t="s">
        <v>332</v>
      </c>
    </row>
    <row r="618" spans="1:12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547000</v>
      </c>
      <c r="H618" s="40">
        <v>0</v>
      </c>
      <c r="I618" s="40">
        <v>0</v>
      </c>
      <c r="J618" s="40">
        <v>0</v>
      </c>
      <c r="K618" s="26"/>
      <c r="L618" s="30">
        <f>SUM(F618:J618)</f>
        <v>547000</v>
      </c>
    </row>
    <row r="619" spans="1:12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91000</v>
      </c>
      <c r="I619" s="40">
        <v>228000</v>
      </c>
      <c r="J619" s="40">
        <v>228000</v>
      </c>
      <c r="K619" s="26"/>
      <c r="L619" s="30">
        <f>SUM(F619:J619)</f>
        <v>547000</v>
      </c>
    </row>
    <row r="620" spans="1:12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 t="shared" ref="G620:J620" si="502">IF(G$27&gt;(G622+$B616),F621*G615*PRJ_Step/360,0)+G627</f>
        <v>0</v>
      </c>
      <c r="H620" s="26">
        <f t="shared" si="502"/>
        <v>76580.000000000015</v>
      </c>
      <c r="I620" s="26">
        <f t="shared" si="502"/>
        <v>63840.000000000007</v>
      </c>
      <c r="J620" s="26">
        <f t="shared" si="502"/>
        <v>31920.000000000004</v>
      </c>
      <c r="K620" s="26"/>
      <c r="L620" s="30">
        <f>SUM(F620:J620)</f>
        <v>172340.00000000003</v>
      </c>
    </row>
    <row r="621" spans="1:12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J621" si="503">E621+F618-F619</f>
        <v>0</v>
      </c>
      <c r="G621" s="26">
        <f t="shared" si="503"/>
        <v>547000</v>
      </c>
      <c r="H621" s="26">
        <f t="shared" si="503"/>
        <v>456000</v>
      </c>
      <c r="I621" s="26">
        <f t="shared" si="503"/>
        <v>228000</v>
      </c>
      <c r="J621" s="26">
        <f t="shared" si="503"/>
        <v>0</v>
      </c>
      <c r="K621" s="26"/>
      <c r="L621" s="26"/>
    </row>
    <row r="622" spans="1:12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/>
      <c r="L622" s="26"/>
    </row>
    <row r="623" spans="1:12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 t="shared" ref="G623:J623" si="504">IF(G$27&gt;(G622+$B616),F621*MAX((G615-IF($B614=1,G$109,G$110))*PRJ_Step/360,0),0)</f>
        <v>0</v>
      </c>
      <c r="H623" s="26">
        <f t="shared" si="504"/>
        <v>0</v>
      </c>
      <c r="I623" s="26">
        <f t="shared" si="504"/>
        <v>0</v>
      </c>
      <c r="J623" s="26">
        <f t="shared" si="504"/>
        <v>0</v>
      </c>
      <c r="K623" s="26"/>
      <c r="L623" s="30">
        <f>SUM(F623:J623)</f>
        <v>0</v>
      </c>
    </row>
    <row r="624" spans="1:12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 t="shared" ref="G624:J624" si="505">F621*G615*PRJ_Step/360</f>
        <v>0</v>
      </c>
      <c r="H624" s="26">
        <f t="shared" si="505"/>
        <v>76580.000000000015</v>
      </c>
      <c r="I624" s="26">
        <f t="shared" si="505"/>
        <v>63840.000000000007</v>
      </c>
      <c r="J624" s="26">
        <f t="shared" si="505"/>
        <v>31920.000000000004</v>
      </c>
      <c r="K624" s="26"/>
      <c r="L624" s="30">
        <f>SUM(F624:J624)</f>
        <v>172340.00000000003</v>
      </c>
    </row>
    <row r="625" spans="1:12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/>
      <c r="L625" s="26"/>
    </row>
    <row r="626" spans="1:12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4</v>
      </c>
      <c r="K626" s="26"/>
      <c r="L626" s="30">
        <f>MAX(G626:J626)</f>
        <v>4</v>
      </c>
    </row>
    <row r="627" spans="1:12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IF(AND(G$27&gt;(G622+$B616),($L626-G$27+1)&gt;0),F625/($L626-G$27+1),0)</f>
        <v>0</v>
      </c>
      <c r="H627" s="26">
        <f>IF(AND(H$27&gt;(H622+$B616),($L626-H$27+1)&gt;0),G625/($L626-H$27+1),0)</f>
        <v>0</v>
      </c>
      <c r="I627" s="26">
        <f>IF(AND(I$27&gt;(I622+$B616),($L626-I$27+1)&gt;0),H625/($L626-I$27+1),0)</f>
        <v>0</v>
      </c>
      <c r="J627" s="26">
        <f>IF(AND(J$27&gt;(J622+$B616),($L626-J$27+1)&gt;0),I625/($L626-J$27+1),0)</f>
        <v>0</v>
      </c>
      <c r="K627" s="26"/>
      <c r="L627" s="30">
        <f>SUM(F627:J627)</f>
        <v>0</v>
      </c>
    </row>
    <row r="628" spans="1:12" outlineLevel="1"/>
    <row r="629" spans="1:12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506">CUR_Main</f>
        <v>$</v>
      </c>
      <c r="F629" s="62">
        <f t="shared" ref="F629:I629" si="507">SUMIF($D611:$D628,"*1_01*",F611:F628)+SUMIF($D611:$D628,"*2_01*",F611:F628)*F$98</f>
        <v>0</v>
      </c>
      <c r="G629" s="62">
        <f t="shared" si="507"/>
        <v>547000</v>
      </c>
      <c r="H629" s="62">
        <f t="shared" si="507"/>
        <v>0</v>
      </c>
      <c r="I629" s="62">
        <f t="shared" si="507"/>
        <v>0</v>
      </c>
      <c r="J629" s="62">
        <f t="shared" ref="J629" si="508">SUMIF($D611:$D628,"*1_01*",J611:J628)+SUMIF($D611:$D628,"*2_01*",J611:J628)*J$98</f>
        <v>0</v>
      </c>
      <c r="K629" s="62"/>
      <c r="L629" s="27">
        <f t="shared" ref="L629:L634" si="509">SUM(F629:J629)</f>
        <v>547000</v>
      </c>
    </row>
    <row r="630" spans="1:12" outlineLevel="1">
      <c r="A630" s="32" t="str">
        <f ca="1">OFFSET(Язык!$A$298,0,LANGUAGE)</f>
        <v xml:space="preserve"> = Итого: Погашение кредитов</v>
      </c>
      <c r="C630" s="6" t="str">
        <f t="shared" ca="1" si="506"/>
        <v>$</v>
      </c>
      <c r="F630" s="62">
        <f t="shared" ref="F630:I630" si="510">SUMIF($D611:$D628,"*1_02*",F611:F628)+SUMIF($D611:$D628,"*2_02*",F611:F628)*F$98</f>
        <v>0</v>
      </c>
      <c r="G630" s="62">
        <f t="shared" si="510"/>
        <v>0</v>
      </c>
      <c r="H630" s="62">
        <f t="shared" si="510"/>
        <v>91000</v>
      </c>
      <c r="I630" s="62">
        <f t="shared" si="510"/>
        <v>228000</v>
      </c>
      <c r="J630" s="62">
        <f t="shared" ref="J630" si="511">SUMIF($D611:$D628,"*1_02*",J611:J628)+SUMIF($D611:$D628,"*2_02*",J611:J628)*J$98</f>
        <v>228000</v>
      </c>
      <c r="K630" s="62"/>
      <c r="L630" s="27">
        <f t="shared" si="509"/>
        <v>547000</v>
      </c>
    </row>
    <row r="631" spans="1:12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506"/>
        <v>$</v>
      </c>
      <c r="F631" s="72">
        <f t="shared" ref="F631:I631" si="512">SUMIF($D611:$D628,"*1_03*",F611:F628)+SUMIF($D611:$D628,"*2_03*",F611:F628)*F$98</f>
        <v>0</v>
      </c>
      <c r="G631" s="72">
        <f t="shared" si="512"/>
        <v>0</v>
      </c>
      <c r="H631" s="72">
        <f t="shared" si="512"/>
        <v>76580.000000000015</v>
      </c>
      <c r="I631" s="72">
        <f t="shared" si="512"/>
        <v>63840.000000000007</v>
      </c>
      <c r="J631" s="72">
        <f t="shared" ref="J631" si="513">SUMIF($D611:$D628,"*1_03*",J611:J628)+SUMIF($D611:$D628,"*2_03*",J611:J628)*J$98</f>
        <v>31920.000000000004</v>
      </c>
      <c r="K631" s="62"/>
      <c r="L631" s="27">
        <f t="shared" si="509"/>
        <v>172340.00000000003</v>
      </c>
    </row>
    <row r="632" spans="1:12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506"/>
        <v>$</v>
      </c>
      <c r="F632" s="26">
        <f t="shared" ref="F632:I632" si="514">SUMIF($D611:$D628,"*1_06*",F611:F628)+SUMIF($D611:$D628,"*2_06*",F611:F628)*F$98</f>
        <v>0</v>
      </c>
      <c r="G632" s="26">
        <f t="shared" si="514"/>
        <v>0</v>
      </c>
      <c r="H632" s="26">
        <f t="shared" si="514"/>
        <v>0</v>
      </c>
      <c r="I632" s="26">
        <f t="shared" si="514"/>
        <v>0</v>
      </c>
      <c r="J632" s="26">
        <f t="shared" ref="J632" si="515">SUMIF($D611:$D628,"*1_06*",J611:J628)+SUMIF($D611:$D628,"*2_06*",J611:J628)*J$98</f>
        <v>0</v>
      </c>
      <c r="L632" s="30">
        <f t="shared" si="509"/>
        <v>0</v>
      </c>
    </row>
    <row r="633" spans="1:12" hidden="1" outlineLevel="2">
      <c r="A633" s="2" t="str">
        <f ca="1">OFFSET(Язык!$A$852,0,LANGUAGE)</f>
        <v xml:space="preserve">    проценты начисленные</v>
      </c>
      <c r="C633" s="6" t="str">
        <f t="shared" ca="1" si="506"/>
        <v>$</v>
      </c>
      <c r="F633" s="26">
        <f t="shared" ref="F633:I633" si="516">SUMIF($D611:$D628,"*1_07*",F611:F628)+SUMIF($D611:$D628,"*2_07*",F611:F628)*F$98</f>
        <v>0</v>
      </c>
      <c r="G633" s="26">
        <f t="shared" si="516"/>
        <v>0</v>
      </c>
      <c r="H633" s="26">
        <f t="shared" si="516"/>
        <v>76580.000000000015</v>
      </c>
      <c r="I633" s="26">
        <f t="shared" si="516"/>
        <v>63840.000000000007</v>
      </c>
      <c r="J633" s="26">
        <f t="shared" ref="J633" si="517">SUMIF($D611:$D628,"*1_07*",J611:J628)+SUMIF($D611:$D628,"*2_07*",J611:J628)*J$98</f>
        <v>31920.000000000004</v>
      </c>
      <c r="L633" s="30">
        <f t="shared" si="509"/>
        <v>172340.00000000003</v>
      </c>
    </row>
    <row r="634" spans="1:12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506"/>
        <v>$</v>
      </c>
      <c r="F634" s="26">
        <f t="shared" ref="F634:I634" si="518">SUMIF($D611:$D628,"*1/1_07*",F611:F628)+SUMIF($D611:$D628,"*1/2_07*",F611:F628)*F$98</f>
        <v>0</v>
      </c>
      <c r="G634" s="26">
        <f t="shared" si="518"/>
        <v>0</v>
      </c>
      <c r="H634" s="26">
        <f t="shared" si="518"/>
        <v>0</v>
      </c>
      <c r="I634" s="26">
        <f t="shared" si="518"/>
        <v>0</v>
      </c>
      <c r="J634" s="26">
        <f t="shared" ref="J634" si="519">SUMIF($D611:$D628,"*1/1_07*",J611:J628)+SUMIF($D611:$D628,"*1/2_07*",J611:J628)*J$98</f>
        <v>0</v>
      </c>
      <c r="L634" s="30">
        <f t="shared" si="509"/>
        <v>0</v>
      </c>
    </row>
    <row r="635" spans="1:12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506"/>
        <v>$</v>
      </c>
      <c r="D635" s="2" t="s">
        <v>1737</v>
      </c>
      <c r="F635" s="62">
        <f t="shared" ref="F635:I635" si="520">SUMIF($D611:$D628,"*1_04*",F611:F628)+SUMIF($D611:$D628,"*2_04*",F611:F628)*F$98+F638</f>
        <v>0</v>
      </c>
      <c r="G635" s="62">
        <f t="shared" si="520"/>
        <v>547000</v>
      </c>
      <c r="H635" s="62">
        <f t="shared" si="520"/>
        <v>456000</v>
      </c>
      <c r="I635" s="62">
        <f t="shared" si="520"/>
        <v>228000</v>
      </c>
      <c r="J635" s="62">
        <f t="shared" ref="J635" si="521">SUMIF($D611:$D628,"*1_04*",J611:J628)+SUMIF($D611:$D628,"*2_04*",J611:J628)*J$98+J638</f>
        <v>0</v>
      </c>
      <c r="K635" s="26"/>
      <c r="L635" s="26"/>
    </row>
    <row r="636" spans="1:12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506"/>
        <v>$</v>
      </c>
      <c r="D636" s="2" t="s">
        <v>1737</v>
      </c>
      <c r="F636" s="26">
        <f t="shared" ref="F636:I636" si="522">SUMIF($D611:$D628,"*1/1_04*",F611:F628)+SUMIF($D611:$D628,"*1/2_04*",F611:F628)*F$98</f>
        <v>0</v>
      </c>
      <c r="G636" s="26">
        <f t="shared" si="522"/>
        <v>0</v>
      </c>
      <c r="H636" s="26">
        <f t="shared" si="522"/>
        <v>0</v>
      </c>
      <c r="I636" s="26">
        <f t="shared" si="522"/>
        <v>0</v>
      </c>
      <c r="J636" s="26">
        <f t="shared" ref="J636" si="523">SUMIF($D611:$D628,"*1/1_04*",J611:J628)+SUMIF($D611:$D628,"*1/2_04*",J611:J628)*J$98</f>
        <v>0</v>
      </c>
      <c r="K636" s="26"/>
      <c r="L636" s="26"/>
    </row>
    <row r="637" spans="1:12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506"/>
        <v>$</v>
      </c>
      <c r="D637" s="2" t="s">
        <v>1737</v>
      </c>
      <c r="F637" s="26">
        <f t="shared" ref="F637:I637" si="524">F635-F636</f>
        <v>0</v>
      </c>
      <c r="G637" s="26">
        <f t="shared" si="524"/>
        <v>547000</v>
      </c>
      <c r="H637" s="26">
        <f t="shared" si="524"/>
        <v>456000</v>
      </c>
      <c r="I637" s="26">
        <f t="shared" si="524"/>
        <v>228000</v>
      </c>
      <c r="J637" s="26">
        <f t="shared" ref="J637" si="525">J635-J636</f>
        <v>0</v>
      </c>
      <c r="K637" s="26"/>
      <c r="L637" s="26"/>
    </row>
    <row r="638" spans="1:12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I638" si="526">SUMIF($D611:$D628,"*1_08*",F611:F628)+SUMIF($D611:$D628,"*2_08*",F611:F628)*F$98</f>
        <v>0</v>
      </c>
      <c r="G638" s="26">
        <f t="shared" si="526"/>
        <v>0</v>
      </c>
      <c r="H638" s="26">
        <f t="shared" si="526"/>
        <v>0</v>
      </c>
      <c r="I638" s="26">
        <f t="shared" si="526"/>
        <v>0</v>
      </c>
      <c r="J638" s="26">
        <f t="shared" ref="J638" si="527">SUMIF($D611:$D628,"*1_08*",J611:J628)+SUMIF($D611:$D628,"*2_08*",J611:J628)*J$98</f>
        <v>0</v>
      </c>
      <c r="K638" s="26"/>
      <c r="L638" s="26"/>
    </row>
    <row r="639" spans="1:12" outlineLevel="1">
      <c r="B639" s="2"/>
      <c r="C639" s="2"/>
    </row>
    <row r="640" spans="1:12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1737</v>
      </c>
      <c r="F640" s="30">
        <f ca="1">F887*IF(CUR_I_Report=2,G$98,1)</f>
        <v>0</v>
      </c>
      <c r="G640" s="30">
        <f ca="1">G887*IF(CUR_I_Report=2,H$98,1)</f>
        <v>149839.77265873016</v>
      </c>
      <c r="H640" s="30">
        <f ca="1">H887*IF(CUR_I_Report=2,I$98,1)</f>
        <v>374405.39024603163</v>
      </c>
      <c r="I640" s="30">
        <f ca="1">I887*IF(CUR_I_Report=2,#REF!,1)</f>
        <v>441955.41037777776</v>
      </c>
      <c r="J640" s="30">
        <f ca="1">J887*IF(CUR_I_Report=2,#REF!,1)</f>
        <v>568007.01377269835</v>
      </c>
    </row>
    <row r="641" spans="1:12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68"/>
      <c r="L641" s="68"/>
    </row>
    <row r="642" spans="1:12" ht="12" outlineLevel="1" thickBot="1"/>
    <row r="643" spans="1:12" ht="15.95" customHeight="1" collapsed="1" thickTop="1" thickBot="1">
      <c r="A643" s="18"/>
      <c r="B643" s="23"/>
      <c r="C643" s="19"/>
      <c r="D643" s="18"/>
      <c r="E643" s="18"/>
      <c r="F643" s="19" t="str">
        <f t="shared" ref="F643:J643" si="528">PeriodTitle</f>
        <v>"0"</v>
      </c>
      <c r="G643" s="19">
        <f t="shared" si="528"/>
        <v>2013</v>
      </c>
      <c r="H643" s="19">
        <f t="shared" si="528"/>
        <v>2014</v>
      </c>
      <c r="I643" s="19">
        <f t="shared" si="528"/>
        <v>2015</v>
      </c>
      <c r="J643" s="19">
        <f t="shared" si="528"/>
        <v>2016</v>
      </c>
      <c r="K643" s="19"/>
      <c r="L643" s="23" t="str">
        <f ca="1">OFFSET(Язык!$A$77,0,LANGUAGE)</f>
        <v>ИТОГО</v>
      </c>
    </row>
    <row r="644" spans="1:12" ht="12" hidden="1" outlineLevel="1" thickTop="1"/>
    <row r="645" spans="1:12" hidden="1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I645" si="529">SUM(F647:F650)</f>
        <v>0</v>
      </c>
      <c r="G645" s="62">
        <f t="shared" ca="1" si="529"/>
        <v>515791.43305555556</v>
      </c>
      <c r="H645" s="62">
        <f t="shared" ca="1" si="529"/>
        <v>-13461.993587301564</v>
      </c>
      <c r="I645" s="62">
        <f t="shared" ca="1" si="529"/>
        <v>-15237.876588888925</v>
      </c>
      <c r="J645" s="62">
        <f t="shared" ref="J645" ca="1" si="530">SUM(J647:J650)</f>
        <v>-14707.416926349171</v>
      </c>
      <c r="K645" s="62"/>
      <c r="L645" s="27">
        <f ca="1">SUM(F645:J645)</f>
        <v>472384.14595301589</v>
      </c>
    </row>
    <row r="646" spans="1:12" hidden="1" outlineLevel="1"/>
    <row r="647" spans="1:12" hidden="1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I647" si="531">F461</f>
        <v>0</v>
      </c>
      <c r="G647" s="26">
        <f t="shared" si="531"/>
        <v>300000</v>
      </c>
      <c r="H647" s="26">
        <f t="shared" si="531"/>
        <v>0</v>
      </c>
      <c r="I647" s="26">
        <f t="shared" si="531"/>
        <v>0</v>
      </c>
      <c r="J647" s="26">
        <f t="shared" ref="J647" si="532">J461</f>
        <v>0</v>
      </c>
      <c r="K647" s="26"/>
      <c r="L647" s="30">
        <f>SUM(F647:J647)</f>
        <v>300000</v>
      </c>
    </row>
    <row r="648" spans="1:12" hidden="1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I648" si="533">F473</f>
        <v>0</v>
      </c>
      <c r="G648" s="26">
        <f t="shared" si="533"/>
        <v>197000</v>
      </c>
      <c r="H648" s="26">
        <f t="shared" si="533"/>
        <v>0</v>
      </c>
      <c r="I648" s="26">
        <f t="shared" si="533"/>
        <v>0</v>
      </c>
      <c r="J648" s="26">
        <f t="shared" ref="J648" si="534">J473</f>
        <v>0</v>
      </c>
      <c r="K648" s="26"/>
      <c r="L648" s="30">
        <f>SUM(F648:J648)</f>
        <v>197000</v>
      </c>
    </row>
    <row r="649" spans="1:12" hidden="1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I649" si="535">F486</f>
        <v>0</v>
      </c>
      <c r="G649" s="26">
        <f t="shared" si="535"/>
        <v>50000</v>
      </c>
      <c r="H649" s="26">
        <f t="shared" si="535"/>
        <v>0</v>
      </c>
      <c r="I649" s="26">
        <f t="shared" si="535"/>
        <v>0</v>
      </c>
      <c r="J649" s="26">
        <f t="shared" ref="J649" si="536">J486</f>
        <v>0</v>
      </c>
      <c r="K649" s="26"/>
      <c r="L649" s="30">
        <f>SUM(F649:J649)</f>
        <v>50000</v>
      </c>
    </row>
    <row r="650" spans="1:12" hidden="1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I650" si="537">F591</f>
        <v>0</v>
      </c>
      <c r="G650" s="26">
        <f t="shared" ca="1" si="537"/>
        <v>-31208.56694444445</v>
      </c>
      <c r="H650" s="26">
        <f t="shared" ca="1" si="537"/>
        <v>-13461.993587301564</v>
      </c>
      <c r="I650" s="26">
        <f t="shared" ca="1" si="537"/>
        <v>-15237.876588888925</v>
      </c>
      <c r="J650" s="26">
        <f t="shared" ref="J650" ca="1" si="538">J591</f>
        <v>-14707.416926349171</v>
      </c>
      <c r="K650" s="26"/>
      <c r="L650" s="30">
        <f ca="1">SUM(F650:J650)</f>
        <v>-74615.85404698411</v>
      </c>
    </row>
    <row r="651" spans="1:12" hidden="1" outlineLevel="1"/>
    <row r="652" spans="1:12" hidden="1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I652" si="539">SUM(F654:F657)</f>
        <v>0</v>
      </c>
      <c r="G652" s="62">
        <f t="shared" si="539"/>
        <v>547000</v>
      </c>
      <c r="H652" s="62">
        <f t="shared" si="539"/>
        <v>0</v>
      </c>
      <c r="I652" s="62">
        <f t="shared" si="539"/>
        <v>0</v>
      </c>
      <c r="J652" s="62">
        <f t="shared" ref="J652" si="540">SUM(J654:J657)</f>
        <v>0</v>
      </c>
      <c r="K652" s="26"/>
      <c r="L652" s="27">
        <f>SUM(F652:J652)</f>
        <v>547000</v>
      </c>
    </row>
    <row r="653" spans="1:12" hidden="1" outlineLevel="1"/>
    <row r="654" spans="1:12" hidden="1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I654" si="541">F596+F603</f>
        <v>0</v>
      </c>
      <c r="G654" s="26">
        <f t="shared" si="541"/>
        <v>0</v>
      </c>
      <c r="H654" s="26">
        <f t="shared" si="541"/>
        <v>0</v>
      </c>
      <c r="I654" s="26">
        <f t="shared" si="541"/>
        <v>0</v>
      </c>
      <c r="J654" s="26">
        <f t="shared" ref="J654" si="542">J596+J603</f>
        <v>0</v>
      </c>
      <c r="K654" s="26"/>
      <c r="L654" s="30">
        <f>SUM(F654:J654)</f>
        <v>0</v>
      </c>
    </row>
    <row r="655" spans="1:12" hidden="1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I655" si="543">F605</f>
        <v>0</v>
      </c>
      <c r="G655" s="26">
        <f t="shared" si="543"/>
        <v>0</v>
      </c>
      <c r="H655" s="26">
        <f t="shared" si="543"/>
        <v>0</v>
      </c>
      <c r="I655" s="26">
        <f t="shared" si="543"/>
        <v>0</v>
      </c>
      <c r="J655" s="26">
        <f t="shared" ref="J655" si="544">J605</f>
        <v>0</v>
      </c>
      <c r="K655" s="26"/>
      <c r="L655" s="30">
        <f>SUM(F655:J655)</f>
        <v>0</v>
      </c>
    </row>
    <row r="656" spans="1:12" hidden="1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I656" si="545">F629</f>
        <v>0</v>
      </c>
      <c r="G656" s="26">
        <f t="shared" si="545"/>
        <v>547000</v>
      </c>
      <c r="H656" s="26">
        <f t="shared" si="545"/>
        <v>0</v>
      </c>
      <c r="I656" s="26">
        <f t="shared" si="545"/>
        <v>0</v>
      </c>
      <c r="J656" s="26">
        <f t="shared" ref="J656" si="546">J629</f>
        <v>0</v>
      </c>
      <c r="K656" s="26"/>
      <c r="L656" s="30">
        <f>SUM(F656:J656)</f>
        <v>547000</v>
      </c>
    </row>
    <row r="657" spans="1:12" hidden="1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30">
        <f>SUM(F657:J657)</f>
        <v>0</v>
      </c>
    </row>
    <row r="658" spans="1:12" hidden="1" outlineLevel="1"/>
    <row r="659" spans="1:12" hidden="1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I659" ca="1" si="547">SUM(F661:F664)</f>
        <v>0</v>
      </c>
      <c r="G659" s="62">
        <f t="shared" ca="1" si="547"/>
        <v>0</v>
      </c>
      <c r="H659" s="62">
        <f t="shared" ca="1" si="547"/>
        <v>167580</v>
      </c>
      <c r="I659" s="62">
        <f t="shared" ca="1" si="547"/>
        <v>291840</v>
      </c>
      <c r="J659" s="62">
        <f t="shared" ref="J659" ca="1" si="548">SUM(J661:J664)</f>
        <v>259920</v>
      </c>
      <c r="K659" s="62"/>
      <c r="L659" s="27">
        <f ca="1">SUM(F659:J659)</f>
        <v>719340</v>
      </c>
    </row>
    <row r="660" spans="1:12" hidden="1" outlineLevel="1"/>
    <row r="661" spans="1:12" hidden="1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I661" si="549">F630</f>
        <v>0</v>
      </c>
      <c r="G661" s="26">
        <f t="shared" si="549"/>
        <v>0</v>
      </c>
      <c r="H661" s="26">
        <f t="shared" si="549"/>
        <v>91000</v>
      </c>
      <c r="I661" s="26">
        <f t="shared" si="549"/>
        <v>228000</v>
      </c>
      <c r="J661" s="26">
        <f t="shared" ref="J661" si="550">J630</f>
        <v>228000</v>
      </c>
      <c r="K661" s="26"/>
      <c r="L661" s="30">
        <f>SUM(F661:J661)</f>
        <v>547000</v>
      </c>
    </row>
    <row r="662" spans="1:12" hidden="1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ref="F662:I662" si="551">F631</f>
        <v>0</v>
      </c>
      <c r="G662" s="26">
        <f t="shared" si="551"/>
        <v>0</v>
      </c>
      <c r="H662" s="26">
        <f t="shared" si="551"/>
        <v>76580.000000000015</v>
      </c>
      <c r="I662" s="26">
        <f t="shared" si="551"/>
        <v>63840.000000000007</v>
      </c>
      <c r="J662" s="26">
        <f t="shared" ref="J662" si="552">J631</f>
        <v>31920.000000000004</v>
      </c>
      <c r="K662" s="26"/>
      <c r="L662" s="30">
        <f>SUM(F662:J662)</f>
        <v>172340.00000000003</v>
      </c>
    </row>
    <row r="663" spans="1:12" hidden="1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I663" ca="1" si="553">F521</f>
        <v>0</v>
      </c>
      <c r="G663" s="26">
        <f t="shared" ca="1" si="553"/>
        <v>0</v>
      </c>
      <c r="H663" s="26">
        <f t="shared" ca="1" si="553"/>
        <v>0</v>
      </c>
      <c r="I663" s="26">
        <f t="shared" ca="1" si="553"/>
        <v>0</v>
      </c>
      <c r="J663" s="26">
        <f t="shared" ref="J663" ca="1" si="554">J521</f>
        <v>0</v>
      </c>
      <c r="K663" s="26"/>
      <c r="L663" s="30">
        <f ca="1">SUM(F663:J663)</f>
        <v>0</v>
      </c>
    </row>
    <row r="664" spans="1:12" hidden="1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I664" si="555">F770</f>
        <v>0</v>
      </c>
      <c r="G664" s="46">
        <f t="shared" ca="1" si="555"/>
        <v>0</v>
      </c>
      <c r="H664" s="46">
        <f t="shared" ca="1" si="555"/>
        <v>0</v>
      </c>
      <c r="I664" s="46">
        <f t="shared" ca="1" si="555"/>
        <v>0</v>
      </c>
      <c r="J664" s="46">
        <f t="shared" ref="J664" ca="1" si="556">J770</f>
        <v>0</v>
      </c>
      <c r="K664" s="46"/>
      <c r="L664" s="152">
        <f ca="1">SUM(F664:J664)</f>
        <v>0</v>
      </c>
    </row>
    <row r="665" spans="1:12" hidden="1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152"/>
    </row>
    <row r="666" spans="1:12" hidden="1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1737</v>
      </c>
      <c r="E666" s="11"/>
      <c r="F666" s="152">
        <f ca="1">F887*IF(CUR_I_Report=2,G$98,1)</f>
        <v>0</v>
      </c>
      <c r="G666" s="152">
        <f ca="1">G887*IF(CUR_I_Report=2,H$98,1)</f>
        <v>149839.77265873016</v>
      </c>
      <c r="H666" s="152">
        <f ca="1">H887*IF(CUR_I_Report=2,I$98,1)</f>
        <v>374405.39024603163</v>
      </c>
      <c r="I666" s="152">
        <f ca="1">I887*IF(CUR_I_Report=2,#REF!,1)</f>
        <v>441955.41037777776</v>
      </c>
      <c r="J666" s="152">
        <f ca="1">J887*IF(CUR_I_Report=2,#REF!,1)</f>
        <v>568007.01377269835</v>
      </c>
      <c r="K666" s="46"/>
      <c r="L666" s="152"/>
    </row>
    <row r="667" spans="1:12" hidden="1" outlineLevel="1">
      <c r="A667" s="153" t="str">
        <f ca="1">OFFSET(Язык!$A$637,0,LANGUAGE)</f>
        <v>Минимальный остаток средств на счете</v>
      </c>
      <c r="B667" s="207">
        <f ca="1">MIN(G666:J666)</f>
        <v>149839.77265873016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57"/>
      <c r="L667" s="58"/>
    </row>
    <row r="668" spans="1:12" hidden="1" outlineLevel="1"/>
    <row r="669" spans="1:12" ht="12" hidden="1" outlineLevel="1" thickBot="1"/>
    <row r="670" spans="1:12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J670" si="557">PeriodTitle</f>
        <v>"0"</v>
      </c>
      <c r="G670" s="19">
        <f t="shared" si="557"/>
        <v>2013</v>
      </c>
      <c r="H670" s="19">
        <f t="shared" si="557"/>
        <v>2014</v>
      </c>
      <c r="I670" s="19">
        <f t="shared" si="557"/>
        <v>2015</v>
      </c>
      <c r="J670" s="19">
        <f t="shared" si="557"/>
        <v>2016</v>
      </c>
      <c r="K670" s="19"/>
      <c r="L670" s="23" t="str">
        <f ca="1">OFFSET(Язык!$A$77,0,LANGUAGE)</f>
        <v>ИТОГО</v>
      </c>
    </row>
    <row r="671" spans="1:12" ht="12" outlineLevel="1" thickTop="1"/>
    <row r="672" spans="1:12" outlineLevel="1">
      <c r="B672" s="6" t="str">
        <f ca="1">OFFSET(Язык!$A$368,0,LANGUAGE)</f>
        <v>дней</v>
      </c>
    </row>
    <row r="673" spans="1:12" outlineLevel="1">
      <c r="A673" s="2" t="str">
        <f ca="1">OFFSET(Язык!$A$306,0,LANGUAGE)</f>
        <v>Акцизы и экспортные пошлины</v>
      </c>
      <c r="B673" s="7">
        <v>30</v>
      </c>
      <c r="G673" s="26">
        <f t="shared" ref="G673:I673" si="558">G174</f>
        <v>0</v>
      </c>
      <c r="H673" s="26">
        <f t="shared" si="558"/>
        <v>0</v>
      </c>
      <c r="I673" s="26">
        <f t="shared" si="558"/>
        <v>0</v>
      </c>
      <c r="J673" s="26">
        <f t="shared" ref="J673" si="559">J174</f>
        <v>0</v>
      </c>
      <c r="L673" s="30">
        <f>SUM(F673:J673)</f>
        <v>0</v>
      </c>
    </row>
    <row r="674" spans="1:12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I674" si="560">F480</f>
        <v>0</v>
      </c>
      <c r="G674" s="26">
        <f t="shared" si="560"/>
        <v>0</v>
      </c>
      <c r="H674" s="26">
        <f t="shared" si="560"/>
        <v>0</v>
      </c>
      <c r="I674" s="26">
        <f t="shared" si="560"/>
        <v>0</v>
      </c>
      <c r="J674" s="26">
        <f t="shared" ref="J674" si="561">J480</f>
        <v>0</v>
      </c>
      <c r="L674" s="30">
        <f>SUM(F674:J674)</f>
        <v>0</v>
      </c>
    </row>
    <row r="675" spans="1:12" outlineLevel="1">
      <c r="A675" s="43"/>
    </row>
    <row r="676" spans="1:12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</row>
    <row r="677" spans="1:12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outlineLevel="1">
      <c r="A678" s="2" t="str">
        <f ca="1">OFFSET(Язык!$A$309,0,LANGUAGE)</f>
        <v xml:space="preserve">    ставка</v>
      </c>
      <c r="B678" s="64">
        <v>0.12</v>
      </c>
    </row>
    <row r="679" spans="1:12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2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2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2" outlineLevel="1" collapsed="1">
      <c r="A682" s="2" t="str">
        <f ca="1">OFFSET(Язык!$A$313,0,LANGUAGE)</f>
        <v>НДС полученный</v>
      </c>
      <c r="C682" s="6" t="str">
        <f t="shared" ref="C682:C695" ca="1" si="562">CUR_Main</f>
        <v>$</v>
      </c>
      <c r="F682" s="26">
        <f t="shared" ref="F682:I682" ca="1" si="563">SUM(F683:F685)</f>
        <v>0</v>
      </c>
      <c r="G682" s="26">
        <f t="shared" ca="1" si="563"/>
        <v>43392.857142857138</v>
      </c>
      <c r="H682" s="26">
        <f t="shared" ca="1" si="563"/>
        <v>95464.285714285696</v>
      </c>
      <c r="I682" s="26">
        <f t="shared" ca="1" si="563"/>
        <v>105010.71428571428</v>
      </c>
      <c r="J682" s="26">
        <f t="shared" ref="J682" ca="1" si="564">SUM(J683:J685)</f>
        <v>115511.78571428571</v>
      </c>
      <c r="K682" s="26"/>
      <c r="L682" s="30">
        <f t="shared" ref="L682:L692" ca="1" si="565">SUM(F682:J682)</f>
        <v>359379.64285714284</v>
      </c>
    </row>
    <row r="683" spans="1:12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562"/>
        <v>$</v>
      </c>
      <c r="F683" s="26">
        <f t="shared" ref="F683:I683" ca="1" si="566">F180</f>
        <v>0</v>
      </c>
      <c r="G683" s="26">
        <f t="shared" ca="1" si="566"/>
        <v>43392.857142857138</v>
      </c>
      <c r="H683" s="26">
        <f t="shared" ca="1" si="566"/>
        <v>95464.285714285696</v>
      </c>
      <c r="I683" s="26">
        <f t="shared" ca="1" si="566"/>
        <v>105010.71428571428</v>
      </c>
      <c r="J683" s="26">
        <f t="shared" ref="J683" ca="1" si="567">J180</f>
        <v>115511.78571428571</v>
      </c>
      <c r="K683" s="26"/>
      <c r="L683" s="30">
        <f t="shared" ca="1" si="565"/>
        <v>359379.64285714284</v>
      </c>
    </row>
    <row r="684" spans="1:12" hidden="1" outlineLevel="2">
      <c r="A684" s="2" t="str">
        <f ca="1">OFFSET(Язык!$A$315,0,LANGUAGE)</f>
        <v xml:space="preserve">    от продажи активов</v>
      </c>
      <c r="C684" s="6" t="str">
        <f t="shared" ca="1" si="562"/>
        <v>$</v>
      </c>
      <c r="F684" s="26">
        <f t="shared" ref="F684:I684" si="568">F472+F485</f>
        <v>0</v>
      </c>
      <c r="G684" s="26">
        <f t="shared" si="568"/>
        <v>0</v>
      </c>
      <c r="H684" s="26">
        <f t="shared" si="568"/>
        <v>0</v>
      </c>
      <c r="I684" s="26">
        <f t="shared" si="568"/>
        <v>0</v>
      </c>
      <c r="J684" s="26">
        <f t="shared" ref="J684" si="569">J472+J485</f>
        <v>0</v>
      </c>
      <c r="K684" s="26"/>
      <c r="L684" s="30">
        <f t="shared" si="565"/>
        <v>0</v>
      </c>
    </row>
    <row r="685" spans="1:12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562"/>
        <v>$</v>
      </c>
      <c r="F685" s="26">
        <f t="shared" ref="F685:I685" si="570">F832+F840</f>
        <v>0</v>
      </c>
      <c r="G685" s="26">
        <f t="shared" si="570"/>
        <v>0</v>
      </c>
      <c r="H685" s="26">
        <f t="shared" si="570"/>
        <v>0</v>
      </c>
      <c r="I685" s="26">
        <f t="shared" si="570"/>
        <v>0</v>
      </c>
      <c r="J685" s="26">
        <f t="shared" ref="J685" si="571">J832+J840</f>
        <v>0</v>
      </c>
      <c r="K685" s="26"/>
      <c r="L685" s="30">
        <f t="shared" si="565"/>
        <v>0</v>
      </c>
    </row>
    <row r="686" spans="1:12" outlineLevel="1" collapsed="1">
      <c r="A686" s="2" t="str">
        <f ca="1">OFFSET(Язык!$A$317,0,LANGUAGE)</f>
        <v>НДС уплаченный</v>
      </c>
      <c r="C686" s="6" t="str">
        <f t="shared" ca="1" si="562"/>
        <v>$</v>
      </c>
      <c r="F686" s="26">
        <f t="shared" ref="F686:I686" ca="1" si="572">SUM(F687:F690)</f>
        <v>0</v>
      </c>
      <c r="G686" s="26">
        <f t="shared" ca="1" si="572"/>
        <v>75169.60714285713</v>
      </c>
      <c r="H686" s="26">
        <f t="shared" ca="1" si="572"/>
        <v>36563.571428571428</v>
      </c>
      <c r="I686" s="26">
        <f t="shared" ca="1" si="572"/>
        <v>40219.928571428572</v>
      </c>
      <c r="J686" s="26">
        <f t="shared" ref="J686" ca="1" si="573">SUM(J687:J690)</f>
        <v>44241.921428571433</v>
      </c>
      <c r="K686" s="26"/>
      <c r="L686" s="30">
        <f t="shared" ca="1" si="565"/>
        <v>196195.02857142856</v>
      </c>
    </row>
    <row r="687" spans="1:12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562"/>
        <v>$</v>
      </c>
      <c r="F687" s="26">
        <f t="shared" ref="F687:I687" ca="1" si="574">F270</f>
        <v>0</v>
      </c>
      <c r="G687" s="26">
        <f t="shared" ca="1" si="574"/>
        <v>14464.28571428571</v>
      </c>
      <c r="H687" s="26">
        <f t="shared" ca="1" si="574"/>
        <v>31821.428571428569</v>
      </c>
      <c r="I687" s="26">
        <f t="shared" ca="1" si="574"/>
        <v>35003.571428571428</v>
      </c>
      <c r="J687" s="26">
        <f t="shared" ref="J687" ca="1" si="575">J270</f>
        <v>38503.928571428572</v>
      </c>
      <c r="K687" s="26"/>
      <c r="L687" s="30">
        <f t="shared" ca="1" si="565"/>
        <v>119793.21428571429</v>
      </c>
    </row>
    <row r="688" spans="1:12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562"/>
        <v>$</v>
      </c>
      <c r="F688" s="26">
        <f t="shared" ref="F688:I688" si="576">F377+F380+F383</f>
        <v>0</v>
      </c>
      <c r="G688" s="26">
        <f t="shared" ca="1" si="576"/>
        <v>2098.1785714285711</v>
      </c>
      <c r="H688" s="26">
        <f t="shared" ca="1" si="576"/>
        <v>4742.1428571428569</v>
      </c>
      <c r="I688" s="26">
        <f t="shared" ca="1" si="576"/>
        <v>5216.3571428571431</v>
      </c>
      <c r="J688" s="26">
        <f t="shared" ref="J688" ca="1" si="577">J377+J380+J383</f>
        <v>5737.9928571428582</v>
      </c>
      <c r="K688" s="26"/>
      <c r="L688" s="30">
        <f t="shared" ca="1" si="565"/>
        <v>17794.67142857143</v>
      </c>
    </row>
    <row r="689" spans="1:12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562"/>
        <v>$</v>
      </c>
      <c r="F689" s="26">
        <f t="shared" ref="F689:I689" ca="1" si="578">F523</f>
        <v>0</v>
      </c>
      <c r="G689" s="26">
        <f t="shared" ca="1" si="578"/>
        <v>0</v>
      </c>
      <c r="H689" s="26">
        <f t="shared" ca="1" si="578"/>
        <v>0</v>
      </c>
      <c r="I689" s="26">
        <f t="shared" ca="1" si="578"/>
        <v>0</v>
      </c>
      <c r="J689" s="26">
        <f t="shared" ref="J689" ca="1" si="579">J523</f>
        <v>0</v>
      </c>
      <c r="K689" s="26"/>
      <c r="L689" s="30">
        <f t="shared" ca="1" si="565"/>
        <v>0</v>
      </c>
    </row>
    <row r="690" spans="1:12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562"/>
        <v>$</v>
      </c>
      <c r="F690" s="26">
        <f t="shared" ref="F690:I690" si="580">F468+F481+F493</f>
        <v>0</v>
      </c>
      <c r="G690" s="26">
        <f t="shared" si="580"/>
        <v>58607.142857142855</v>
      </c>
      <c r="H690" s="26">
        <f t="shared" si="580"/>
        <v>0</v>
      </c>
      <c r="I690" s="26">
        <f t="shared" si="580"/>
        <v>0</v>
      </c>
      <c r="J690" s="26">
        <f t="shared" ref="J690" si="581">J468+J481+J493</f>
        <v>0</v>
      </c>
      <c r="K690" s="26"/>
      <c r="L690" s="30">
        <f t="shared" si="565"/>
        <v>58607.142857142855</v>
      </c>
    </row>
    <row r="691" spans="1:12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562"/>
        <v>$</v>
      </c>
      <c r="F691" s="62">
        <f t="shared" ref="F691:J691" ca="1" si="582">IF(VAT_Repay=2,MAX(F694-E695,0),F694)</f>
        <v>0</v>
      </c>
      <c r="G691" s="62">
        <f t="shared" ca="1" si="582"/>
        <v>26830.392857142855</v>
      </c>
      <c r="H691" s="62">
        <f t="shared" ca="1" si="582"/>
        <v>293.57142857142026</v>
      </c>
      <c r="I691" s="62">
        <f t="shared" ca="1" si="582"/>
        <v>64790.785714285696</v>
      </c>
      <c r="J691" s="62">
        <f t="shared" ca="1" si="582"/>
        <v>71269.864285714269</v>
      </c>
      <c r="K691" s="26"/>
      <c r="L691" s="27">
        <f ca="1">SUM(F691:J691)</f>
        <v>163184.61428571423</v>
      </c>
    </row>
    <row r="692" spans="1:12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562"/>
        <v>$</v>
      </c>
      <c r="F692" s="26">
        <f t="shared" ref="F692:I692" ca="1" si="583">F469+F482+F494</f>
        <v>0</v>
      </c>
      <c r="G692" s="26">
        <f t="shared" ca="1" si="583"/>
        <v>0</v>
      </c>
      <c r="H692" s="26">
        <f t="shared" ca="1" si="583"/>
        <v>58607.142857142855</v>
      </c>
      <c r="I692" s="26">
        <f t="shared" ca="1" si="583"/>
        <v>0</v>
      </c>
      <c r="J692" s="26">
        <f t="shared" ref="J692" ca="1" si="584">J469+J482+J494</f>
        <v>0</v>
      </c>
      <c r="K692" s="26"/>
      <c r="L692" s="30">
        <f t="shared" ca="1" si="565"/>
        <v>58607.142857142855</v>
      </c>
    </row>
    <row r="693" spans="1:12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562"/>
        <v>$</v>
      </c>
      <c r="D693" s="2" t="s">
        <v>1737</v>
      </c>
      <c r="F693" s="26">
        <f ca="1">SUM($F690:F690)-SUM($F692:F692)+$B457</f>
        <v>0</v>
      </c>
      <c r="G693" s="26">
        <f ca="1">SUM($F690:G690)-SUM($F692:G692)+$B457</f>
        <v>58607.142857142855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/>
      <c r="L693" s="26"/>
    </row>
    <row r="694" spans="1:12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562"/>
        <v>$</v>
      </c>
      <c r="F694" s="26">
        <f t="shared" ref="F694:I694" ca="1" si="585">F682-F687-F688-F689-F692</f>
        <v>0</v>
      </c>
      <c r="G694" s="26">
        <f t="shared" ca="1" si="585"/>
        <v>26830.392857142855</v>
      </c>
      <c r="H694" s="26">
        <f t="shared" ca="1" si="585"/>
        <v>293.57142857142026</v>
      </c>
      <c r="I694" s="26">
        <f t="shared" ca="1" si="585"/>
        <v>64790.785714285696</v>
      </c>
      <c r="J694" s="26">
        <f t="shared" ref="J694" ca="1" si="586">J682-J687-J688-J689-J692</f>
        <v>71269.864285714269</v>
      </c>
      <c r="K694" s="26"/>
      <c r="L694" s="30">
        <f ca="1">SUM(F694:J694)</f>
        <v>163184.61428571423</v>
      </c>
    </row>
    <row r="695" spans="1:12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562"/>
        <v>$</v>
      </c>
      <c r="D695" s="2" t="s">
        <v>1737</v>
      </c>
      <c r="F695" s="26">
        <f ca="1">IF(AND(F694&lt;0,VAT_Repay=2),-F694,0)</f>
        <v>0</v>
      </c>
      <c r="G695" s="26">
        <f t="shared" ref="G695:J695" si="587">IF(VAT_Repay=1,0,MAX(F695-G694,0))</f>
        <v>0</v>
      </c>
      <c r="H695" s="26">
        <f t="shared" si="587"/>
        <v>0</v>
      </c>
      <c r="I695" s="26">
        <f t="shared" si="587"/>
        <v>0</v>
      </c>
      <c r="J695" s="26">
        <f t="shared" si="587"/>
        <v>0</v>
      </c>
      <c r="K695" s="26"/>
      <c r="L695" s="26"/>
    </row>
    <row r="696" spans="1:12" outlineLevel="1">
      <c r="A696" s="43"/>
      <c r="B696" s="2"/>
      <c r="C696" s="2"/>
    </row>
    <row r="697" spans="1:12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</row>
    <row r="698" spans="1:12" outlineLevel="1">
      <c r="F698" s="26"/>
      <c r="G698" s="26"/>
      <c r="H698" s="26"/>
      <c r="I698" s="26"/>
      <c r="J698" s="26"/>
      <c r="K698" s="26"/>
      <c r="L698" s="26"/>
    </row>
    <row r="699" spans="1:12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t="shared" ref="G699:I699" ca="1" si="588">G312</f>
        <v>15537.599999999999</v>
      </c>
      <c r="H699" s="62">
        <f t="shared" si="588"/>
        <v>24744.720000000001</v>
      </c>
      <c r="I699" s="62">
        <f t="shared" ca="1" si="588"/>
        <v>27219.192000000003</v>
      </c>
      <c r="J699" s="62">
        <f t="shared" ref="J699" ca="1" si="589">J312</f>
        <v>29941.111200000003</v>
      </c>
      <c r="K699" s="26"/>
      <c r="L699" s="27">
        <f ca="1">SUM(F699:J699)</f>
        <v>97442.623200000002</v>
      </c>
    </row>
    <row r="700" spans="1:12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30">
        <f>SUM(F700:J700)</f>
        <v>0</v>
      </c>
    </row>
    <row r="701" spans="1:12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1747</v>
      </c>
      <c r="F701" s="26"/>
      <c r="G701" s="65">
        <f>B701</f>
        <v>0.26</v>
      </c>
      <c r="H701" s="65">
        <f>G701</f>
        <v>0.26</v>
      </c>
      <c r="I701" s="65">
        <f t="shared" ref="I701:J705" si="590">H701</f>
        <v>0.26</v>
      </c>
      <c r="J701" s="65">
        <f t="shared" si="590"/>
        <v>0.26</v>
      </c>
      <c r="K701" s="26"/>
      <c r="L701" s="26"/>
    </row>
    <row r="702" spans="1:12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1747</v>
      </c>
      <c r="F702" s="26"/>
      <c r="G702" s="26">
        <f>B702</f>
        <v>30</v>
      </c>
      <c r="H702" s="26">
        <f>G702</f>
        <v>30</v>
      </c>
      <c r="I702" s="26">
        <f t="shared" si="590"/>
        <v>30</v>
      </c>
      <c r="J702" s="26">
        <f t="shared" si="590"/>
        <v>30</v>
      </c>
      <c r="K702" s="26"/>
      <c r="L702" s="26"/>
    </row>
    <row r="703" spans="1:12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30">
        <f>SUM(F703:J703)</f>
        <v>0</v>
      </c>
    </row>
    <row r="704" spans="1:12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1747</v>
      </c>
      <c r="F704" s="26"/>
      <c r="G704" s="65">
        <f>B704</f>
        <v>0</v>
      </c>
      <c r="H704" s="65">
        <f>G704</f>
        <v>0</v>
      </c>
      <c r="I704" s="65">
        <f t="shared" si="590"/>
        <v>0</v>
      </c>
      <c r="J704" s="65">
        <f t="shared" si="590"/>
        <v>0</v>
      </c>
      <c r="K704" s="26"/>
      <c r="L704" s="26"/>
    </row>
    <row r="705" spans="1:12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1747</v>
      </c>
      <c r="F705" s="26"/>
      <c r="G705" s="26">
        <f>B705</f>
        <v>30</v>
      </c>
      <c r="H705" s="26">
        <f>G705</f>
        <v>30</v>
      </c>
      <c r="I705" s="26">
        <f t="shared" si="590"/>
        <v>30</v>
      </c>
      <c r="J705" s="26">
        <f t="shared" si="590"/>
        <v>30</v>
      </c>
      <c r="K705" s="26"/>
      <c r="L705" s="26"/>
    </row>
    <row r="706" spans="1:12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 t="shared" ref="G706:I706" si="591">G707*G708</f>
        <v>0</v>
      </c>
      <c r="H706" s="62">
        <f t="shared" si="591"/>
        <v>0</v>
      </c>
      <c r="I706" s="62">
        <f t="shared" si="591"/>
        <v>0</v>
      </c>
      <c r="J706" s="62">
        <f t="shared" ref="J706" si="592">J707*J708</f>
        <v>0</v>
      </c>
      <c r="K706" s="62"/>
      <c r="L706" s="27">
        <f>SUM(F706:J706)</f>
        <v>0</v>
      </c>
    </row>
    <row r="707" spans="1:12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1747</v>
      </c>
      <c r="F707" s="26"/>
      <c r="G707" s="26">
        <f>B707</f>
        <v>0</v>
      </c>
      <c r="H707" s="26">
        <f t="shared" ref="H707:J709" si="593">G707</f>
        <v>0</v>
      </c>
      <c r="I707" s="26">
        <f t="shared" si="593"/>
        <v>0</v>
      </c>
      <c r="J707" s="26">
        <f t="shared" si="593"/>
        <v>0</v>
      </c>
      <c r="K707" s="26"/>
      <c r="L707" s="26"/>
    </row>
    <row r="708" spans="1:12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593"/>
        <v>1000</v>
      </c>
      <c r="I708" s="26">
        <f t="shared" si="593"/>
        <v>1000</v>
      </c>
      <c r="J708" s="26">
        <f t="shared" si="593"/>
        <v>1000</v>
      </c>
      <c r="K708" s="26"/>
      <c r="L708" s="26"/>
    </row>
    <row r="709" spans="1:12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1747</v>
      </c>
      <c r="F709" s="26"/>
      <c r="G709" s="26">
        <f>B709</f>
        <v>90</v>
      </c>
      <c r="H709" s="26">
        <f t="shared" si="593"/>
        <v>90</v>
      </c>
      <c r="I709" s="26">
        <f t="shared" si="593"/>
        <v>90</v>
      </c>
      <c r="J709" s="26">
        <f t="shared" si="593"/>
        <v>90</v>
      </c>
      <c r="K709" s="26"/>
      <c r="L709" s="26"/>
    </row>
    <row r="710" spans="1:12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 t="shared" ref="G710:I710" si="594">G711+G714</f>
        <v>0</v>
      </c>
      <c r="H710" s="62">
        <f t="shared" si="594"/>
        <v>0</v>
      </c>
      <c r="I710" s="62">
        <f t="shared" si="594"/>
        <v>0</v>
      </c>
      <c r="J710" s="62">
        <f t="shared" ref="J710" si="595">J711+J714</f>
        <v>0</v>
      </c>
      <c r="K710" s="62"/>
      <c r="L710" s="27">
        <f>SUM(F710:J710)</f>
        <v>0</v>
      </c>
    </row>
    <row r="711" spans="1:12" hidden="1" outlineLevel="2">
      <c r="A711" s="2" t="str">
        <f ca="1">OFFSET(Язык!$A$340,0,LANGUAGE)</f>
        <v>Другие налоги с продаж</v>
      </c>
      <c r="F711" s="26"/>
      <c r="G711" s="26">
        <f>G173*G712</f>
        <v>0</v>
      </c>
      <c r="H711" s="26">
        <f>H173*H712</f>
        <v>0</v>
      </c>
      <c r="I711" s="26">
        <f>I173*I712</f>
        <v>0</v>
      </c>
      <c r="J711" s="26">
        <f>J173*J712</f>
        <v>0</v>
      </c>
      <c r="K711" s="26"/>
      <c r="L711" s="30">
        <f>SUM(F711:J711)</f>
        <v>0</v>
      </c>
    </row>
    <row r="712" spans="1:12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1747</v>
      </c>
      <c r="F712" s="26"/>
      <c r="G712" s="66">
        <f>B712</f>
        <v>0</v>
      </c>
      <c r="H712" s="66">
        <f t="shared" ref="H712:J713" si="596">G712</f>
        <v>0</v>
      </c>
      <c r="I712" s="66">
        <f t="shared" si="596"/>
        <v>0</v>
      </c>
      <c r="J712" s="66">
        <f t="shared" si="596"/>
        <v>0</v>
      </c>
      <c r="K712" s="26"/>
      <c r="L712" s="26"/>
    </row>
    <row r="713" spans="1:12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1747</v>
      </c>
      <c r="F713" s="26"/>
      <c r="G713" s="26">
        <f>B713</f>
        <v>90</v>
      </c>
      <c r="H713" s="26">
        <f t="shared" si="596"/>
        <v>90</v>
      </c>
      <c r="I713" s="26">
        <f t="shared" si="596"/>
        <v>90</v>
      </c>
      <c r="J713" s="26">
        <f t="shared" si="596"/>
        <v>90</v>
      </c>
      <c r="K713" s="26"/>
      <c r="L713" s="26"/>
    </row>
    <row r="714" spans="1:12" hidden="1" outlineLevel="2">
      <c r="A714" s="5" t="s">
        <v>1975</v>
      </c>
      <c r="F714" s="26"/>
      <c r="G714" s="26">
        <f t="shared" ref="G714:I714" si="597">G715*G716</f>
        <v>0</v>
      </c>
      <c r="H714" s="26">
        <f t="shared" si="597"/>
        <v>0</v>
      </c>
      <c r="I714" s="26">
        <f t="shared" si="597"/>
        <v>0</v>
      </c>
      <c r="J714" s="26">
        <f t="shared" ref="J714" si="598">J715*J716</f>
        <v>0</v>
      </c>
      <c r="K714" s="26"/>
      <c r="L714" s="30">
        <f>SUM(F714:J714)</f>
        <v>0</v>
      </c>
    </row>
    <row r="715" spans="1:12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26"/>
      <c r="L715" s="26"/>
    </row>
    <row r="716" spans="1:12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1747</v>
      </c>
      <c r="F716" s="26"/>
      <c r="G716" s="66">
        <f>B716</f>
        <v>0</v>
      </c>
      <c r="H716" s="66">
        <f t="shared" ref="H716:J717" si="599">G716</f>
        <v>0</v>
      </c>
      <c r="I716" s="66">
        <f t="shared" si="599"/>
        <v>0</v>
      </c>
      <c r="J716" s="66">
        <f t="shared" si="599"/>
        <v>0</v>
      </c>
      <c r="K716" s="26"/>
      <c r="L716" s="26"/>
    </row>
    <row r="717" spans="1:12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1747</v>
      </c>
      <c r="F717" s="26"/>
      <c r="G717" s="26">
        <f>B717</f>
        <v>90</v>
      </c>
      <c r="H717" s="26">
        <f t="shared" si="599"/>
        <v>90</v>
      </c>
      <c r="I717" s="26">
        <f t="shared" si="599"/>
        <v>90</v>
      </c>
      <c r="J717" s="26">
        <f t="shared" si="599"/>
        <v>90</v>
      </c>
      <c r="K717" s="26"/>
      <c r="L717" s="26"/>
    </row>
    <row r="718" spans="1:12" outlineLevel="1">
      <c r="A718" s="43"/>
      <c r="F718" s="26"/>
      <c r="G718" s="26"/>
      <c r="H718" s="26"/>
      <c r="I718" s="26"/>
      <c r="J718" s="26"/>
      <c r="K718" s="26"/>
      <c r="L718" s="26"/>
    </row>
    <row r="719" spans="1:12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</row>
    <row r="720" spans="1:12" outlineLevel="1">
      <c r="F720" s="26"/>
      <c r="G720" s="26"/>
      <c r="H720" s="26"/>
      <c r="I720" s="26"/>
      <c r="J720" s="26"/>
      <c r="K720" s="26"/>
      <c r="L720" s="26"/>
    </row>
    <row r="721" spans="1:12" outlineLevel="1" collapsed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t="shared" ref="G721:I721" ca="1" si="600">(G722-G723)*G724*PRJ_Step/360</f>
        <v>0</v>
      </c>
      <c r="H721" s="62">
        <f t="shared" ca="1" si="600"/>
        <v>4346.9642857142853</v>
      </c>
      <c r="I721" s="62">
        <f t="shared" ca="1" si="600"/>
        <v>8159.6428571428569</v>
      </c>
      <c r="J721" s="62">
        <f t="shared" ref="J721" ca="1" si="601">(J722-J723)*J724*PRJ_Step/360</f>
        <v>7091.0714285714266</v>
      </c>
      <c r="K721" s="62"/>
      <c r="L721" s="27">
        <f ca="1">SUM(F721:J721)</f>
        <v>19597.678571428569</v>
      </c>
    </row>
    <row r="722" spans="1:12" hidden="1" outlineLevel="2">
      <c r="A722" s="2" t="str">
        <f ca="1">OFFSET(Язык!$A$348,0,LANGUAGE)</f>
        <v xml:space="preserve">    средняя стоимость имущества за период</v>
      </c>
      <c r="D722" s="2" t="s">
        <v>1747</v>
      </c>
      <c r="F722" s="26"/>
      <c r="G722" s="25">
        <f t="shared" ref="G722:J722" ca="1" si="602">((G467+G479+G528+G455)+(F467+F479+F528+F455))/2</f>
        <v>0</v>
      </c>
      <c r="H722" s="25">
        <f t="shared" ca="1" si="602"/>
        <v>197589.28571428571</v>
      </c>
      <c r="I722" s="25">
        <f t="shared" ca="1" si="602"/>
        <v>370892.85714285716</v>
      </c>
      <c r="J722" s="25">
        <f t="shared" ca="1" si="602"/>
        <v>322321.42857142852</v>
      </c>
      <c r="K722" s="26"/>
      <c r="L722" s="26"/>
    </row>
    <row r="723" spans="1:12" hidden="1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1747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26"/>
      <c r="L723" s="26"/>
    </row>
    <row r="724" spans="1:12" hidden="1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1747</v>
      </c>
      <c r="F724" s="26"/>
      <c r="G724" s="66">
        <f>B724</f>
        <v>2.1999999999999999E-2</v>
      </c>
      <c r="H724" s="66">
        <f t="shared" ref="H724:J725" si="603">G724</f>
        <v>2.1999999999999999E-2</v>
      </c>
      <c r="I724" s="66">
        <f t="shared" si="603"/>
        <v>2.1999999999999999E-2</v>
      </c>
      <c r="J724" s="66">
        <f t="shared" si="603"/>
        <v>2.1999999999999999E-2</v>
      </c>
      <c r="K724" s="26"/>
      <c r="L724" s="26"/>
    </row>
    <row r="725" spans="1:12" hidden="1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1747</v>
      </c>
      <c r="F725" s="26"/>
      <c r="G725" s="26">
        <f>B725</f>
        <v>90</v>
      </c>
      <c r="H725" s="26">
        <f t="shared" si="603"/>
        <v>90</v>
      </c>
      <c r="I725" s="26">
        <f t="shared" si="603"/>
        <v>90</v>
      </c>
      <c r="J725" s="26">
        <f t="shared" si="603"/>
        <v>90</v>
      </c>
      <c r="K725" s="26"/>
      <c r="L725" s="26"/>
    </row>
    <row r="726" spans="1:12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 t="shared" ref="G726:I726" si="604">G728*G729</f>
        <v>0</v>
      </c>
      <c r="H726" s="62">
        <f t="shared" si="604"/>
        <v>0</v>
      </c>
      <c r="I726" s="62">
        <f t="shared" si="604"/>
        <v>0</v>
      </c>
      <c r="J726" s="62">
        <f t="shared" ref="J726" si="605">J728*J729</f>
        <v>0</v>
      </c>
      <c r="K726" s="62"/>
      <c r="L726" s="27">
        <f>SUM(F726:J726)</f>
        <v>0</v>
      </c>
    </row>
    <row r="727" spans="1:12" hidden="1" outlineLevel="2">
      <c r="A727" s="5" t="s">
        <v>1975</v>
      </c>
      <c r="F727" s="26"/>
      <c r="G727" s="26"/>
      <c r="H727" s="26"/>
      <c r="I727" s="26"/>
      <c r="J727" s="26"/>
      <c r="K727" s="26"/>
      <c r="L727" s="30"/>
    </row>
    <row r="728" spans="1:12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26"/>
      <c r="L728" s="26"/>
    </row>
    <row r="729" spans="1:12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1747</v>
      </c>
      <c r="F729" s="26"/>
      <c r="G729" s="66">
        <f>B729</f>
        <v>0</v>
      </c>
      <c r="H729" s="66">
        <f t="shared" ref="H729:J730" si="606">G729</f>
        <v>0</v>
      </c>
      <c r="I729" s="66">
        <f t="shared" si="606"/>
        <v>0</v>
      </c>
      <c r="J729" s="66">
        <f t="shared" si="606"/>
        <v>0</v>
      </c>
      <c r="K729" s="26"/>
      <c r="L729" s="26"/>
    </row>
    <row r="730" spans="1:12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1747</v>
      </c>
      <c r="F730" s="26"/>
      <c r="G730" s="26">
        <f>B730</f>
        <v>90</v>
      </c>
      <c r="H730" s="26">
        <f t="shared" si="606"/>
        <v>90</v>
      </c>
      <c r="I730" s="26">
        <f t="shared" si="606"/>
        <v>90</v>
      </c>
      <c r="J730" s="26">
        <f t="shared" si="606"/>
        <v>90</v>
      </c>
      <c r="K730" s="26"/>
      <c r="L730" s="26"/>
    </row>
    <row r="731" spans="1:12" outlineLevel="1">
      <c r="A731" s="43"/>
      <c r="F731" s="26"/>
      <c r="G731" s="26"/>
      <c r="H731" s="26"/>
      <c r="I731" s="26"/>
      <c r="J731" s="26"/>
      <c r="K731" s="26"/>
      <c r="L731" s="26"/>
    </row>
    <row r="732" spans="1:12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</row>
    <row r="733" spans="1:12" outlineLevel="1">
      <c r="F733" s="26"/>
      <c r="G733" s="26"/>
      <c r="H733" s="26"/>
      <c r="I733" s="26"/>
      <c r="J733" s="26"/>
      <c r="K733" s="26"/>
      <c r="L733" s="26"/>
    </row>
    <row r="734" spans="1:12" outlineLevel="1">
      <c r="A734" s="2" t="str">
        <f ca="1">OFFSET(Язык!$A$357,0,LANGUAGE)</f>
        <v xml:space="preserve">    ставка</v>
      </c>
      <c r="B734" s="64">
        <v>0.2</v>
      </c>
      <c r="D734" s="2" t="s">
        <v>1747</v>
      </c>
      <c r="F734" s="26"/>
      <c r="G734" s="75">
        <f>ProfitTax</f>
        <v>0.2</v>
      </c>
      <c r="H734" s="75">
        <f t="shared" ref="H734:J734" si="607">G734</f>
        <v>0.2</v>
      </c>
      <c r="I734" s="75">
        <f t="shared" si="607"/>
        <v>0.2</v>
      </c>
      <c r="J734" s="75">
        <f t="shared" si="607"/>
        <v>0.2</v>
      </c>
      <c r="K734" s="26"/>
      <c r="L734" s="26"/>
    </row>
    <row r="735" spans="1:12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1747</v>
      </c>
      <c r="F735" s="26"/>
      <c r="G735" s="26"/>
      <c r="H735" s="26"/>
      <c r="I735" s="26"/>
      <c r="J735" s="26"/>
      <c r="K735" s="26"/>
      <c r="L735" s="26"/>
    </row>
    <row r="736" spans="1:12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608">CUR_Main</f>
        <v>$</v>
      </c>
      <c r="D736" s="32"/>
      <c r="E736" s="32"/>
      <c r="F736" s="62"/>
      <c r="G736" s="62">
        <f t="shared" ref="G736:I736" ca="1" si="609">G743*G734</f>
        <v>29657.801428571431</v>
      </c>
      <c r="H736" s="62">
        <f t="shared" ca="1" si="609"/>
        <v>46499.120285714271</v>
      </c>
      <c r="I736" s="62">
        <f t="shared" ca="1" si="609"/>
        <v>55703.0358857143</v>
      </c>
      <c r="J736" s="62">
        <f t="shared" ref="J736" ca="1" si="610">J743*J734</f>
        <v>70461.046617142842</v>
      </c>
      <c r="K736" s="62"/>
      <c r="L736" s="27">
        <f ca="1">SUM(F736:J736)</f>
        <v>202321.00421714288</v>
      </c>
    </row>
    <row r="737" spans="1:12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608"/>
        <v>$</v>
      </c>
      <c r="F737" s="26"/>
      <c r="G737" s="26">
        <f t="shared" ref="G737:I737" ca="1" si="611">G767*IF(CUR_I_Report=2,G$98,1)</f>
        <v>148289.00714285715</v>
      </c>
      <c r="H737" s="26">
        <f t="shared" ca="1" si="611"/>
        <v>232495.60142857133</v>
      </c>
      <c r="I737" s="26">
        <f t="shared" ca="1" si="611"/>
        <v>278515.17942857149</v>
      </c>
      <c r="J737" s="26">
        <f t="shared" ref="J737" ca="1" si="612">J767*IF(CUR_I_Report=2,J$98,1)</f>
        <v>352305.23308571422</v>
      </c>
      <c r="K737" s="26"/>
      <c r="L737" s="30">
        <f ca="1">SUM(F737:J737)</f>
        <v>1011605.0210857142</v>
      </c>
    </row>
    <row r="738" spans="1:12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608"/>
        <v>$</v>
      </c>
      <c r="F738" s="26"/>
      <c r="G738" s="26">
        <f t="shared" ref="G738:I738" si="613">G632</f>
        <v>0</v>
      </c>
      <c r="H738" s="26">
        <f t="shared" si="613"/>
        <v>0</v>
      </c>
      <c r="I738" s="26">
        <f t="shared" si="613"/>
        <v>0</v>
      </c>
      <c r="J738" s="26">
        <f t="shared" ref="J738" si="614">J632</f>
        <v>0</v>
      </c>
      <c r="K738" s="26"/>
      <c r="L738" s="30">
        <f>SUM(F738:J738)</f>
        <v>0</v>
      </c>
    </row>
    <row r="739" spans="1:12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608"/>
        <v>$</v>
      </c>
      <c r="F739" s="26"/>
      <c r="G739" s="40">
        <v>0</v>
      </c>
      <c r="H739" s="40"/>
      <c r="I739" s="40"/>
      <c r="J739" s="40"/>
      <c r="K739" s="26"/>
      <c r="L739" s="30">
        <f ca="1">SUM(F740:J740)</f>
        <v>1011605.0210857142</v>
      </c>
    </row>
    <row r="740" spans="1:12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608"/>
        <v>$</v>
      </c>
      <c r="D740" s="2" t="s">
        <v>1737</v>
      </c>
      <c r="F740" s="26"/>
      <c r="G740" s="26">
        <f ca="1">IF(YEAR(G29)=YEAR(F29),F740,0)+G737+G738-G739</f>
        <v>148289.00714285715</v>
      </c>
      <c r="H740" s="26">
        <f ca="1">IF(YEAR(H29)=YEAR(G29),G740,0)+H737+H738-H739</f>
        <v>232495.60142857133</v>
      </c>
      <c r="I740" s="26">
        <f ca="1">IF(YEAR(I29)=YEAR(H29),H740,0)+I737+I738-I739</f>
        <v>278515.17942857149</v>
      </c>
      <c r="J740" s="26">
        <f ca="1">IF(YEAR(J29)=YEAR(I29),I740,0)+J737+J738-J739</f>
        <v>352305.23308571422</v>
      </c>
      <c r="K740" s="26"/>
      <c r="L740" s="26"/>
    </row>
    <row r="741" spans="1:12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608"/>
        <v>$</v>
      </c>
      <c r="F741" s="26"/>
      <c r="G741" s="26">
        <f>IF(YEAR(G29)&gt;YEAR(F29),MIN(F740,0),0)+F741-F742</f>
        <v>0</v>
      </c>
      <c r="H741" s="26">
        <f ca="1">IF(YEAR(H29)&gt;YEAR(G29),MIN(G740,0),0)+G741-G742</f>
        <v>0</v>
      </c>
      <c r="I741" s="26">
        <f ca="1">IF(YEAR(I29)&gt;YEAR(H29),MIN(H740,0),0)+H741-H742</f>
        <v>0</v>
      </c>
      <c r="J741" s="26">
        <f ca="1">IF(YEAR(J29)&gt;YEAR(I29),MIN(I740,0),0)+I741-I742</f>
        <v>0</v>
      </c>
      <c r="K741" s="26"/>
      <c r="L741" s="26"/>
    </row>
    <row r="742" spans="1:12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608"/>
        <v>$</v>
      </c>
      <c r="F742" s="26"/>
      <c r="G742" s="26">
        <f t="shared" ref="G742:I742" ca="1" si="615">-IF(MIN(G737+G738-G739,G740)&gt;0,MIN(-G741,MIN(G737+G738-G739,G740)*0.3),0)</f>
        <v>0</v>
      </c>
      <c r="H742" s="26">
        <f t="shared" ca="1" si="615"/>
        <v>0</v>
      </c>
      <c r="I742" s="26">
        <f t="shared" ca="1" si="615"/>
        <v>0</v>
      </c>
      <c r="J742" s="26">
        <f t="shared" ref="J742" ca="1" si="616">-IF(MIN(J737+J738-J739,J740)&gt;0,MIN(-J741,MIN(J737+J738-J739,J740)*0.3),0)</f>
        <v>0</v>
      </c>
      <c r="K742" s="26"/>
      <c r="L742" s="26"/>
    </row>
    <row r="743" spans="1:12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608"/>
        <v>$</v>
      </c>
      <c r="F743" s="26"/>
      <c r="G743" s="26">
        <f t="shared" ref="G743:I743" ca="1" si="617">IF(G740&gt;0,G737+G738-G739+G742,0)</f>
        <v>148289.00714285715</v>
      </c>
      <c r="H743" s="26">
        <f t="shared" ca="1" si="617"/>
        <v>232495.60142857133</v>
      </c>
      <c r="I743" s="26">
        <f t="shared" ca="1" si="617"/>
        <v>278515.17942857149</v>
      </c>
      <c r="J743" s="26">
        <f t="shared" ref="J743" ca="1" si="618">IF(J740&gt;0,J737+J738-J739+J742,0)</f>
        <v>352305.23308571422</v>
      </c>
      <c r="K743" s="26"/>
      <c r="L743" s="26"/>
    </row>
    <row r="744" spans="1:12" outlineLevel="1">
      <c r="F744" s="26"/>
      <c r="G744" s="26"/>
      <c r="H744" s="26"/>
      <c r="I744" s="26"/>
      <c r="J744" s="26"/>
      <c r="K744" s="26"/>
      <c r="L744" s="26"/>
    </row>
    <row r="745" spans="1:12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t="shared" ref="G745:I745" ca="1" si="619">G673+G674+G691+G699+G706+G710+G721+G726+G736</f>
        <v>72025.794285714277</v>
      </c>
      <c r="H745" s="57">
        <f t="shared" ca="1" si="619"/>
        <v>75884.375999999975</v>
      </c>
      <c r="I745" s="57">
        <f t="shared" ca="1" si="619"/>
        <v>155872.65645714285</v>
      </c>
      <c r="J745" s="57">
        <f t="shared" ref="J745" ca="1" si="620">J673+J674+J691+J699+J706+J710+J721+J726+J736</f>
        <v>178763.09353142855</v>
      </c>
      <c r="K745" s="57"/>
      <c r="L745" s="58">
        <f ca="1">SUM(F745:J745)</f>
        <v>482545.92027428566</v>
      </c>
    </row>
    <row r="746" spans="1:12" outlineLevel="1">
      <c r="F746" s="26"/>
      <c r="G746" s="26"/>
      <c r="H746" s="26"/>
      <c r="I746" s="26"/>
      <c r="J746" s="26"/>
      <c r="K746" s="26"/>
      <c r="L746" s="26"/>
    </row>
    <row r="747" spans="1:12" ht="12" outlineLevel="1" thickBot="1"/>
    <row r="748" spans="1:12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J748" si="621">PeriodTitle</f>
        <v>"0"</v>
      </c>
      <c r="G748" s="19">
        <f t="shared" si="621"/>
        <v>2013</v>
      </c>
      <c r="H748" s="19">
        <f t="shared" si="621"/>
        <v>2014</v>
      </c>
      <c r="I748" s="19">
        <f t="shared" si="621"/>
        <v>2015</v>
      </c>
      <c r="J748" s="19">
        <f t="shared" si="621"/>
        <v>2016</v>
      </c>
      <c r="K748" s="19"/>
      <c r="L748" s="23" t="str">
        <f ca="1">OFFSET(Язык!$A$77,0,LANGUAGE)</f>
        <v>ИТОГО</v>
      </c>
    </row>
    <row r="749" spans="1:12" ht="12" outlineLevel="1" thickTop="1"/>
    <row r="750" spans="1:12" outlineLevel="1">
      <c r="A750" s="32" t="str">
        <f ca="1">OFFSET(Язык!$A$376,0,LANGUAGE)</f>
        <v>Выручка (нетто)</v>
      </c>
      <c r="C750" s="6" t="str">
        <f t="shared" ref="C750:C772" ca="1" si="622">CUR_Report</f>
        <v>$</v>
      </c>
      <c r="G750" s="26">
        <f t="shared" ref="G750:I750" si="623">(G173-G174)/IF(CUR_I_Report=2,G$98,1)</f>
        <v>361607.14285714284</v>
      </c>
      <c r="H750" s="26">
        <f t="shared" si="623"/>
        <v>795535.7142857142</v>
      </c>
      <c r="I750" s="26">
        <f t="shared" si="623"/>
        <v>875089.28571428568</v>
      </c>
      <c r="J750" s="26">
        <f t="shared" ref="J750" si="624">(J173-J174)/IF(CUR_I_Report=2,J$98,1)</f>
        <v>962598.21428571432</v>
      </c>
      <c r="K750" s="26"/>
      <c r="L750" s="30">
        <f>SUM(F750:J750)</f>
        <v>2994830.3571428573</v>
      </c>
    </row>
    <row r="751" spans="1:12" outlineLevel="1">
      <c r="A751" s="47" t="str">
        <f ca="1">OFFSET(Язык!$A$377,0,LANGUAGE)</f>
        <v xml:space="preserve"> -  Себестоимость проданных товаров</v>
      </c>
      <c r="C751" s="6" t="str">
        <f t="shared" ca="1" si="622"/>
        <v>$</v>
      </c>
      <c r="G751" s="26">
        <f t="shared" ref="G751:I751" ca="1" si="625">SUM(G752:G757)</f>
        <v>213318.13571428569</v>
      </c>
      <c r="H751" s="26">
        <f t="shared" ca="1" si="625"/>
        <v>482113.14857142861</v>
      </c>
      <c r="I751" s="26">
        <f t="shared" ca="1" si="625"/>
        <v>524574.46342857135</v>
      </c>
      <c r="J751" s="26">
        <f t="shared" ref="J751" ca="1" si="626">SUM(J752:J757)</f>
        <v>571281.90977142868</v>
      </c>
      <c r="K751" s="26"/>
      <c r="L751" s="30">
        <f t="shared" ref="L751:L771" ca="1" si="627">SUM(F751:J751)</f>
        <v>1791287.6574857144</v>
      </c>
    </row>
    <row r="752" spans="1:12" outlineLevel="2">
      <c r="A752" s="47" t="str">
        <f ca="1">OFFSET(Язык!$A$378,0,LANGUAGE)</f>
        <v xml:space="preserve">    материалы и комплектующие</v>
      </c>
      <c r="C752" s="6" t="str">
        <f t="shared" ca="1" si="622"/>
        <v>$</v>
      </c>
      <c r="G752" s="26">
        <f t="shared" ref="G752:I752" si="628">G258/IF(CUR_I_Report=2,G$98,1)</f>
        <v>120535.71428571426</v>
      </c>
      <c r="H752" s="26">
        <f t="shared" si="628"/>
        <v>265178.57142857142</v>
      </c>
      <c r="I752" s="26">
        <f t="shared" si="628"/>
        <v>291696.42857142858</v>
      </c>
      <c r="J752" s="26">
        <f t="shared" ref="J752" si="629">J258/IF(CUR_I_Report=2,J$98,1)</f>
        <v>320866.07142857148</v>
      </c>
      <c r="K752" s="26"/>
      <c r="L752" s="30">
        <f t="shared" si="627"/>
        <v>998276.7857142858</v>
      </c>
    </row>
    <row r="753" spans="1:12" outlineLevel="2">
      <c r="A753" s="47" t="str">
        <f ca="1">OFFSET(Язык!$A$379,0,LANGUAGE)</f>
        <v xml:space="preserve">    оплата труда</v>
      </c>
      <c r="C753" s="6" t="str">
        <f t="shared" ca="1" si="622"/>
        <v>$</v>
      </c>
      <c r="G753" s="26">
        <f t="shared" ref="G753:I753" ca="1" si="630">(G255+G307+G308+G309+G310)/IF(CUR_I_Report=2,G$98,1)</f>
        <v>59760</v>
      </c>
      <c r="H753" s="26">
        <f t="shared" si="630"/>
        <v>95172</v>
      </c>
      <c r="I753" s="26">
        <f t="shared" ca="1" si="630"/>
        <v>104689.2</v>
      </c>
      <c r="J753" s="26">
        <f t="shared" ref="J753" ca="1" si="631">(J255+J307+J308+J309+J310)/IF(CUR_I_Report=2,J$98,1)</f>
        <v>115158.12</v>
      </c>
      <c r="K753" s="26"/>
      <c r="L753" s="30">
        <f t="shared" ca="1" si="627"/>
        <v>374779.32</v>
      </c>
    </row>
    <row r="754" spans="1:12" outlineLevel="2">
      <c r="A754" s="47" t="str">
        <f ca="1">OFFSET(Язык!$A$380,0,LANGUAGE)</f>
        <v xml:space="preserve">    налоги, относимые на текущие затраты</v>
      </c>
      <c r="C754" s="6" t="str">
        <f t="shared" ca="1" si="622"/>
        <v>$</v>
      </c>
      <c r="G754" s="26">
        <f t="shared" ref="G754:I754" ca="1" si="632">(G699+G706+G710)/IF(CUR_I_Report=2,G$98,1)</f>
        <v>15537.599999999999</v>
      </c>
      <c r="H754" s="26">
        <f t="shared" si="632"/>
        <v>24744.720000000001</v>
      </c>
      <c r="I754" s="26">
        <f t="shared" ca="1" si="632"/>
        <v>27219.192000000003</v>
      </c>
      <c r="J754" s="26">
        <f t="shared" ref="J754" ca="1" si="633">(J699+J706+J710)/IF(CUR_I_Report=2,J$98,1)</f>
        <v>29941.111200000003</v>
      </c>
      <c r="K754" s="26"/>
      <c r="L754" s="30">
        <f t="shared" ca="1" si="627"/>
        <v>97442.623200000002</v>
      </c>
    </row>
    <row r="755" spans="1:12" outlineLevel="2">
      <c r="A755" s="47" t="str">
        <f ca="1">OFFSET(Язык!$A$381,0,LANGUAGE)</f>
        <v xml:space="preserve">    производственные расходы</v>
      </c>
      <c r="C755" s="6" t="str">
        <f t="shared" ca="1" si="622"/>
        <v>$</v>
      </c>
      <c r="G755" s="26">
        <f t="shared" ref="G755:I755" si="634">G376/IF(CUR_I_Report=2,G$98,1)</f>
        <v>17484.821428571428</v>
      </c>
      <c r="H755" s="26">
        <f t="shared" si="634"/>
        <v>39517.857142857145</v>
      </c>
      <c r="I755" s="26">
        <f t="shared" si="634"/>
        <v>43469.642857142862</v>
      </c>
      <c r="J755" s="26">
        <f t="shared" ref="J755" si="635">J376/IF(CUR_I_Report=2,J$98,1)</f>
        <v>47816.607142857152</v>
      </c>
      <c r="K755" s="26"/>
      <c r="L755" s="30">
        <f t="shared" si="627"/>
        <v>148288.92857142858</v>
      </c>
    </row>
    <row r="756" spans="1:12" outlineLevel="2">
      <c r="A756" s="47" t="str">
        <f ca="1">OFFSET(Язык!$A$382,0,LANGUAGE)</f>
        <v xml:space="preserve">    начисленные лизинговые платежи</v>
      </c>
      <c r="C756" s="6" t="str">
        <f t="shared" ca="1" si="622"/>
        <v>$</v>
      </c>
      <c r="G756" s="26">
        <f t="shared" ref="G756:I756" ca="1" si="636">G520/IF(CUR_I_Report=2,G$98,1)</f>
        <v>0</v>
      </c>
      <c r="H756" s="26">
        <f t="shared" ca="1" si="636"/>
        <v>0</v>
      </c>
      <c r="I756" s="26">
        <f t="shared" ca="1" si="636"/>
        <v>0</v>
      </c>
      <c r="J756" s="26">
        <f t="shared" ref="J756" ca="1" si="637">J520/IF(CUR_I_Report=2,J$98,1)</f>
        <v>0</v>
      </c>
      <c r="K756" s="26"/>
      <c r="L756" s="30">
        <f t="shared" ca="1" si="627"/>
        <v>0</v>
      </c>
    </row>
    <row r="757" spans="1:12" outlineLevel="2">
      <c r="A757" s="47" t="str">
        <f ca="1">OFFSET(Язык!$A$383,0,LANGUAGE)</f>
        <v xml:space="preserve">    амортизация</v>
      </c>
      <c r="C757" s="6" t="str">
        <f t="shared" ca="1" si="622"/>
        <v>$</v>
      </c>
      <c r="G757" s="26">
        <f t="shared" ref="G757:I757" ca="1" si="638">(G466+G478+G491+G529)/IF(CUR_I_Report=2,G$98,1)</f>
        <v>0</v>
      </c>
      <c r="H757" s="26">
        <f t="shared" ca="1" si="638"/>
        <v>57500</v>
      </c>
      <c r="I757" s="26">
        <f t="shared" ca="1" si="638"/>
        <v>57500</v>
      </c>
      <c r="J757" s="26">
        <f t="shared" ref="J757" ca="1" si="639">(J466+J478+J491+J529)/IF(CUR_I_Report=2,J$98,1)</f>
        <v>57500</v>
      </c>
      <c r="K757" s="26"/>
      <c r="L757" s="30">
        <f t="shared" ca="1" si="627"/>
        <v>172500</v>
      </c>
    </row>
    <row r="758" spans="1:12" outlineLevel="1">
      <c r="A758" s="32" t="str">
        <f ca="1">OFFSET(Язык!$A$384,0,LANGUAGE)</f>
        <v>Валовая прибыль</v>
      </c>
      <c r="C758" s="6" t="str">
        <f t="shared" ca="1" si="622"/>
        <v>$</v>
      </c>
      <c r="G758" s="26">
        <f t="shared" ref="G758:I758" ca="1" si="640">G750-G751</f>
        <v>148289.00714285715</v>
      </c>
      <c r="H758" s="26">
        <f t="shared" ca="1" si="640"/>
        <v>313422.56571428559</v>
      </c>
      <c r="I758" s="26">
        <f t="shared" ca="1" si="640"/>
        <v>350514.82228571433</v>
      </c>
      <c r="J758" s="26">
        <f t="shared" ref="J758" ca="1" si="641">J750-J751</f>
        <v>391316.30451428564</v>
      </c>
      <c r="K758" s="26"/>
      <c r="L758" s="30">
        <f t="shared" ca="1" si="627"/>
        <v>1203542.6996571426</v>
      </c>
    </row>
    <row r="759" spans="1:12" outlineLevel="1">
      <c r="A759" s="47" t="str">
        <f ca="1">OFFSET(Язык!$A$385,0,LANGUAGE)</f>
        <v xml:space="preserve"> -  Коммерческие расходы</v>
      </c>
      <c r="C759" s="6" t="str">
        <f t="shared" ca="1" si="622"/>
        <v>$</v>
      </c>
      <c r="G759" s="26">
        <f t="shared" ref="G759:I759" ca="1" si="642">G382/IF(CUR_I_Report=2,G$98,1)</f>
        <v>0</v>
      </c>
      <c r="H759" s="26">
        <f t="shared" ca="1" si="642"/>
        <v>0</v>
      </c>
      <c r="I759" s="26">
        <f t="shared" ca="1" si="642"/>
        <v>0</v>
      </c>
      <c r="J759" s="26">
        <f t="shared" ref="J759" ca="1" si="643">J382/IF(CUR_I_Report=2,J$98,1)</f>
        <v>0</v>
      </c>
      <c r="K759" s="26"/>
      <c r="L759" s="30">
        <f t="shared" ca="1" si="627"/>
        <v>0</v>
      </c>
    </row>
    <row r="760" spans="1:12" outlineLevel="1">
      <c r="A760" s="47" t="str">
        <f ca="1">OFFSET(Язык!$A$386,0,LANGUAGE)</f>
        <v xml:space="preserve"> -  Административные расходы</v>
      </c>
      <c r="C760" s="6" t="str">
        <f t="shared" ca="1" si="622"/>
        <v>$</v>
      </c>
      <c r="G760" s="26">
        <f t="shared" ref="G760:I760" si="644">G379/IF(CUR_I_Report=2,G$98,1)</f>
        <v>0</v>
      </c>
      <c r="H760" s="26">
        <f t="shared" si="644"/>
        <v>0</v>
      </c>
      <c r="I760" s="26">
        <f t="shared" si="644"/>
        <v>0</v>
      </c>
      <c r="J760" s="26">
        <f t="shared" ref="J760" si="645">J379/IF(CUR_I_Report=2,J$98,1)</f>
        <v>0</v>
      </c>
      <c r="K760" s="26"/>
      <c r="L760" s="30">
        <f t="shared" si="627"/>
        <v>0</v>
      </c>
    </row>
    <row r="761" spans="1:12" outlineLevel="1">
      <c r="A761" s="32" t="str">
        <f ca="1">OFFSET(Язык!$A$387,0,LANGUAGE)</f>
        <v>Прибыль (убыток) от продаж</v>
      </c>
      <c r="C761" s="6" t="str">
        <f t="shared" ca="1" si="622"/>
        <v>$</v>
      </c>
      <c r="G761" s="26">
        <f t="shared" ref="G761:I761" ca="1" si="646">G758-G759-G760</f>
        <v>148289.00714285715</v>
      </c>
      <c r="H761" s="26">
        <f t="shared" ca="1" si="646"/>
        <v>313422.56571428559</v>
      </c>
      <c r="I761" s="26">
        <f t="shared" ca="1" si="646"/>
        <v>350514.82228571433</v>
      </c>
      <c r="J761" s="26">
        <f t="shared" ref="J761" ca="1" si="647">J758-J759-J760</f>
        <v>391316.30451428564</v>
      </c>
      <c r="K761" s="26"/>
      <c r="L761" s="30">
        <f t="shared" ca="1" si="627"/>
        <v>1203542.6996571426</v>
      </c>
    </row>
    <row r="762" spans="1:12" outlineLevel="1">
      <c r="A762" s="47" t="str">
        <f ca="1">OFFSET(Язык!$A$388,0,LANGUAGE)</f>
        <v xml:space="preserve"> -  Налоги, относимые на финансовые результаты</v>
      </c>
      <c r="C762" s="6" t="str">
        <f t="shared" ca="1" si="622"/>
        <v>$</v>
      </c>
      <c r="G762" s="26">
        <f t="shared" ref="G762:I762" ca="1" si="648">(G674+G721+G726)/IF(CUR_I_Report=2,G$98,1)</f>
        <v>0</v>
      </c>
      <c r="H762" s="26">
        <f t="shared" ca="1" si="648"/>
        <v>4346.9642857142853</v>
      </c>
      <c r="I762" s="26">
        <f t="shared" ca="1" si="648"/>
        <v>8159.6428571428569</v>
      </c>
      <c r="J762" s="26">
        <f t="shared" ref="J762" ca="1" si="649">(J674+J721+J726)/IF(CUR_I_Report=2,J$98,1)</f>
        <v>7091.0714285714266</v>
      </c>
      <c r="K762" s="26"/>
      <c r="L762" s="30">
        <f t="shared" ca="1" si="627"/>
        <v>19597.678571428569</v>
      </c>
    </row>
    <row r="763" spans="1:12" outlineLevel="1">
      <c r="A763" s="47" t="str">
        <f ca="1">OFFSET(Язык!$A$389,0,LANGUAGE)</f>
        <v xml:space="preserve"> -  Проценты к уплате</v>
      </c>
      <c r="C763" s="6" t="str">
        <f t="shared" ca="1" si="622"/>
        <v>$</v>
      </c>
      <c r="G763" s="26">
        <f t="shared" ref="G763:I763" ca="1" si="650">(G633-G450)/IF(CUR_I_Report=2,G$98,1)</f>
        <v>0</v>
      </c>
      <c r="H763" s="26">
        <f t="shared" ca="1" si="650"/>
        <v>76580.000000000015</v>
      </c>
      <c r="I763" s="26">
        <f t="shared" ca="1" si="650"/>
        <v>63840.000000000007</v>
      </c>
      <c r="J763" s="26">
        <f t="shared" ref="J763" ca="1" si="651">(J633-J450)/IF(CUR_I_Report=2,J$98,1)</f>
        <v>31920.000000000004</v>
      </c>
      <c r="K763" s="26"/>
      <c r="L763" s="30">
        <f t="shared" ca="1" si="627"/>
        <v>172340.00000000003</v>
      </c>
    </row>
    <row r="764" spans="1:12" outlineLevel="1">
      <c r="A764" s="47" t="str">
        <f ca="1">OFFSET(Язык!$A$390,0,LANGUAGE)</f>
        <v xml:space="preserve"> + Прибыль (убыток) от прочей реализации</v>
      </c>
      <c r="C764" s="6" t="str">
        <f t="shared" ca="1" si="622"/>
        <v>$</v>
      </c>
      <c r="G764" s="26">
        <f t="shared" ref="G764:I764" si="652">(G829+G831)/IF(CUR_I_Report=2,G$98,1)</f>
        <v>0</v>
      </c>
      <c r="H764" s="26">
        <f t="shared" si="652"/>
        <v>0</v>
      </c>
      <c r="I764" s="26">
        <f t="shared" si="652"/>
        <v>0</v>
      </c>
      <c r="J764" s="26">
        <f t="shared" ref="J764" si="653">(J829+J831)/IF(CUR_I_Report=2,J$98,1)</f>
        <v>0</v>
      </c>
      <c r="K764" s="26"/>
      <c r="L764" s="30">
        <f t="shared" si="627"/>
        <v>0</v>
      </c>
    </row>
    <row r="765" spans="1:12" outlineLevel="1">
      <c r="A765" s="47" t="str">
        <f ca="1">OFFSET(Язык!$A$391,0,LANGUAGE)</f>
        <v xml:space="preserve"> + Курсовая разница и доходы от конвертации</v>
      </c>
      <c r="C765" s="6" t="str">
        <f t="shared" ca="1" si="622"/>
        <v>$</v>
      </c>
      <c r="G765" s="26">
        <f t="shared" ref="G765:I765" ca="1" si="654">G842/IF(CUR_I_Report=2,G$98,1)</f>
        <v>0</v>
      </c>
      <c r="H765" s="26">
        <f t="shared" ca="1" si="654"/>
        <v>0</v>
      </c>
      <c r="I765" s="26">
        <f t="shared" ca="1" si="654"/>
        <v>0</v>
      </c>
      <c r="J765" s="26">
        <f t="shared" ref="J765" ca="1" si="655">J842/IF(CUR_I_Report=2,J$98,1)</f>
        <v>0</v>
      </c>
      <c r="K765" s="26"/>
      <c r="L765" s="30">
        <f t="shared" ca="1" si="627"/>
        <v>0</v>
      </c>
    </row>
    <row r="766" spans="1:12" outlineLevel="1">
      <c r="A766" s="47" t="str">
        <f ca="1">OFFSET(Язык!$A$392,0,LANGUAGE)</f>
        <v xml:space="preserve"> + Прочие внереализационные доходы (расходы)</v>
      </c>
      <c r="C766" s="6" t="str">
        <f t="shared" ca="1" si="622"/>
        <v>$</v>
      </c>
      <c r="G766" s="26">
        <f t="shared" ref="G766:I766" ca="1" si="656">(G839+G836)/IF(CUR_I_Report=2,G$98,1)</f>
        <v>0</v>
      </c>
      <c r="H766" s="26">
        <f t="shared" ca="1" si="656"/>
        <v>0</v>
      </c>
      <c r="I766" s="26">
        <f t="shared" ca="1" si="656"/>
        <v>0</v>
      </c>
      <c r="J766" s="26">
        <f t="shared" ref="J766" ca="1" si="657">(J839+J836)/IF(CUR_I_Report=2,J$98,1)</f>
        <v>0</v>
      </c>
      <c r="K766" s="26"/>
      <c r="L766" s="30">
        <f t="shared" ca="1" si="627"/>
        <v>0</v>
      </c>
    </row>
    <row r="767" spans="1:12" outlineLevel="1">
      <c r="A767" s="32" t="str">
        <f ca="1">OFFSET(Язык!$A$393,0,LANGUAGE)</f>
        <v>Прибыль до налогообложения</v>
      </c>
      <c r="C767" s="6" t="str">
        <f t="shared" ca="1" si="622"/>
        <v>$</v>
      </c>
      <c r="G767" s="26">
        <f t="shared" ref="G767:I767" ca="1" si="658">G761-G762-G763+G764+G765+G766</f>
        <v>148289.00714285715</v>
      </c>
      <c r="H767" s="26">
        <f t="shared" ca="1" si="658"/>
        <v>232495.60142857133</v>
      </c>
      <c r="I767" s="26">
        <f t="shared" ca="1" si="658"/>
        <v>278515.17942857149</v>
      </c>
      <c r="J767" s="26">
        <f t="shared" ref="J767" ca="1" si="659">J761-J762-J763+J764+J765+J766</f>
        <v>352305.23308571422</v>
      </c>
      <c r="K767" s="26"/>
      <c r="L767" s="30">
        <f t="shared" ca="1" si="627"/>
        <v>1011605.0210857142</v>
      </c>
    </row>
    <row r="768" spans="1:12" outlineLevel="1">
      <c r="A768" s="47" t="str">
        <f ca="1">OFFSET(Язык!$A$394,0,LANGUAGE)</f>
        <v xml:space="preserve"> -  Налог на прибыль</v>
      </c>
      <c r="C768" s="6" t="str">
        <f t="shared" ca="1" si="622"/>
        <v>$</v>
      </c>
      <c r="G768" s="26">
        <f t="shared" ref="G768:I768" ca="1" si="660">G736/IF(CUR_I_Report=2,G$98,1)</f>
        <v>29657.801428571431</v>
      </c>
      <c r="H768" s="26">
        <f t="shared" ca="1" si="660"/>
        <v>46499.120285714271</v>
      </c>
      <c r="I768" s="26">
        <f t="shared" ca="1" si="660"/>
        <v>55703.0358857143</v>
      </c>
      <c r="J768" s="26">
        <f t="shared" ref="J768" ca="1" si="661">J736/IF(CUR_I_Report=2,J$98,1)</f>
        <v>70461.046617142842</v>
      </c>
      <c r="K768" s="26"/>
      <c r="L768" s="30">
        <f t="shared" ca="1" si="627"/>
        <v>202321.00421714288</v>
      </c>
    </row>
    <row r="769" spans="1:12" outlineLevel="1">
      <c r="A769" s="85" t="str">
        <f ca="1">OFFSET(Язык!$A$395,0,LANGUAGE)</f>
        <v>Чистая прибыль (убыток)</v>
      </c>
      <c r="B769" s="86"/>
      <c r="C769" s="41" t="str">
        <f t="shared" ca="1" si="622"/>
        <v>$</v>
      </c>
      <c r="D769" s="85"/>
      <c r="E769" s="85"/>
      <c r="F769" s="85"/>
      <c r="G769" s="87">
        <f t="shared" ref="G769:I769" ca="1" si="662">G767-G768</f>
        <v>118631.20571428572</v>
      </c>
      <c r="H769" s="87">
        <f t="shared" ca="1" si="662"/>
        <v>185996.48114285705</v>
      </c>
      <c r="I769" s="87">
        <f t="shared" ca="1" si="662"/>
        <v>222812.1435428572</v>
      </c>
      <c r="J769" s="87">
        <f t="shared" ref="J769" ca="1" si="663">J767-J768</f>
        <v>281844.18646857137</v>
      </c>
      <c r="K769" s="87"/>
      <c r="L769" s="88">
        <f t="shared" ca="1" si="627"/>
        <v>809284.01686857129</v>
      </c>
    </row>
    <row r="770" spans="1:12" outlineLevel="1">
      <c r="A770" s="47" t="str">
        <f ca="1">OFFSET(Язык!$A$396,0,LANGUAGE)</f>
        <v xml:space="preserve"> -  дивиденды</v>
      </c>
      <c r="C770" s="6" t="str">
        <f t="shared" ca="1" si="622"/>
        <v>$</v>
      </c>
      <c r="G770" s="26">
        <f t="shared" ref="G770:I770" ca="1" si="664">(G849+G851)/IF(CUR_I_Report=2,G$98,1)</f>
        <v>0</v>
      </c>
      <c r="H770" s="26">
        <f t="shared" ca="1" si="664"/>
        <v>0</v>
      </c>
      <c r="I770" s="26">
        <f t="shared" ca="1" si="664"/>
        <v>0</v>
      </c>
      <c r="J770" s="26">
        <f t="shared" ref="J770" ca="1" si="665">(J849+J851)/IF(CUR_I_Report=2,J$98,1)</f>
        <v>0</v>
      </c>
      <c r="K770" s="26"/>
      <c r="L770" s="30">
        <f t="shared" ca="1" si="627"/>
        <v>0</v>
      </c>
    </row>
    <row r="771" spans="1:12" outlineLevel="1">
      <c r="A771" s="47" t="str">
        <f ca="1">OFFSET(Язык!$A$397,0,LANGUAGE)</f>
        <v xml:space="preserve"> = нераспределенная прибыль</v>
      </c>
      <c r="C771" s="6" t="str">
        <f t="shared" ca="1" si="622"/>
        <v>$</v>
      </c>
      <c r="G771" s="26">
        <f t="shared" ref="G771:I771" ca="1" si="666">G769-G770</f>
        <v>118631.20571428572</v>
      </c>
      <c r="H771" s="26">
        <f t="shared" ca="1" si="666"/>
        <v>185996.48114285705</v>
      </c>
      <c r="I771" s="26">
        <f t="shared" ca="1" si="666"/>
        <v>222812.1435428572</v>
      </c>
      <c r="J771" s="26">
        <f t="shared" ref="J771" ca="1" si="667">J769-J770</f>
        <v>281844.18646857137</v>
      </c>
      <c r="K771" s="26"/>
      <c r="L771" s="30">
        <f t="shared" ca="1" si="627"/>
        <v>809284.01686857129</v>
      </c>
    </row>
    <row r="772" spans="1:12" outlineLevel="1">
      <c r="A772" s="162" t="str">
        <f ca="1">OFFSET(Язык!$A$398,0,LANGUAGE)</f>
        <v xml:space="preserve">    то же, нарастающим итогом</v>
      </c>
      <c r="B772" s="41"/>
      <c r="C772" s="41" t="str">
        <f t="shared" ca="1" si="622"/>
        <v>$</v>
      </c>
      <c r="D772" s="43" t="s">
        <v>1737</v>
      </c>
      <c r="E772" s="43"/>
      <c r="F772" s="43"/>
      <c r="G772" s="57">
        <f t="shared" ref="G772:J772" ca="1" si="668">F772*IF(CUR_I_Report=2,F$98/G$98,1)+G771</f>
        <v>118631.20571428572</v>
      </c>
      <c r="H772" s="57">
        <f t="shared" ca="1" si="668"/>
        <v>304627.68685714278</v>
      </c>
      <c r="I772" s="57">
        <f t="shared" ca="1" si="668"/>
        <v>527439.83039999998</v>
      </c>
      <c r="J772" s="57">
        <f t="shared" ca="1" si="668"/>
        <v>809284.01686857129</v>
      </c>
      <c r="K772" s="57"/>
      <c r="L772" s="57"/>
    </row>
    <row r="773" spans="1:12" outlineLevel="1"/>
    <row r="774" spans="1:12" outlineLevel="1" collapsed="1">
      <c r="A774" s="37"/>
      <c r="B774" s="76"/>
    </row>
    <row r="775" spans="1:12" hidden="1" outlineLevel="2">
      <c r="B775" s="76"/>
    </row>
    <row r="776" spans="1:12" hidden="1" outlineLevel="2">
      <c r="B776" s="76"/>
    </row>
    <row r="777" spans="1:12" hidden="1" outlineLevel="2">
      <c r="B777" s="76"/>
    </row>
    <row r="778" spans="1:12" hidden="1" outlineLevel="2">
      <c r="B778" s="76"/>
    </row>
    <row r="779" spans="1:12" hidden="1" outlineLevel="2">
      <c r="B779" s="76"/>
    </row>
    <row r="780" spans="1:12" hidden="1" outlineLevel="2">
      <c r="B780" s="76"/>
    </row>
    <row r="781" spans="1:12" hidden="1" outlineLevel="2">
      <c r="B781" s="76"/>
    </row>
    <row r="782" spans="1:12" hidden="1" outlineLevel="2">
      <c r="B782" s="76"/>
    </row>
    <row r="783" spans="1:12" hidden="1" outlineLevel="2">
      <c r="B783" s="76"/>
    </row>
    <row r="784" spans="1:12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>
      <c r="A799" s="37" t="str">
        <f ca="1">OFFSET(Язык!$A$400,0,LANGUAGE)</f>
        <v>График: Чистая прибыль</v>
      </c>
      <c r="B799" s="76"/>
    </row>
    <row r="800" spans="1:2" outlineLevel="2">
      <c r="B800" s="76"/>
    </row>
    <row r="801" spans="2:2" outlineLevel="2">
      <c r="B801" s="76"/>
    </row>
    <row r="802" spans="2:2" outlineLevel="2">
      <c r="B802" s="76"/>
    </row>
    <row r="803" spans="2:2" outlineLevel="2">
      <c r="B803" s="76"/>
    </row>
    <row r="804" spans="2:2" outlineLevel="2">
      <c r="B804" s="76"/>
    </row>
    <row r="805" spans="2:2" outlineLevel="2">
      <c r="B805" s="76"/>
    </row>
    <row r="806" spans="2:2" outlineLevel="2">
      <c r="B806" s="76"/>
    </row>
    <row r="807" spans="2:2" outlineLevel="2">
      <c r="B807" s="76"/>
    </row>
    <row r="808" spans="2:2" outlineLevel="2">
      <c r="B808" s="76"/>
    </row>
    <row r="809" spans="2:2" outlineLevel="2">
      <c r="B809" s="76"/>
    </row>
    <row r="810" spans="2:2" outlineLevel="2">
      <c r="B810" s="76"/>
    </row>
    <row r="811" spans="2:2" outlineLevel="2">
      <c r="B811" s="76"/>
    </row>
    <row r="812" spans="2:2" outlineLevel="2">
      <c r="B812" s="76"/>
    </row>
    <row r="813" spans="2:2" outlineLevel="2">
      <c r="B813" s="76"/>
    </row>
    <row r="814" spans="2:2" outlineLevel="2">
      <c r="B814" s="76"/>
    </row>
    <row r="815" spans="2:2" outlineLevel="2">
      <c r="B815" s="76"/>
    </row>
    <row r="816" spans="2:2" outlineLevel="2">
      <c r="B816" s="76"/>
    </row>
    <row r="817" spans="1:12" outlineLevel="2">
      <c r="B817" s="76"/>
    </row>
    <row r="818" spans="1:12" outlineLevel="2">
      <c r="B818" s="76"/>
    </row>
    <row r="819" spans="1:12" outlineLevel="2">
      <c r="B819" s="76"/>
    </row>
    <row r="820" spans="1:12" outlineLevel="2">
      <c r="B820" s="76"/>
    </row>
    <row r="821" spans="1:12" outlineLevel="2">
      <c r="B821" s="76"/>
    </row>
    <row r="822" spans="1:12" outlineLevel="2">
      <c r="B822" s="76"/>
    </row>
    <row r="823" spans="1:12" outlineLevel="1">
      <c r="B823" s="76"/>
    </row>
    <row r="824" spans="1:12" ht="12" outlineLevel="1" thickBot="1"/>
    <row r="825" spans="1:12" ht="15.95" customHeight="1" collapsed="1" thickTop="1" thickBot="1">
      <c r="A825" s="18"/>
      <c r="B825" s="23"/>
      <c r="C825" s="19"/>
      <c r="D825" s="18"/>
      <c r="E825" s="18"/>
      <c r="F825" s="19" t="str">
        <f t="shared" ref="F825:J825" si="669">PeriodTitle</f>
        <v>"0"</v>
      </c>
      <c r="G825" s="19">
        <f t="shared" si="669"/>
        <v>2013</v>
      </c>
      <c r="H825" s="19">
        <f t="shared" si="669"/>
        <v>2014</v>
      </c>
      <c r="I825" s="19">
        <f t="shared" si="669"/>
        <v>2015</v>
      </c>
      <c r="J825" s="19">
        <f t="shared" si="669"/>
        <v>2016</v>
      </c>
      <c r="K825" s="19"/>
      <c r="L825" s="23" t="str">
        <f ca="1">OFFSET(Язык!$A$77,0,LANGUAGE)</f>
        <v>ИТОГО</v>
      </c>
    </row>
    <row r="826" spans="1:12" ht="12.75" hidden="1" outlineLevel="1" thickTop="1" thickBot="1"/>
    <row r="827" spans="1:12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2" ht="12.75" hidden="1" outlineLevel="1" thickTop="1" thickBot="1"/>
    <row r="829" spans="1:12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 t="shared" ref="G829:I829" si="670">G471+G484</f>
        <v>0</v>
      </c>
      <c r="H829" s="26">
        <f t="shared" si="670"/>
        <v>0</v>
      </c>
      <c r="I829" s="26">
        <f t="shared" si="670"/>
        <v>0</v>
      </c>
      <c r="J829" s="26">
        <f t="shared" ref="J829" si="671">J471+J484</f>
        <v>0</v>
      </c>
      <c r="K829" s="26"/>
      <c r="L829" s="30">
        <f>SUM(F829:J829)</f>
        <v>0</v>
      </c>
    </row>
    <row r="830" spans="1:12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26"/>
      <c r="L830" s="30">
        <f>SUM(F830:J830)</f>
        <v>0</v>
      </c>
    </row>
    <row r="831" spans="1:12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 t="shared" ref="G831:I831" si="672">G830/(1+$B831)</f>
        <v>0</v>
      </c>
      <c r="H831" s="26">
        <f t="shared" si="672"/>
        <v>0</v>
      </c>
      <c r="I831" s="26">
        <f t="shared" si="672"/>
        <v>0</v>
      </c>
      <c r="J831" s="26">
        <f t="shared" ref="J831" si="673">J830/(1+$B831)</f>
        <v>0</v>
      </c>
      <c r="L831" s="30">
        <f>SUM(F831:J831)</f>
        <v>0</v>
      </c>
    </row>
    <row r="832" spans="1:12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 t="shared" ref="G832:I832" si="674">G830-G831</f>
        <v>0</v>
      </c>
      <c r="H832" s="26">
        <f t="shared" si="674"/>
        <v>0</v>
      </c>
      <c r="I832" s="26">
        <f t="shared" si="674"/>
        <v>0</v>
      </c>
      <c r="J832" s="26">
        <f t="shared" ref="J832" si="675">J830-J831</f>
        <v>0</v>
      </c>
      <c r="L832" s="30">
        <f>SUM(F832:J832)</f>
        <v>0</v>
      </c>
    </row>
    <row r="833" spans="1:12" ht="12.75" hidden="1" outlineLevel="1" thickTop="1" thickBot="1"/>
    <row r="834" spans="1:12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2" ht="12.75" hidden="1" outlineLevel="1" thickTop="1" thickBot="1"/>
    <row r="836" spans="1:12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t="shared" ref="G836:J836" ca="1" si="676">MAX(F887*G837*PRJ_Step/360,0)</f>
        <v>0</v>
      </c>
      <c r="H836" s="26">
        <f t="shared" ca="1" si="676"/>
        <v>0</v>
      </c>
      <c r="I836" s="26">
        <f t="shared" ca="1" si="676"/>
        <v>0</v>
      </c>
      <c r="J836" s="26">
        <f t="shared" ca="1" si="676"/>
        <v>0</v>
      </c>
      <c r="K836" s="26"/>
      <c r="L836" s="30">
        <f ca="1">SUM(F836:J836)</f>
        <v>0</v>
      </c>
    </row>
    <row r="837" spans="1:12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1747</v>
      </c>
      <c r="G837" s="74">
        <f>B837</f>
        <v>0</v>
      </c>
      <c r="H837" s="74">
        <f t="shared" ref="H837:J837" si="677">G837</f>
        <v>0</v>
      </c>
      <c r="I837" s="74">
        <f t="shared" si="677"/>
        <v>0</v>
      </c>
      <c r="J837" s="74">
        <f t="shared" si="677"/>
        <v>0</v>
      </c>
    </row>
    <row r="838" spans="1:12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26"/>
      <c r="L838" s="30">
        <f>SUM(F838:J838)</f>
        <v>0</v>
      </c>
    </row>
    <row r="839" spans="1:12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 t="shared" ref="G839:I839" si="678">G838/(1+$B839)</f>
        <v>0</v>
      </c>
      <c r="H839" s="26">
        <f t="shared" si="678"/>
        <v>0</v>
      </c>
      <c r="I839" s="26">
        <f t="shared" si="678"/>
        <v>0</v>
      </c>
      <c r="J839" s="26">
        <f t="shared" ref="J839" si="679">J838/(1+$B839)</f>
        <v>0</v>
      </c>
      <c r="L839" s="30">
        <f>SUM(F839:J839)</f>
        <v>0</v>
      </c>
    </row>
    <row r="840" spans="1:12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 t="shared" ref="G840:I840" si="680">G838-G839</f>
        <v>0</v>
      </c>
      <c r="H840" s="26">
        <f t="shared" si="680"/>
        <v>0</v>
      </c>
      <c r="I840" s="26">
        <f t="shared" si="680"/>
        <v>0</v>
      </c>
      <c r="J840" s="26">
        <f t="shared" ref="J840" si="681">J838-J839</f>
        <v>0</v>
      </c>
      <c r="L840" s="30">
        <f>SUM(F840:J840)</f>
        <v>0</v>
      </c>
    </row>
    <row r="841" spans="1:12" ht="12.75" hidden="1" outlineLevel="1" thickTop="1" thickBot="1"/>
    <row r="842" spans="1:12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t="shared" ref="G842:I842" ca="1" si="682">G843+G844+G845</f>
        <v>0</v>
      </c>
      <c r="H842" s="26">
        <f t="shared" ca="1" si="682"/>
        <v>0</v>
      </c>
      <c r="I842" s="26">
        <f t="shared" ca="1" si="682"/>
        <v>0</v>
      </c>
      <c r="J842" s="26">
        <f t="shared" ref="J842" ca="1" si="683">J843+J844+J845</f>
        <v>0</v>
      </c>
      <c r="L842" s="30">
        <f ca="1">SUM(F842:J842)</f>
        <v>0</v>
      </c>
    </row>
    <row r="843" spans="1:12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L843" s="30">
        <f ca="1">SUM(F843:J843)</f>
        <v>0</v>
      </c>
    </row>
    <row r="844" spans="1:12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L844" s="30">
        <f ca="1">SUM(F844:J844)</f>
        <v>0</v>
      </c>
    </row>
    <row r="845" spans="1:12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L845" s="30"/>
    </row>
    <row r="846" spans="1:12" ht="12.75" hidden="1" outlineLevel="1" thickTop="1" thickBot="1"/>
    <row r="847" spans="1:12" ht="12.75" hidden="1" outlineLevel="1" thickTop="1" thickBot="1">
      <c r="A847" s="2" t="str">
        <f ca="1">OFFSET(Язык!$A$417,0,LANGUAGE)</f>
        <v>4. ДИВИДЕНДЫ</v>
      </c>
    </row>
    <row r="848" spans="1:12" ht="12.75" hidden="1" outlineLevel="1" thickTop="1" thickBot="1"/>
    <row r="849" spans="1:12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ca="1">IF(AND(G27&gt;=$B852,G769&gt;0,$C603&gt;0),MIN(F850*$C603,G769*IF(CUR_I_Report=2,G$98,1),MAX((F887+G867+G875+SUM(G877:G881)),0)*IF(CUR_I_Report=2,G$98,1)),0)</f>
        <v>0</v>
      </c>
      <c r="H849" s="26">
        <f ca="1">IF(AND(H27&gt;=$B852,H769&gt;0,$C603&gt;0),MIN(G850*$C603,H769*IF(CUR_I_Report=2,H$98,1),MAX((G887+H867+H875+SUM(H877:H881)),0)*IF(CUR_I_Report=2,H$98,1)),0)</f>
        <v>0</v>
      </c>
      <c r="I849" s="26">
        <f ca="1">IF(AND(I27&gt;=$B852,I769&gt;0,$C603&gt;0),MIN(H850*$C603,I769*IF(CUR_I_Report=2,I$98,1),MAX((H887+I867+I875+SUM(I877:I881)),0)*IF(CUR_I_Report=2,I$98,1)),0)</f>
        <v>0</v>
      </c>
      <c r="J849" s="26">
        <f ca="1">IF(AND(J27&gt;=$B852,J769&gt;0,$C603&gt;0),MIN(I850*$C603,J769*IF(CUR_I_Report=2,J$98,1),MAX((I887+J867+J875+SUM(J877:J881)),0)*IF(CUR_I_Report=2,J$98,1)),0)</f>
        <v>0</v>
      </c>
      <c r="K849" s="26"/>
      <c r="L849" s="30">
        <f ca="1">SUM(F849:J849)</f>
        <v>0</v>
      </c>
    </row>
    <row r="850" spans="1:12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J850" si="684">E850+F603</f>
        <v>0</v>
      </c>
      <c r="G850" s="26">
        <f t="shared" si="684"/>
        <v>0</v>
      </c>
      <c r="H850" s="26">
        <f t="shared" si="684"/>
        <v>0</v>
      </c>
      <c r="I850" s="26">
        <f t="shared" si="684"/>
        <v>0</v>
      </c>
      <c r="J850" s="26">
        <f t="shared" si="684"/>
        <v>0</v>
      </c>
      <c r="K850" s="26"/>
      <c r="L850" s="30"/>
    </row>
    <row r="851" spans="1:12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ca="1">IF(AND(G27&gt;=$B852,G769&gt;0),MIN(G769*$B853*IF(CUR_I_Report=2,G$98,1),MAX((F887+G867+G875+SUM(G877:G881)),0)*IF(CUR_I_Report=2,G$98,1)-G849),0)</f>
        <v>0</v>
      </c>
      <c r="H851" s="26">
        <f ca="1">IF(AND(H27&gt;=$B852,H769&gt;0),MIN(H769*$B853*IF(CUR_I_Report=2,H$98,1),MAX((G887+H867+H875+SUM(H877:H881)),0)*IF(CUR_I_Report=2,H$98,1)-H849),0)</f>
        <v>0</v>
      </c>
      <c r="I851" s="26">
        <f ca="1">IF(AND(I27&gt;=$B852,I769&gt;0),MIN(I769*$B853*IF(CUR_I_Report=2,I$98,1),MAX((H887+I867+I875+SUM(I877:I881)),0)*IF(CUR_I_Report=2,I$98,1)-I849),0)</f>
        <v>0</v>
      </c>
      <c r="J851" s="26">
        <f ca="1">IF(AND(J27&gt;=$B852,J769&gt;0),MIN(J769*$B853*IF(CUR_I_Report=2,J$98,1),MAX((I887+J867+J875+SUM(J877:J881)),0)*IF(CUR_I_Report=2,J$98,1)-J849),0)</f>
        <v>0</v>
      </c>
      <c r="K851" s="26"/>
      <c r="L851" s="30">
        <f ca="1">SUM(F851:J851)</f>
        <v>0</v>
      </c>
    </row>
    <row r="852" spans="1:12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</row>
    <row r="853" spans="1:12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</row>
    <row r="854" spans="1:12" ht="12.75" hidden="1" outlineLevel="1" thickTop="1" thickBot="1">
      <c r="G854" s="26"/>
      <c r="H854" s="26"/>
      <c r="I854" s="26"/>
      <c r="J854" s="26"/>
    </row>
    <row r="855" spans="1:12" ht="12.75" hidden="1" outlineLevel="1" thickTop="1" thickBot="1"/>
    <row r="856" spans="1:12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J856" si="685">PeriodTitle</f>
        <v>"0"</v>
      </c>
      <c r="G856" s="19">
        <f t="shared" si="685"/>
        <v>2013</v>
      </c>
      <c r="H856" s="19">
        <f t="shared" si="685"/>
        <v>2014</v>
      </c>
      <c r="I856" s="19">
        <f t="shared" si="685"/>
        <v>2015</v>
      </c>
      <c r="J856" s="19">
        <f t="shared" si="685"/>
        <v>2016</v>
      </c>
      <c r="K856" s="19"/>
      <c r="L856" s="23" t="str">
        <f ca="1">OFFSET(Язык!$A$77,0,LANGUAGE)</f>
        <v>ИТОГО</v>
      </c>
    </row>
    <row r="857" spans="1:12" ht="12" outlineLevel="1" thickTop="1"/>
    <row r="858" spans="1:12" outlineLevel="1">
      <c r="A858" s="2" t="str">
        <f ca="1">OFFSET(Язык!$A$423,0,LANGUAGE)</f>
        <v>Поступления от продаж</v>
      </c>
      <c r="C858" s="6" t="str">
        <f t="shared" ref="C858:C865" ca="1" si="686">CUR_Report</f>
        <v>$</v>
      </c>
      <c r="F858" s="26">
        <f t="shared" ref="F858:I858" ca="1" si="687">(F179+F180)/IF(CUR_I_Report=2,F$98,1)</f>
        <v>0</v>
      </c>
      <c r="G858" s="26">
        <f t="shared" ca="1" si="687"/>
        <v>405000</v>
      </c>
      <c r="H858" s="26">
        <f t="shared" ca="1" si="687"/>
        <v>890999.99999999988</v>
      </c>
      <c r="I858" s="26">
        <f t="shared" ca="1" si="687"/>
        <v>980100</v>
      </c>
      <c r="J858" s="26">
        <f t="shared" ref="J858" ca="1" si="688">(J179+J180)/IF(CUR_I_Report=2,J$98,1)</f>
        <v>1078110</v>
      </c>
      <c r="K858" s="26"/>
      <c r="L858" s="30">
        <f t="shared" ref="L858:L886" ca="1" si="689">SUM(F858:J858)</f>
        <v>3354210</v>
      </c>
    </row>
    <row r="859" spans="1:12" outlineLevel="1">
      <c r="A859" s="2" t="str">
        <f ca="1">OFFSET(Язык!$A$424,0,LANGUAGE)</f>
        <v>Затраты на материалы и комплектующие</v>
      </c>
      <c r="C859" s="6" t="str">
        <f t="shared" ca="1" si="686"/>
        <v>$</v>
      </c>
      <c r="F859" s="26">
        <f t="shared" ref="F859:I859" ca="1" si="690">-(F269+F270)/IF(CUR_I_Report=2,F$98,1)</f>
        <v>0</v>
      </c>
      <c r="G859" s="26">
        <f t="shared" ca="1" si="690"/>
        <v>-134999.99999999997</v>
      </c>
      <c r="H859" s="26">
        <f t="shared" ca="1" si="690"/>
        <v>-297000</v>
      </c>
      <c r="I859" s="26">
        <f t="shared" ca="1" si="690"/>
        <v>-326700</v>
      </c>
      <c r="J859" s="26">
        <f t="shared" ref="J859" ca="1" si="691">-(J269+J270)/IF(CUR_I_Report=2,J$98,1)</f>
        <v>-359370.00000000006</v>
      </c>
      <c r="K859" s="26"/>
      <c r="L859" s="30">
        <f t="shared" ca="1" si="689"/>
        <v>-1118070</v>
      </c>
    </row>
    <row r="860" spans="1:12" outlineLevel="1">
      <c r="A860" s="2" t="str">
        <f ca="1">OFFSET(Язык!$A$425,0,LANGUAGE)</f>
        <v>Зарплата</v>
      </c>
      <c r="C860" s="6" t="str">
        <f t="shared" ca="1" si="686"/>
        <v>$</v>
      </c>
      <c r="F860" s="26">
        <f t="shared" ref="F860:I860" si="692">-(F305)/IF(CUR_I_Report=2,F$98,1)</f>
        <v>0</v>
      </c>
      <c r="G860" s="26">
        <f t="shared" ca="1" si="692"/>
        <v>-59760</v>
      </c>
      <c r="H860" s="26">
        <f t="shared" si="692"/>
        <v>-95172</v>
      </c>
      <c r="I860" s="26">
        <f t="shared" ca="1" si="692"/>
        <v>-104689.2</v>
      </c>
      <c r="J860" s="26">
        <f t="shared" ref="J860" ca="1" si="693">-(J305)/IF(CUR_I_Report=2,J$98,1)</f>
        <v>-115158.12</v>
      </c>
      <c r="K860" s="26"/>
      <c r="L860" s="30">
        <f t="shared" ca="1" si="689"/>
        <v>-374779.32</v>
      </c>
    </row>
    <row r="861" spans="1:12" outlineLevel="1">
      <c r="A861" s="2" t="str">
        <f ca="1">OFFSET(Язык!$A$426,0,LANGUAGE)</f>
        <v>Общие затраты</v>
      </c>
      <c r="C861" s="6" t="str">
        <f t="shared" ca="1" si="686"/>
        <v>$</v>
      </c>
      <c r="F861" s="26">
        <f t="shared" ref="F861:I861" si="694">-(F375+F378+F381)/IF(CUR_I_Report=2,F$98,1)</f>
        <v>0</v>
      </c>
      <c r="G861" s="26">
        <f t="shared" ca="1" si="694"/>
        <v>-19583</v>
      </c>
      <c r="H861" s="26">
        <f t="shared" ca="1" si="694"/>
        <v>-44260</v>
      </c>
      <c r="I861" s="26">
        <f t="shared" ca="1" si="694"/>
        <v>-48686.000000000007</v>
      </c>
      <c r="J861" s="26">
        <f t="shared" ref="J861" ca="1" si="695">-(J375+J378+J381)/IF(CUR_I_Report=2,J$98,1)</f>
        <v>-53554.600000000013</v>
      </c>
      <c r="K861" s="26"/>
      <c r="L861" s="30">
        <f t="shared" ca="1" si="689"/>
        <v>-166083.6</v>
      </c>
    </row>
    <row r="862" spans="1:12" outlineLevel="1">
      <c r="A862" s="2" t="str">
        <f ca="1">OFFSET(Язык!$A$427,0,LANGUAGE)</f>
        <v>Налоги</v>
      </c>
      <c r="C862" s="6" t="str">
        <f t="shared" ca="1" si="686"/>
        <v>$</v>
      </c>
      <c r="F862" s="26">
        <f t="shared" ref="F862:I862" ca="1" si="696">-F745/IF(CUR_I_Report=2,F$98,1)</f>
        <v>0</v>
      </c>
      <c r="G862" s="26">
        <f t="shared" ca="1" si="696"/>
        <v>-72025.794285714277</v>
      </c>
      <c r="H862" s="26">
        <f t="shared" ca="1" si="696"/>
        <v>-75884.375999999975</v>
      </c>
      <c r="I862" s="26">
        <f t="shared" ca="1" si="696"/>
        <v>-155872.65645714285</v>
      </c>
      <c r="J862" s="26">
        <f t="shared" ref="J862" ca="1" si="697">-J745/IF(CUR_I_Report=2,J$98,1)</f>
        <v>-178763.09353142855</v>
      </c>
      <c r="K862" s="26"/>
      <c r="L862" s="30">
        <f t="shared" ca="1" si="689"/>
        <v>-482545.92027428566</v>
      </c>
    </row>
    <row r="863" spans="1:12" outlineLevel="1">
      <c r="A863" s="2" t="str">
        <f ca="1">OFFSET(Язык!$A$428,0,LANGUAGE)</f>
        <v>Выплата процентов по кредитам</v>
      </c>
      <c r="C863" s="6" t="str">
        <f t="shared" ca="1" si="686"/>
        <v>$</v>
      </c>
      <c r="F863" s="26">
        <f t="shared" ref="F863:I863" si="698">-F631/IF(CUR_I_Report=2,F$98,1)</f>
        <v>0</v>
      </c>
      <c r="G863" s="26">
        <f t="shared" si="698"/>
        <v>0</v>
      </c>
      <c r="H863" s="26">
        <f t="shared" si="698"/>
        <v>-76580.000000000015</v>
      </c>
      <c r="I863" s="26">
        <f t="shared" si="698"/>
        <v>-63840.000000000007</v>
      </c>
      <c r="J863" s="26">
        <f t="shared" ref="J863" si="699">-J631/IF(CUR_I_Report=2,J$98,1)</f>
        <v>-31920.000000000004</v>
      </c>
      <c r="K863" s="26"/>
      <c r="L863" s="30">
        <f t="shared" si="689"/>
        <v>-172340.00000000003</v>
      </c>
    </row>
    <row r="864" spans="1:12" outlineLevel="1">
      <c r="A864" s="2" t="str">
        <f ca="1">OFFSET(Язык!$A$429,0,LANGUAGE)</f>
        <v>Прочие поступления</v>
      </c>
      <c r="C864" s="6" t="str">
        <f t="shared" ca="1" si="686"/>
        <v>$</v>
      </c>
      <c r="F864" s="26">
        <f t="shared" ref="F864:I864" si="700">(MAX(F830,0)+MAX(F838,0)+F836)/IF(CUR_I_Report=2,F$98,1)</f>
        <v>0</v>
      </c>
      <c r="G864" s="26">
        <f t="shared" ca="1" si="700"/>
        <v>0</v>
      </c>
      <c r="H864" s="26">
        <f t="shared" ca="1" si="700"/>
        <v>0</v>
      </c>
      <c r="I864" s="26">
        <f t="shared" ca="1" si="700"/>
        <v>0</v>
      </c>
      <c r="J864" s="26">
        <f t="shared" ref="J864" ca="1" si="701">(MAX(J830,0)+MAX(J838,0)+J836)/IF(CUR_I_Report=2,J$98,1)</f>
        <v>0</v>
      </c>
      <c r="K864" s="26"/>
      <c r="L864" s="30">
        <f t="shared" ca="1" si="689"/>
        <v>0</v>
      </c>
    </row>
    <row r="865" spans="1:12" outlineLevel="1">
      <c r="A865" s="2" t="str">
        <f ca="1">OFFSET(Язык!$A$430,0,LANGUAGE)</f>
        <v>Прочие затраты</v>
      </c>
      <c r="C865" s="6" t="str">
        <f t="shared" ca="1" si="686"/>
        <v>$</v>
      </c>
      <c r="F865" s="26">
        <f t="shared" ref="F865:I865" si="702">(MIN(F830,0)+MIN(F838,0))/IF(CUR_I_Report=2,F$98,1)</f>
        <v>0</v>
      </c>
      <c r="G865" s="26">
        <f t="shared" si="702"/>
        <v>0</v>
      </c>
      <c r="H865" s="26">
        <f t="shared" si="702"/>
        <v>0</v>
      </c>
      <c r="I865" s="26">
        <f t="shared" si="702"/>
        <v>0</v>
      </c>
      <c r="J865" s="26">
        <f t="shared" ref="J865" si="703">(MIN(J830,0)+MIN(J838,0))/IF(CUR_I_Report=2,J$98,1)</f>
        <v>0</v>
      </c>
      <c r="K865" s="26"/>
      <c r="L865" s="30">
        <f t="shared" si="689"/>
        <v>0</v>
      </c>
    </row>
    <row r="866" spans="1:12" outlineLevel="1">
      <c r="F866" s="26"/>
      <c r="G866" s="26"/>
      <c r="H866" s="26"/>
      <c r="I866" s="26"/>
      <c r="J866" s="26"/>
      <c r="K866" s="26"/>
      <c r="L866" s="30"/>
    </row>
    <row r="867" spans="1:12" outlineLevel="1">
      <c r="A867" s="32" t="str">
        <f ca="1">OFFSET(Язык!$A$431,0,LANGUAGE)</f>
        <v>Денежные потоки от операционной деятельности</v>
      </c>
      <c r="B867" s="63"/>
      <c r="C867" s="6" t="str">
        <f ca="1">CUR_Report</f>
        <v>$</v>
      </c>
      <c r="D867" s="32"/>
      <c r="E867" s="32"/>
      <c r="F867" s="62">
        <f t="shared" ref="F867:I867" ca="1" si="704">SUM(F858:F865)</f>
        <v>0</v>
      </c>
      <c r="G867" s="62">
        <f t="shared" ca="1" si="704"/>
        <v>118631.20571428572</v>
      </c>
      <c r="H867" s="62">
        <f t="shared" ca="1" si="704"/>
        <v>302103.62399999989</v>
      </c>
      <c r="I867" s="62">
        <f t="shared" ca="1" si="704"/>
        <v>280312.1435428572</v>
      </c>
      <c r="J867" s="62">
        <f t="shared" ref="J867" ca="1" si="705">SUM(J858:J865)</f>
        <v>339344.18646857148</v>
      </c>
      <c r="K867" s="62"/>
      <c r="L867" s="27">
        <f t="shared" ca="1" si="689"/>
        <v>1040391.1597257142</v>
      </c>
    </row>
    <row r="868" spans="1:12" outlineLevel="1">
      <c r="F868" s="26"/>
      <c r="G868" s="26"/>
      <c r="H868" s="26"/>
      <c r="I868" s="26"/>
      <c r="J868" s="26"/>
      <c r="K868" s="26"/>
      <c r="L868" s="30"/>
    </row>
    <row r="869" spans="1:12" outlineLevel="1">
      <c r="A869" s="2" t="str">
        <f ca="1">OFFSET(Язык!$A$432,0,LANGUAGE)</f>
        <v>Инвестиции в здания и сооружения</v>
      </c>
      <c r="C869" s="6" t="str">
        <f ca="1">CUR_Report</f>
        <v>$</v>
      </c>
      <c r="F869" s="26">
        <f t="shared" ref="F869:I869" si="706">-F461/IF(CUR_I_Report=2,F$98,1)</f>
        <v>0</v>
      </c>
      <c r="G869" s="26">
        <f t="shared" si="706"/>
        <v>-300000</v>
      </c>
      <c r="H869" s="26">
        <f t="shared" si="706"/>
        <v>0</v>
      </c>
      <c r="I869" s="26">
        <f t="shared" si="706"/>
        <v>0</v>
      </c>
      <c r="J869" s="26">
        <f t="shared" ref="J869" si="707">-J461/IF(CUR_I_Report=2,J$98,1)</f>
        <v>0</v>
      </c>
      <c r="K869" s="26"/>
      <c r="L869" s="30">
        <f t="shared" si="689"/>
        <v>-300000</v>
      </c>
    </row>
    <row r="870" spans="1:12" outlineLevel="1">
      <c r="A870" s="2" t="str">
        <f ca="1">OFFSET(Язык!$A$433,0,LANGUAGE)</f>
        <v>Инвестиции в оборудование и другие активы</v>
      </c>
      <c r="C870" s="6" t="str">
        <f ca="1">CUR_Report</f>
        <v>$</v>
      </c>
      <c r="F870" s="26">
        <f t="shared" ref="F870:I870" si="708">-(F474+F481+F522)/IF(CUR_I_Report=2,F$98,1)</f>
        <v>0</v>
      </c>
      <c r="G870" s="26">
        <f t="shared" si="708"/>
        <v>-197000</v>
      </c>
      <c r="H870" s="26">
        <f t="shared" si="708"/>
        <v>0</v>
      </c>
      <c r="I870" s="26">
        <f t="shared" si="708"/>
        <v>0</v>
      </c>
      <c r="J870" s="26">
        <f t="shared" ref="J870" si="709">-(J474+J481+J522)/IF(CUR_I_Report=2,J$98,1)</f>
        <v>0</v>
      </c>
      <c r="K870" s="26"/>
      <c r="L870" s="30">
        <f t="shared" si="689"/>
        <v>-197000</v>
      </c>
    </row>
    <row r="871" spans="1:12" outlineLevel="1">
      <c r="A871" s="2" t="str">
        <f ca="1">OFFSET(Язык!$A$434,0,LANGUAGE)</f>
        <v>Оплата расходов будущих периодов</v>
      </c>
      <c r="C871" s="6" t="str">
        <f ca="1">CUR_Report</f>
        <v>$</v>
      </c>
      <c r="F871" s="26">
        <f t="shared" ref="F871:I871" si="710">-F486/IF(CUR_I_Report=2,F$98,1)</f>
        <v>0</v>
      </c>
      <c r="G871" s="26">
        <f t="shared" si="710"/>
        <v>-50000</v>
      </c>
      <c r="H871" s="26">
        <f t="shared" si="710"/>
        <v>0</v>
      </c>
      <c r="I871" s="26">
        <f t="shared" si="710"/>
        <v>0</v>
      </c>
      <c r="J871" s="26">
        <f t="shared" ref="J871" si="711">-J486/IF(CUR_I_Report=2,J$98,1)</f>
        <v>0</v>
      </c>
      <c r="K871" s="26"/>
      <c r="L871" s="30">
        <f t="shared" si="689"/>
        <v>-50000</v>
      </c>
    </row>
    <row r="872" spans="1:12" outlineLevel="1">
      <c r="A872" s="2" t="str">
        <f ca="1">OFFSET(Язык!$A$435,0,LANGUAGE)</f>
        <v>Инвестиции в оборотный капитал</v>
      </c>
      <c r="C872" s="6" t="str">
        <f ca="1">CUR_Report</f>
        <v>$</v>
      </c>
      <c r="F872" s="26">
        <f t="shared" ref="F872:I872" si="712">-F591/IF(CUR_I_Report=2,F$98,1)</f>
        <v>0</v>
      </c>
      <c r="G872" s="26">
        <f t="shared" ca="1" si="712"/>
        <v>31208.56694444445</v>
      </c>
      <c r="H872" s="26">
        <f t="shared" ca="1" si="712"/>
        <v>13461.993587301564</v>
      </c>
      <c r="I872" s="26">
        <f t="shared" ca="1" si="712"/>
        <v>15237.876588888925</v>
      </c>
      <c r="J872" s="26">
        <f t="shared" ref="J872" ca="1" si="713">-J591/IF(CUR_I_Report=2,J$98,1)</f>
        <v>14707.416926349171</v>
      </c>
      <c r="K872" s="26"/>
      <c r="L872" s="30">
        <f t="shared" ca="1" si="689"/>
        <v>74615.85404698411</v>
      </c>
    </row>
    <row r="873" spans="1:12" outlineLevel="1">
      <c r="A873" s="2" t="str">
        <f ca="1">OFFSET(Язык!$A$436,0,LANGUAGE)</f>
        <v>Выручка от реализации активов</v>
      </c>
      <c r="C873" s="6" t="str">
        <f ca="1">CUR_Report</f>
        <v>$</v>
      </c>
      <c r="F873" s="26"/>
      <c r="G873" s="26">
        <f t="shared" ref="G873:I873" si="714">(G470+G472+G483+G485)/IF(CUR_I_Report=2,G$98,1)</f>
        <v>0</v>
      </c>
      <c r="H873" s="26">
        <f t="shared" si="714"/>
        <v>0</v>
      </c>
      <c r="I873" s="26">
        <f t="shared" si="714"/>
        <v>0</v>
      </c>
      <c r="J873" s="26">
        <f t="shared" ref="J873" si="715">(J470+J472+J483+J485)/IF(CUR_I_Report=2,J$98,1)</f>
        <v>0</v>
      </c>
      <c r="K873" s="26"/>
      <c r="L873" s="30">
        <f t="shared" si="689"/>
        <v>0</v>
      </c>
    </row>
    <row r="874" spans="1:12" outlineLevel="1">
      <c r="F874" s="26"/>
      <c r="G874" s="26"/>
      <c r="H874" s="26"/>
      <c r="I874" s="26"/>
      <c r="J874" s="26"/>
      <c r="K874" s="26"/>
      <c r="L874" s="30"/>
    </row>
    <row r="875" spans="1:12" outlineLevel="1">
      <c r="A875" s="32" t="str">
        <f ca="1">OFFSET(Язык!$A$437,0,LANGUAGE)</f>
        <v>Денежные потоки от инвестиционной деятельности</v>
      </c>
      <c r="B875" s="63"/>
      <c r="C875" s="6" t="str">
        <f ca="1">CUR_Report</f>
        <v>$</v>
      </c>
      <c r="D875" s="32"/>
      <c r="E875" s="32"/>
      <c r="F875" s="62">
        <f t="shared" ref="F875:I875" si="716">SUM(F869:F873)</f>
        <v>0</v>
      </c>
      <c r="G875" s="62">
        <f t="shared" ca="1" si="716"/>
        <v>-515791.43305555556</v>
      </c>
      <c r="H875" s="62">
        <f t="shared" ca="1" si="716"/>
        <v>13461.993587301564</v>
      </c>
      <c r="I875" s="62">
        <f t="shared" ca="1" si="716"/>
        <v>15237.876588888925</v>
      </c>
      <c r="J875" s="62">
        <f t="shared" ref="J875" ca="1" si="717">SUM(J869:J873)</f>
        <v>14707.416926349171</v>
      </c>
      <c r="K875" s="62"/>
      <c r="L875" s="27">
        <f t="shared" ca="1" si="689"/>
        <v>-472384.14595301589</v>
      </c>
    </row>
    <row r="876" spans="1:12" outlineLevel="1">
      <c r="F876" s="26"/>
      <c r="G876" s="26"/>
      <c r="H876" s="26"/>
      <c r="I876" s="26"/>
      <c r="J876" s="26"/>
      <c r="K876" s="26"/>
      <c r="L876" s="30"/>
    </row>
    <row r="877" spans="1:12" outlineLevel="1">
      <c r="A877" s="2" t="str">
        <f ca="1">OFFSET(Язык!$A$438,0,LANGUAGE)</f>
        <v>Поступления акционерного капитала</v>
      </c>
      <c r="C877" s="6" t="str">
        <f t="shared" ref="C877:C882" ca="1" si="718">CUR_Report</f>
        <v>$</v>
      </c>
      <c r="F877" s="26">
        <f>(F596+F603)/IF(CUR_I_Report=2,F$98,1)</f>
        <v>0</v>
      </c>
      <c r="G877" s="26">
        <f t="shared" ref="G877:I877" si="719">G596+G603</f>
        <v>0</v>
      </c>
      <c r="H877" s="26">
        <f t="shared" si="719"/>
        <v>0</v>
      </c>
      <c r="I877" s="26">
        <f t="shared" si="719"/>
        <v>0</v>
      </c>
      <c r="J877" s="26">
        <f t="shared" ref="J877" si="720">J596+J603</f>
        <v>0</v>
      </c>
      <c r="K877" s="26"/>
      <c r="L877" s="30">
        <f t="shared" si="689"/>
        <v>0</v>
      </c>
    </row>
    <row r="878" spans="1:12" outlineLevel="1">
      <c r="A878" s="2" t="str">
        <f ca="1">OFFSET(Язык!$A$439,0,LANGUAGE)</f>
        <v>Целевое финансирование</v>
      </c>
      <c r="C878" s="6" t="str">
        <f t="shared" ca="1" si="718"/>
        <v>$</v>
      </c>
      <c r="F878" s="26">
        <f t="shared" ref="F878:I878" si="721">(F605)/IF(CUR_I_Report=2,F$98,1)</f>
        <v>0</v>
      </c>
      <c r="G878" s="26">
        <f t="shared" si="721"/>
        <v>0</v>
      </c>
      <c r="H878" s="26">
        <f t="shared" si="721"/>
        <v>0</v>
      </c>
      <c r="I878" s="26">
        <f t="shared" si="721"/>
        <v>0</v>
      </c>
      <c r="J878" s="26">
        <f t="shared" ref="J878" si="722">(J605)/IF(CUR_I_Report=2,J$98,1)</f>
        <v>0</v>
      </c>
      <c r="K878" s="26"/>
      <c r="L878" s="30">
        <f t="shared" si="689"/>
        <v>0</v>
      </c>
    </row>
    <row r="879" spans="1:12" outlineLevel="1">
      <c r="A879" s="2" t="str">
        <f ca="1">OFFSET(Язык!$A$440,0,LANGUAGE)</f>
        <v>Поступления кредитов</v>
      </c>
      <c r="C879" s="6" t="str">
        <f t="shared" ca="1" si="718"/>
        <v>$</v>
      </c>
      <c r="F879" s="26">
        <f t="shared" ref="F879:I879" si="723">F629/IF(CUR_I_Report=2,F$98,1)</f>
        <v>0</v>
      </c>
      <c r="G879" s="26">
        <f t="shared" si="723"/>
        <v>547000</v>
      </c>
      <c r="H879" s="26">
        <f t="shared" si="723"/>
        <v>0</v>
      </c>
      <c r="I879" s="26">
        <f t="shared" si="723"/>
        <v>0</v>
      </c>
      <c r="J879" s="26">
        <f t="shared" ref="J879" si="724">J629/IF(CUR_I_Report=2,J$98,1)</f>
        <v>0</v>
      </c>
      <c r="K879" s="26"/>
      <c r="L879" s="30">
        <f t="shared" si="689"/>
        <v>547000</v>
      </c>
    </row>
    <row r="880" spans="1:12" outlineLevel="1">
      <c r="A880" s="2" t="str">
        <f ca="1">OFFSET(Язык!$A$441,0,LANGUAGE)</f>
        <v>Возврат кредитов</v>
      </c>
      <c r="C880" s="6" t="str">
        <f t="shared" ca="1" si="718"/>
        <v>$</v>
      </c>
      <c r="F880" s="26">
        <f t="shared" ref="F880:I880" si="725">-F630/IF(CUR_I_Report=2,F$98,1)</f>
        <v>0</v>
      </c>
      <c r="G880" s="26">
        <f t="shared" si="725"/>
        <v>0</v>
      </c>
      <c r="H880" s="26">
        <f t="shared" si="725"/>
        <v>-91000</v>
      </c>
      <c r="I880" s="26">
        <f t="shared" si="725"/>
        <v>-228000</v>
      </c>
      <c r="J880" s="26">
        <f t="shared" ref="J880" si="726">-J630/IF(CUR_I_Report=2,J$98,1)</f>
        <v>-228000</v>
      </c>
      <c r="K880" s="26"/>
      <c r="L880" s="30">
        <f t="shared" si="689"/>
        <v>-547000</v>
      </c>
    </row>
    <row r="881" spans="1:12" outlineLevel="1">
      <c r="A881" s="2" t="str">
        <f ca="1">OFFSET(Язык!$A$442,0,LANGUAGE)</f>
        <v>Лизинговые платежи</v>
      </c>
      <c r="C881" s="6" t="str">
        <f t="shared" ca="1" si="718"/>
        <v>$</v>
      </c>
      <c r="F881" s="26">
        <f t="shared" ref="F881:I881" ca="1" si="727">-F521/IF(CUR_I_Report=2,F$98,1)</f>
        <v>0</v>
      </c>
      <c r="G881" s="26">
        <f t="shared" ca="1" si="727"/>
        <v>0</v>
      </c>
      <c r="H881" s="26">
        <f t="shared" ca="1" si="727"/>
        <v>0</v>
      </c>
      <c r="I881" s="26">
        <f t="shared" ca="1" si="727"/>
        <v>0</v>
      </c>
      <c r="J881" s="26">
        <f t="shared" ref="J881" ca="1" si="728">-J521/IF(CUR_I_Report=2,J$98,1)</f>
        <v>0</v>
      </c>
      <c r="K881" s="26"/>
      <c r="L881" s="30">
        <f t="shared" ca="1" si="689"/>
        <v>0</v>
      </c>
    </row>
    <row r="882" spans="1:12" outlineLevel="1">
      <c r="A882" s="2" t="str">
        <f ca="1">OFFSET(Язык!$A$443,0,LANGUAGE)</f>
        <v>Выплата дивидендов</v>
      </c>
      <c r="C882" s="6" t="str">
        <f t="shared" ca="1" si="718"/>
        <v>$</v>
      </c>
      <c r="F882" s="26"/>
      <c r="G882" s="26">
        <f t="shared" ref="G882:I882" ca="1" si="729">-G770</f>
        <v>0</v>
      </c>
      <c r="H882" s="26">
        <f t="shared" ca="1" si="729"/>
        <v>0</v>
      </c>
      <c r="I882" s="26">
        <f t="shared" ca="1" si="729"/>
        <v>0</v>
      </c>
      <c r="J882" s="26">
        <f t="shared" ref="J882" ca="1" si="730">-J770</f>
        <v>0</v>
      </c>
      <c r="K882" s="26"/>
      <c r="L882" s="30">
        <f t="shared" ca="1" si="689"/>
        <v>0</v>
      </c>
    </row>
    <row r="883" spans="1:12" outlineLevel="1">
      <c r="F883" s="26"/>
      <c r="G883" s="26"/>
      <c r="H883" s="26"/>
      <c r="I883" s="26"/>
      <c r="J883" s="26"/>
      <c r="K883" s="26"/>
      <c r="L883" s="30">
        <f t="shared" si="689"/>
        <v>0</v>
      </c>
    </row>
    <row r="884" spans="1:12" outlineLevel="1">
      <c r="A884" s="32" t="str">
        <f ca="1">OFFSET(Язык!$A$444,0,LANGUAGE)</f>
        <v>Денежные потоки от финансовой деятельности</v>
      </c>
      <c r="B884" s="63"/>
      <c r="C884" s="6" t="str">
        <f ca="1">CUR_Report</f>
        <v>$</v>
      </c>
      <c r="D884" s="32"/>
      <c r="E884" s="32"/>
      <c r="F884" s="62">
        <f t="shared" ref="F884:I884" ca="1" si="731">SUM(F877:F882)</f>
        <v>0</v>
      </c>
      <c r="G884" s="62">
        <f t="shared" ca="1" si="731"/>
        <v>547000</v>
      </c>
      <c r="H884" s="62">
        <f t="shared" ca="1" si="731"/>
        <v>-91000</v>
      </c>
      <c r="I884" s="62">
        <f t="shared" ca="1" si="731"/>
        <v>-228000</v>
      </c>
      <c r="J884" s="62">
        <f t="shared" ref="J884" ca="1" si="732">SUM(J877:J882)</f>
        <v>-228000</v>
      </c>
      <c r="K884" s="62"/>
      <c r="L884" s="27">
        <f t="shared" ca="1" si="689"/>
        <v>0</v>
      </c>
    </row>
    <row r="885" spans="1:12" outlineLevel="1">
      <c r="F885" s="26"/>
      <c r="G885" s="26"/>
      <c r="H885" s="26"/>
      <c r="I885" s="26"/>
      <c r="J885" s="26"/>
      <c r="K885" s="26"/>
      <c r="L885" s="30"/>
    </row>
    <row r="886" spans="1:12" outlineLevel="1">
      <c r="A886" s="32" t="str">
        <f ca="1">OFFSET(Язык!$A$445,0,LANGUAGE)</f>
        <v>Суммарный денежный поток за период</v>
      </c>
      <c r="B886" s="63"/>
      <c r="C886" s="6" t="str">
        <f ca="1">CUR_Report</f>
        <v>$</v>
      </c>
      <c r="D886" s="32"/>
      <c r="E886" s="32"/>
      <c r="F886" s="62">
        <f t="shared" ref="F886:I886" ca="1" si="733">F867+F875+F884</f>
        <v>0</v>
      </c>
      <c r="G886" s="62">
        <f t="shared" ca="1" si="733"/>
        <v>149839.77265873016</v>
      </c>
      <c r="H886" s="62">
        <f t="shared" ca="1" si="733"/>
        <v>224565.61758730147</v>
      </c>
      <c r="I886" s="62">
        <f t="shared" ca="1" si="733"/>
        <v>67550.020131746132</v>
      </c>
      <c r="J886" s="62">
        <f t="shared" ref="J886" ca="1" si="734">J867+J875+J884</f>
        <v>126051.60339492065</v>
      </c>
      <c r="K886" s="62"/>
      <c r="L886" s="27">
        <f t="shared" ca="1" si="689"/>
        <v>568007.01377269835</v>
      </c>
    </row>
    <row r="887" spans="1:12" outlineLevel="1">
      <c r="A887" s="43" t="str">
        <f ca="1">OFFSET(Язык!$A$446,0,LANGUAGE)</f>
        <v>Денежные средства на конец периода</v>
      </c>
      <c r="B887" s="41"/>
      <c r="C887" s="41" t="str">
        <f ca="1">CUR_Report</f>
        <v>$</v>
      </c>
      <c r="D887" s="43" t="s">
        <v>1737</v>
      </c>
      <c r="E887" s="43"/>
      <c r="F887" s="57">
        <f ca="1">E887+F886</f>
        <v>0</v>
      </c>
      <c r="G887" s="57">
        <f t="shared" ref="G887:J887" ca="1" si="735">F887*IF(CUR_I_Report=2,F$98/G$98,1)+G886</f>
        <v>149839.77265873016</v>
      </c>
      <c r="H887" s="57">
        <f t="shared" ca="1" si="735"/>
        <v>374405.39024603163</v>
      </c>
      <c r="I887" s="57">
        <f t="shared" ca="1" si="735"/>
        <v>441955.41037777776</v>
      </c>
      <c r="J887" s="57">
        <f t="shared" ca="1" si="735"/>
        <v>568007.01377269835</v>
      </c>
      <c r="K887" s="57"/>
      <c r="L887" s="57"/>
    </row>
    <row r="888" spans="1:12" outlineLevel="1"/>
    <row r="889" spans="1:12" outlineLevel="1" collapsed="1">
      <c r="A889" s="37"/>
      <c r="B889" s="76"/>
    </row>
    <row r="890" spans="1:12" hidden="1" outlineLevel="2">
      <c r="B890" s="76"/>
    </row>
    <row r="891" spans="1:12" hidden="1" outlineLevel="2">
      <c r="B891" s="76"/>
    </row>
    <row r="892" spans="1:12" hidden="1" outlineLevel="2">
      <c r="B892" s="76"/>
    </row>
    <row r="893" spans="1:12" hidden="1" outlineLevel="2">
      <c r="B893" s="76"/>
    </row>
    <row r="894" spans="1:12" hidden="1" outlineLevel="2">
      <c r="B894" s="76"/>
    </row>
    <row r="895" spans="1:12" hidden="1" outlineLevel="2">
      <c r="B895" s="76"/>
    </row>
    <row r="896" spans="1:12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2" hidden="1" outlineLevel="2">
      <c r="B929" s="76"/>
    </row>
    <row r="930" spans="1:12" hidden="1" outlineLevel="2">
      <c r="B930" s="76"/>
    </row>
    <row r="931" spans="1:12" hidden="1" outlineLevel="2">
      <c r="B931" s="76"/>
    </row>
    <row r="932" spans="1:12" hidden="1" outlineLevel="2">
      <c r="B932" s="76"/>
    </row>
    <row r="933" spans="1:12" hidden="1" outlineLevel="2">
      <c r="B933" s="76"/>
    </row>
    <row r="934" spans="1:12" hidden="1" outlineLevel="2">
      <c r="B934" s="76"/>
    </row>
    <row r="935" spans="1:12" hidden="1" outlineLevel="2">
      <c r="B935" s="76"/>
    </row>
    <row r="936" spans="1:12" hidden="1" outlineLevel="2">
      <c r="B936" s="76"/>
    </row>
    <row r="937" spans="1:12" hidden="1" outlineLevel="2">
      <c r="B937" s="76"/>
    </row>
    <row r="938" spans="1:12" outlineLevel="1"/>
    <row r="939" spans="1:12" ht="12" outlineLevel="1" thickBot="1"/>
    <row r="940" spans="1:12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J940" si="736">PeriodTitle</f>
        <v>"0"</v>
      </c>
      <c r="G940" s="19">
        <f t="shared" si="736"/>
        <v>2013</v>
      </c>
      <c r="H940" s="19">
        <f t="shared" si="736"/>
        <v>2014</v>
      </c>
      <c r="I940" s="19">
        <f t="shared" si="736"/>
        <v>2015</v>
      </c>
      <c r="J940" s="19">
        <f t="shared" si="736"/>
        <v>2016</v>
      </c>
      <c r="K940" s="19"/>
      <c r="L940" s="84"/>
    </row>
    <row r="941" spans="1:12" ht="12" outlineLevel="1" thickTop="1"/>
    <row r="942" spans="1:12" outlineLevel="1">
      <c r="A942" s="47" t="str">
        <f ca="1">OFFSET(Язык!$A$450,0,LANGUAGE)</f>
        <v>Деньги</v>
      </c>
      <c r="C942" s="6" t="str">
        <f t="shared" ref="C942:C951" ca="1" si="737">CUR_Report</f>
        <v>$</v>
      </c>
      <c r="D942" s="2" t="s">
        <v>1737</v>
      </c>
      <c r="F942" s="26">
        <f t="shared" ref="F942:I942" ca="1" si="738">(F887+F582)/IF(CUR_I_Report=2,F$98,1)</f>
        <v>0</v>
      </c>
      <c r="G942" s="26">
        <f t="shared" ca="1" si="738"/>
        <v>154309.67321428572</v>
      </c>
      <c r="H942" s="26">
        <f t="shared" ca="1" si="738"/>
        <v>383372.71535714273</v>
      </c>
      <c r="I942" s="26">
        <f t="shared" ca="1" si="738"/>
        <v>451819.46799999999</v>
      </c>
      <c r="J942" s="26">
        <f t="shared" ref="J942" ca="1" si="739">(J887+J582)/IF(CUR_I_Report=2,J$98,1)</f>
        <v>578857.47715714283</v>
      </c>
    </row>
    <row r="943" spans="1:12" outlineLevel="1">
      <c r="A943" s="47" t="str">
        <f ca="1">OFFSET(Язык!$A$451,0,LANGUAGE)</f>
        <v>Дебиторская задолженность</v>
      </c>
      <c r="C943" s="6" t="str">
        <f t="shared" ca="1" si="737"/>
        <v>$</v>
      </c>
      <c r="D943" s="2" t="s">
        <v>1737</v>
      </c>
      <c r="F943" s="26">
        <f t="shared" ref="F943:I943" ca="1" si="740">F551/IF(CUR_I_Report=2,F$98,1)</f>
        <v>0</v>
      </c>
      <c r="G943" s="26">
        <f t="shared" ca="1" si="740"/>
        <v>0</v>
      </c>
      <c r="H943" s="26">
        <f t="shared" ca="1" si="740"/>
        <v>0</v>
      </c>
      <c r="I943" s="26">
        <f t="shared" ca="1" si="740"/>
        <v>0</v>
      </c>
      <c r="J943" s="26">
        <f t="shared" ref="J943" ca="1" si="741">J551/IF(CUR_I_Report=2,J$98,1)</f>
        <v>0</v>
      </c>
    </row>
    <row r="944" spans="1:12" outlineLevel="1">
      <c r="A944" s="47" t="str">
        <f ca="1">OFFSET(Язык!$A$452,0,LANGUAGE)</f>
        <v>Авансы уплаченные</v>
      </c>
      <c r="C944" s="6" t="str">
        <f t="shared" ca="1" si="737"/>
        <v>$</v>
      </c>
      <c r="D944" s="2" t="s">
        <v>1737</v>
      </c>
      <c r="F944" s="26">
        <f t="shared" ref="F944:I944" ca="1" si="742">(F566+MAX(F524,0))/IF(CUR_I_Report=2,F$98,1)</f>
        <v>0</v>
      </c>
      <c r="G944" s="26">
        <f t="shared" ca="1" si="742"/>
        <v>0</v>
      </c>
      <c r="H944" s="26">
        <f t="shared" ca="1" si="742"/>
        <v>0</v>
      </c>
      <c r="I944" s="26">
        <f t="shared" ca="1" si="742"/>
        <v>0</v>
      </c>
      <c r="J944" s="26">
        <f t="shared" ref="J944" ca="1" si="743">(J566+MAX(J524,0))/IF(CUR_I_Report=2,J$98,1)</f>
        <v>0</v>
      </c>
    </row>
    <row r="945" spans="1:10" outlineLevel="1">
      <c r="A945" s="47" t="str">
        <f ca="1">OFFSET(Язык!$A$453,0,LANGUAGE)</f>
        <v>Готовая продукция</v>
      </c>
      <c r="C945" s="6" t="str">
        <f t="shared" ca="1" si="737"/>
        <v>$</v>
      </c>
      <c r="D945" s="2" t="s">
        <v>1737</v>
      </c>
      <c r="F945" s="26">
        <f t="shared" ref="F945:I945" si="744">F541/IF(CUR_I_Report=2,F$98,1)</f>
        <v>0</v>
      </c>
      <c r="G945" s="26">
        <f t="shared" ca="1" si="744"/>
        <v>0</v>
      </c>
      <c r="H945" s="26">
        <f t="shared" ca="1" si="744"/>
        <v>0</v>
      </c>
      <c r="I945" s="26">
        <f t="shared" ca="1" si="744"/>
        <v>0</v>
      </c>
      <c r="J945" s="26">
        <f t="shared" ref="J945" ca="1" si="745">J541/IF(CUR_I_Report=2,J$98,1)</f>
        <v>0</v>
      </c>
    </row>
    <row r="946" spans="1:10" outlineLevel="1">
      <c r="A946" s="47" t="str">
        <f ca="1">OFFSET(Язык!$A$454,0,LANGUAGE)</f>
        <v>Незавершенное производство</v>
      </c>
      <c r="C946" s="6" t="str">
        <f t="shared" ca="1" si="737"/>
        <v>$</v>
      </c>
      <c r="D946" s="2" t="s">
        <v>1737</v>
      </c>
      <c r="F946" s="26">
        <f t="shared" ref="F946:I946" si="746">F539/IF(CUR_I_Report=2,F$98,1)</f>
        <v>0</v>
      </c>
      <c r="G946" s="26">
        <f t="shared" ca="1" si="746"/>
        <v>0</v>
      </c>
      <c r="H946" s="26">
        <f t="shared" ca="1" si="746"/>
        <v>0</v>
      </c>
      <c r="I946" s="26">
        <f t="shared" ca="1" si="746"/>
        <v>0</v>
      </c>
      <c r="J946" s="26">
        <f t="shared" ref="J946" ca="1" si="747">J539/IF(CUR_I_Report=2,J$98,1)</f>
        <v>0</v>
      </c>
    </row>
    <row r="947" spans="1:10" outlineLevel="1">
      <c r="A947" s="47" t="str">
        <f ca="1">OFFSET(Язык!$A$455,0,LANGUAGE)</f>
        <v>Материалы и комплектующие</v>
      </c>
      <c r="C947" s="6" t="str">
        <f t="shared" ca="1" si="737"/>
        <v>$</v>
      </c>
      <c r="D947" s="2" t="s">
        <v>1737</v>
      </c>
      <c r="F947" s="26">
        <f t="shared" ref="F947:I947" si="748">F535/IF(CUR_I_Report=2,F$98,1)</f>
        <v>0</v>
      </c>
      <c r="G947" s="26">
        <f t="shared" si="748"/>
        <v>0</v>
      </c>
      <c r="H947" s="26">
        <f t="shared" si="748"/>
        <v>0</v>
      </c>
      <c r="I947" s="26">
        <f t="shared" si="748"/>
        <v>0</v>
      </c>
      <c r="J947" s="26">
        <f t="shared" ref="J947" si="749">J535/IF(CUR_I_Report=2,J$98,1)</f>
        <v>0</v>
      </c>
    </row>
    <row r="948" spans="1:10" outlineLevel="1">
      <c r="A948" s="47" t="str">
        <f ca="1">OFFSET(Язык!$A$456,0,LANGUAGE)</f>
        <v>НДС на приобретенные товары</v>
      </c>
      <c r="C948" s="6" t="str">
        <f t="shared" ca="1" si="737"/>
        <v>$</v>
      </c>
      <c r="D948" s="2" t="s">
        <v>1737</v>
      </c>
      <c r="F948" s="26">
        <f t="shared" ref="F948:I948" ca="1" si="750">(F693+F695)/IF(CUR_I_Report=2,F$98,1)</f>
        <v>0</v>
      </c>
      <c r="G948" s="26">
        <f t="shared" ca="1" si="750"/>
        <v>58607.142857142855</v>
      </c>
      <c r="H948" s="26">
        <f t="shared" ca="1" si="750"/>
        <v>0</v>
      </c>
      <c r="I948" s="26">
        <f t="shared" ca="1" si="750"/>
        <v>0</v>
      </c>
      <c r="J948" s="26">
        <f t="shared" ref="J948" ca="1" si="751">(J693+J695)/IF(CUR_I_Report=2,J$98,1)</f>
        <v>0</v>
      </c>
    </row>
    <row r="949" spans="1:10" outlineLevel="1">
      <c r="A949" s="47" t="str">
        <f ca="1">OFFSET(Язык!$A$457,0,LANGUAGE)</f>
        <v>Расходы будущих периодов</v>
      </c>
      <c r="C949" s="6" t="str">
        <f t="shared" ca="1" si="737"/>
        <v>$</v>
      </c>
      <c r="D949" s="2" t="s">
        <v>1737</v>
      </c>
      <c r="F949" s="26">
        <f t="shared" ref="F949:I949" si="752">F492/IF(CUR_I_Report=2,F$98,1)</f>
        <v>0</v>
      </c>
      <c r="G949" s="26">
        <f t="shared" ca="1" si="752"/>
        <v>0</v>
      </c>
      <c r="H949" s="26">
        <f t="shared" ca="1" si="752"/>
        <v>35714.28571428571</v>
      </c>
      <c r="I949" s="26">
        <f t="shared" ca="1" si="752"/>
        <v>26785.714285714283</v>
      </c>
      <c r="J949" s="26">
        <f t="shared" ref="J949" ca="1" si="753">J492/IF(CUR_I_Report=2,J$98,1)</f>
        <v>17857.142857142855</v>
      </c>
    </row>
    <row r="950" spans="1:10" outlineLevel="1">
      <c r="A950" s="47" t="str">
        <f ca="1">OFFSET(Язык!$A$458,0,LANGUAGE)</f>
        <v>Прочие оборотные активы</v>
      </c>
      <c r="C950" s="6" t="str">
        <f t="shared" ca="1" si="737"/>
        <v>$</v>
      </c>
      <c r="D950" s="2" t="s">
        <v>1737</v>
      </c>
      <c r="F950" s="26"/>
      <c r="G950" s="26"/>
      <c r="H950" s="26"/>
      <c r="I950" s="26"/>
      <c r="J950" s="26"/>
    </row>
    <row r="951" spans="1:10" outlineLevel="1">
      <c r="A951" s="32" t="str">
        <f ca="1">OFFSET(Язык!$A$459,0,LANGUAGE)</f>
        <v>Суммарные оборотные активы</v>
      </c>
      <c r="C951" s="6" t="str">
        <f t="shared" ca="1" si="737"/>
        <v>$</v>
      </c>
      <c r="D951" s="2" t="s">
        <v>1737</v>
      </c>
      <c r="F951" s="62">
        <f t="shared" ref="F951:I951" ca="1" si="754">SUM(F942:F950)</f>
        <v>0</v>
      </c>
      <c r="G951" s="62">
        <f t="shared" ca="1" si="754"/>
        <v>212916.81607142859</v>
      </c>
      <c r="H951" s="62">
        <f t="shared" ca="1" si="754"/>
        <v>419087.00107142841</v>
      </c>
      <c r="I951" s="62">
        <f t="shared" ca="1" si="754"/>
        <v>478605.18228571425</v>
      </c>
      <c r="J951" s="62">
        <f t="shared" ref="J951" ca="1" si="755">SUM(J942:J950)</f>
        <v>596714.62001428567</v>
      </c>
    </row>
    <row r="952" spans="1:10" outlineLevel="1">
      <c r="F952" s="26"/>
      <c r="G952" s="26"/>
      <c r="H952" s="26"/>
      <c r="I952" s="26"/>
      <c r="J952" s="26"/>
    </row>
    <row r="953" spans="1:10" outlineLevel="1">
      <c r="A953" s="47" t="str">
        <f ca="1">OFFSET(Язык!$A$460,0,LANGUAGE)</f>
        <v>Постоянные активы</v>
      </c>
      <c r="C953" s="6" t="str">
        <f ca="1">CUR_Report</f>
        <v>$</v>
      </c>
      <c r="D953" s="2" t="s">
        <v>1737</v>
      </c>
      <c r="F953" s="26">
        <f t="shared" ref="F953:I953" si="756">F954+F955</f>
        <v>0</v>
      </c>
      <c r="G953" s="26">
        <f t="shared" ca="1" si="756"/>
        <v>0</v>
      </c>
      <c r="H953" s="26">
        <f t="shared" ca="1" si="756"/>
        <v>395178.57142857142</v>
      </c>
      <c r="I953" s="26">
        <f t="shared" ca="1" si="756"/>
        <v>346607.14285714284</v>
      </c>
      <c r="J953" s="26">
        <f t="shared" ref="J953" ca="1" si="757">J954+J955</f>
        <v>298035.71428571426</v>
      </c>
    </row>
    <row r="954" spans="1:10" outlineLevel="1">
      <c r="A954" s="47" t="str">
        <f ca="1">OFFSET(Язык!$A$461,0,LANGUAGE)</f>
        <v xml:space="preserve">    здания и сооружения</v>
      </c>
      <c r="C954" s="6" t="str">
        <f ca="1">CUR_Report</f>
        <v>$</v>
      </c>
      <c r="D954" s="2" t="s">
        <v>1737</v>
      </c>
      <c r="F954" s="26">
        <f t="shared" ref="F954:I954" si="758">F467/IF(CUR_I_Report=2,F$98,1)</f>
        <v>0</v>
      </c>
      <c r="G954" s="26">
        <f t="shared" ca="1" si="758"/>
        <v>0</v>
      </c>
      <c r="H954" s="26">
        <f t="shared" ca="1" si="758"/>
        <v>254464.28571428571</v>
      </c>
      <c r="I954" s="26">
        <f t="shared" ca="1" si="758"/>
        <v>241071.42857142855</v>
      </c>
      <c r="J954" s="26">
        <f t="shared" ref="J954" ca="1" si="759">J467/IF(CUR_I_Report=2,J$98,1)</f>
        <v>227678.57142857142</v>
      </c>
    </row>
    <row r="955" spans="1:10" outlineLevel="1">
      <c r="A955" s="47" t="str">
        <f ca="1">OFFSET(Язык!$A$462,0,LANGUAGE)</f>
        <v xml:space="preserve">    оборудование и прочие активы</v>
      </c>
      <c r="C955" s="6" t="str">
        <f ca="1">CUR_Report</f>
        <v>$</v>
      </c>
      <c r="D955" s="2" t="s">
        <v>1737</v>
      </c>
      <c r="F955" s="26">
        <f t="shared" ref="F955:I955" si="760">(F479+F528)/IF(CUR_I_Report=2,F$98,1)</f>
        <v>0</v>
      </c>
      <c r="G955" s="26">
        <f t="shared" ca="1" si="760"/>
        <v>0</v>
      </c>
      <c r="H955" s="26">
        <f t="shared" ca="1" si="760"/>
        <v>140714.28571428571</v>
      </c>
      <c r="I955" s="26">
        <f t="shared" ca="1" si="760"/>
        <v>105535.71428571428</v>
      </c>
      <c r="J955" s="26">
        <f t="shared" ref="J955" ca="1" si="761">(J479+J528)/IF(CUR_I_Report=2,J$98,1)</f>
        <v>70357.142857142841</v>
      </c>
    </row>
    <row r="956" spans="1:10" outlineLevel="1">
      <c r="A956" s="47" t="str">
        <f ca="1">OFFSET(Язык!$A$463,0,LANGUAGE)</f>
        <v>Незавершенные капиталовложения</v>
      </c>
      <c r="C956" s="6" t="str">
        <f ca="1">CUR_Report</f>
        <v>$</v>
      </c>
      <c r="D956" s="2" t="s">
        <v>1737</v>
      </c>
      <c r="F956" s="26">
        <f t="shared" ref="F956:I956" ca="1" si="762">(F464+F476+F489)/IF(CUR_I_Report=2,F$98,1)</f>
        <v>0</v>
      </c>
      <c r="G956" s="26">
        <f t="shared" ca="1" si="762"/>
        <v>488392.85714285716</v>
      </c>
      <c r="H956" s="26">
        <f t="shared" ca="1" si="762"/>
        <v>0</v>
      </c>
      <c r="I956" s="26">
        <f t="shared" ca="1" si="762"/>
        <v>0</v>
      </c>
      <c r="J956" s="26">
        <f t="shared" ref="J956" ca="1" si="763">(J464+J476+J489)/IF(CUR_I_Report=2,J$98,1)</f>
        <v>0</v>
      </c>
    </row>
    <row r="957" spans="1:10" outlineLevel="1">
      <c r="A957" s="32" t="str">
        <f ca="1">OFFSET(Язык!$A$464,0,LANGUAGE)</f>
        <v>Суммарные внеоборотные активы</v>
      </c>
      <c r="C957" s="6" t="str">
        <f ca="1">CUR_Report</f>
        <v>$</v>
      </c>
      <c r="D957" s="2" t="s">
        <v>1737</v>
      </c>
      <c r="F957" s="62">
        <f t="shared" ref="F957:I957" ca="1" si="764">F953+F956</f>
        <v>0</v>
      </c>
      <c r="G957" s="62">
        <f t="shared" ca="1" si="764"/>
        <v>488392.85714285716</v>
      </c>
      <c r="H957" s="62">
        <f t="shared" ca="1" si="764"/>
        <v>395178.57142857142</v>
      </c>
      <c r="I957" s="62">
        <f t="shared" ca="1" si="764"/>
        <v>346607.14285714284</v>
      </c>
      <c r="J957" s="62">
        <f t="shared" ref="J957" ca="1" si="765">J953+J956</f>
        <v>298035.71428571426</v>
      </c>
    </row>
    <row r="958" spans="1:10" outlineLevel="1">
      <c r="F958" s="26"/>
      <c r="G958" s="26"/>
      <c r="H958" s="26"/>
      <c r="I958" s="26"/>
      <c r="J958" s="26"/>
    </row>
    <row r="959" spans="1:10" outlineLevel="1">
      <c r="A959" s="32" t="str">
        <f ca="1">OFFSET(Язык!$A$465,0,LANGUAGE)</f>
        <v xml:space="preserve"> = ИТОГО АКТИВОВ</v>
      </c>
      <c r="B959" s="29" t="str">
        <f ca="1">IF(COUNTIF(F979:J979,1)&gt;0,"Не сходится!","")</f>
        <v/>
      </c>
      <c r="C959" s="6" t="str">
        <f ca="1">CUR_Report</f>
        <v>$</v>
      </c>
      <c r="D959" s="47" t="s">
        <v>1737</v>
      </c>
      <c r="E959" s="32"/>
      <c r="F959" s="62">
        <f t="shared" ref="F959:I959" ca="1" si="766">F951+F957</f>
        <v>0</v>
      </c>
      <c r="G959" s="62">
        <f t="shared" ca="1" si="766"/>
        <v>701309.67321428575</v>
      </c>
      <c r="H959" s="62">
        <f t="shared" ca="1" si="766"/>
        <v>814265.57249999978</v>
      </c>
      <c r="I959" s="62">
        <f t="shared" ca="1" si="766"/>
        <v>825212.32514285715</v>
      </c>
      <c r="J959" s="62">
        <f t="shared" ref="J959" ca="1" si="767">J951+J957</f>
        <v>894750.33429999999</v>
      </c>
    </row>
    <row r="960" spans="1:10" outlineLevel="1">
      <c r="F960" s="26"/>
      <c r="G960" s="26"/>
      <c r="H960" s="26"/>
      <c r="I960" s="26"/>
      <c r="J960" s="26"/>
    </row>
    <row r="961" spans="1:10" outlineLevel="1">
      <c r="A961" s="47" t="str">
        <f ca="1">OFFSET(Язык!$A$466,0,LANGUAGE)</f>
        <v>Кредиторская задолженность</v>
      </c>
      <c r="C961" s="6" t="str">
        <f t="shared" ref="C961:C969" ca="1" si="768">CUR_Report</f>
        <v>$</v>
      </c>
      <c r="D961" s="2" t="s">
        <v>1737</v>
      </c>
      <c r="F961" s="26">
        <f t="shared" ref="F961:I961" ca="1" si="769">SUM(F962:F963)</f>
        <v>0</v>
      </c>
      <c r="G961" s="26">
        <f t="shared" ca="1" si="769"/>
        <v>0</v>
      </c>
      <c r="H961" s="26">
        <f t="shared" ca="1" si="769"/>
        <v>0</v>
      </c>
      <c r="I961" s="26">
        <f t="shared" ca="1" si="769"/>
        <v>0</v>
      </c>
      <c r="J961" s="26">
        <f t="shared" ref="J961" ca="1" si="770">SUM(J962:J963)</f>
        <v>0</v>
      </c>
    </row>
    <row r="962" spans="1:10" outlineLevel="1">
      <c r="A962" s="47" t="str">
        <f ca="1">OFFSET(Язык!$A$467,0,LANGUAGE)</f>
        <v xml:space="preserve">    за поставленные товары</v>
      </c>
      <c r="C962" s="6" t="str">
        <f t="shared" ca="1" si="768"/>
        <v>$</v>
      </c>
      <c r="D962" s="2" t="s">
        <v>1737</v>
      </c>
      <c r="F962" s="26">
        <f t="shared" ref="F962:I962" ca="1" si="771">F563/IF(CUR_I_Report=2,F$98,1)</f>
        <v>0</v>
      </c>
      <c r="G962" s="26">
        <f t="shared" ca="1" si="771"/>
        <v>0</v>
      </c>
      <c r="H962" s="26">
        <f t="shared" ca="1" si="771"/>
        <v>0</v>
      </c>
      <c r="I962" s="26">
        <f t="shared" ca="1" si="771"/>
        <v>0</v>
      </c>
      <c r="J962" s="26">
        <f t="shared" ref="J962" ca="1" si="772">J563/IF(CUR_I_Report=2,J$98,1)</f>
        <v>0</v>
      </c>
    </row>
    <row r="963" spans="1:10" outlineLevel="1">
      <c r="A963" s="47" t="str">
        <f ca="1">OFFSET(Язык!$A$468,0,LANGUAGE)</f>
        <v xml:space="preserve">    за постоянные активы</v>
      </c>
      <c r="C963" s="6" t="str">
        <f t="shared" ca="1" si="768"/>
        <v>$</v>
      </c>
      <c r="D963" s="2" t="s">
        <v>1737</v>
      </c>
      <c r="F963" s="26">
        <f t="shared" ref="F963:I963" ca="1" si="773">(F397+F420+F441+MAX(-F524,0))/IF(CUR_I_Report=2,F$98,1)</f>
        <v>0</v>
      </c>
      <c r="G963" s="26">
        <f t="shared" ca="1" si="773"/>
        <v>0</v>
      </c>
      <c r="H963" s="26">
        <f t="shared" ca="1" si="773"/>
        <v>0</v>
      </c>
      <c r="I963" s="26">
        <f t="shared" ca="1" si="773"/>
        <v>0</v>
      </c>
      <c r="J963" s="26">
        <f t="shared" ref="J963" ca="1" si="774">(J397+J420+J441+MAX(-J524,0))/IF(CUR_I_Report=2,J$98,1)</f>
        <v>0</v>
      </c>
    </row>
    <row r="964" spans="1:10" outlineLevel="1">
      <c r="A964" s="47" t="str">
        <f ca="1">OFFSET(Язык!$A$469,0,LANGUAGE)</f>
        <v>Расчеты с бюджетом</v>
      </c>
      <c r="C964" s="6" t="str">
        <f t="shared" ca="1" si="768"/>
        <v>$</v>
      </c>
      <c r="D964" s="2" t="s">
        <v>1737</v>
      </c>
      <c r="F964" s="26">
        <f t="shared" ref="F964:I964" si="775">SUM(F571:F575)/IF(CUR_I_Report=2,F$98,1)</f>
        <v>0</v>
      </c>
      <c r="G964" s="26">
        <f t="shared" ca="1" si="775"/>
        <v>33188.467500000006</v>
      </c>
      <c r="H964" s="26">
        <f t="shared" ca="1" si="775"/>
        <v>49672.385642857123</v>
      </c>
      <c r="I964" s="26">
        <f t="shared" ca="1" si="775"/>
        <v>65410.444742857158</v>
      </c>
      <c r="J964" s="26">
        <f t="shared" ref="J964" ca="1" si="776">SUM(J571:J575)/IF(CUR_I_Report=2,J$98,1)</f>
        <v>80668.062431428552</v>
      </c>
    </row>
    <row r="965" spans="1:10" outlineLevel="1">
      <c r="A965" s="47" t="str">
        <f ca="1">OFFSET(Язык!$A$470,0,LANGUAGE)</f>
        <v>Расчеты с персоналом</v>
      </c>
      <c r="C965" s="6" t="str">
        <f t="shared" ca="1" si="768"/>
        <v>$</v>
      </c>
      <c r="D965" s="2" t="s">
        <v>1737</v>
      </c>
      <c r="F965" s="26">
        <f t="shared" ref="F965:I965" si="777">F578/IF(CUR_I_Report=2,F$98,1)</f>
        <v>0</v>
      </c>
      <c r="G965" s="26">
        <f t="shared" ca="1" si="777"/>
        <v>2490</v>
      </c>
      <c r="H965" s="26">
        <f t="shared" si="777"/>
        <v>3965.5</v>
      </c>
      <c r="I965" s="26">
        <f t="shared" ca="1" si="777"/>
        <v>4362.05</v>
      </c>
      <c r="J965" s="26">
        <f t="shared" ref="J965" ca="1" si="778">J578/IF(CUR_I_Report=2,J$98,1)</f>
        <v>4798.2549999999992</v>
      </c>
    </row>
    <row r="966" spans="1:10" outlineLevel="1">
      <c r="A966" s="47" t="str">
        <f ca="1">OFFSET(Язык!$A$471,0,LANGUAGE)</f>
        <v>Авансы покупателей</v>
      </c>
      <c r="C966" s="6" t="str">
        <f t="shared" ca="1" si="768"/>
        <v>$</v>
      </c>
      <c r="D966" s="2" t="s">
        <v>1737</v>
      </c>
      <c r="F966" s="26">
        <f t="shared" ref="F966:I966" ca="1" si="779">F554/IF(CUR_I_Report=2,F$98,1)</f>
        <v>0</v>
      </c>
      <c r="G966" s="26">
        <f t="shared" ca="1" si="779"/>
        <v>0</v>
      </c>
      <c r="H966" s="26">
        <f t="shared" ca="1" si="779"/>
        <v>0</v>
      </c>
      <c r="I966" s="26">
        <f t="shared" ca="1" si="779"/>
        <v>0</v>
      </c>
      <c r="J966" s="26">
        <f t="shared" ref="J966" ca="1" si="780">J554/IF(CUR_I_Report=2,J$98,1)</f>
        <v>0</v>
      </c>
    </row>
    <row r="967" spans="1:10" outlineLevel="1">
      <c r="A967" s="47" t="str">
        <f ca="1">OFFSET(Язык!$A$472,0,LANGUAGE)</f>
        <v>Краткосрочные кредиты</v>
      </c>
      <c r="C967" s="6" t="str">
        <f t="shared" ca="1" si="768"/>
        <v>$</v>
      </c>
      <c r="D967" s="2" t="s">
        <v>1737</v>
      </c>
      <c r="F967" s="26">
        <f t="shared" ref="F967:I967" si="781">F636/IF(CUR_I_Report=2,F$98,1)</f>
        <v>0</v>
      </c>
      <c r="G967" s="26">
        <f t="shared" si="781"/>
        <v>0</v>
      </c>
      <c r="H967" s="26">
        <f t="shared" si="781"/>
        <v>0</v>
      </c>
      <c r="I967" s="26">
        <f t="shared" si="781"/>
        <v>0</v>
      </c>
      <c r="J967" s="26">
        <f t="shared" ref="J967" si="782">J636/IF(CUR_I_Report=2,J$98,1)</f>
        <v>0</v>
      </c>
    </row>
    <row r="968" spans="1:10" outlineLevel="1">
      <c r="A968" s="47" t="str">
        <f ca="1">OFFSET(Язык!$A$473,0,LANGUAGE)</f>
        <v>Прочие краткосрочные обязательства</v>
      </c>
      <c r="C968" s="6" t="str">
        <f t="shared" ca="1" si="768"/>
        <v>$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</row>
    <row r="969" spans="1:10" outlineLevel="1">
      <c r="A969" s="32" t="str">
        <f ca="1">OFFSET(Язык!$A$474,0,LANGUAGE)</f>
        <v>Суммарные краткосрочные обязательства</v>
      </c>
      <c r="C969" s="6" t="str">
        <f t="shared" ca="1" si="768"/>
        <v>$</v>
      </c>
      <c r="D969" s="2" t="s">
        <v>1737</v>
      </c>
      <c r="F969" s="62">
        <f t="shared" ref="F969:I969" ca="1" si="783">F961+SUM(F964:F968)</f>
        <v>0</v>
      </c>
      <c r="G969" s="62">
        <f t="shared" ca="1" si="783"/>
        <v>35678.467500000006</v>
      </c>
      <c r="H969" s="62">
        <f t="shared" ca="1" si="783"/>
        <v>53637.885642857123</v>
      </c>
      <c r="I969" s="62">
        <f t="shared" ca="1" si="783"/>
        <v>69772.494742857161</v>
      </c>
      <c r="J969" s="62">
        <f t="shared" ref="J969" ca="1" si="784">J961+SUM(J964:J968)</f>
        <v>85466.317431428557</v>
      </c>
    </row>
    <row r="970" spans="1:10" outlineLevel="1">
      <c r="F970" s="26"/>
      <c r="G970" s="26"/>
      <c r="H970" s="26"/>
      <c r="I970" s="26"/>
      <c r="J970" s="26"/>
    </row>
    <row r="971" spans="1:10" outlineLevel="1">
      <c r="A971" s="32" t="str">
        <f ca="1">OFFSET(Язык!$A$475,0,LANGUAGE)</f>
        <v>Долгосрочные обязательства</v>
      </c>
      <c r="C971" s="6" t="str">
        <f ca="1">CUR_Report</f>
        <v>$</v>
      </c>
      <c r="D971" s="2" t="s">
        <v>1737</v>
      </c>
      <c r="F971" s="62">
        <f t="shared" ref="F971:I971" si="785">F637/IF(CUR_I_Report=2,F$98,1)</f>
        <v>0</v>
      </c>
      <c r="G971" s="62">
        <f t="shared" si="785"/>
        <v>547000</v>
      </c>
      <c r="H971" s="62">
        <f t="shared" si="785"/>
        <v>456000</v>
      </c>
      <c r="I971" s="62">
        <f t="shared" si="785"/>
        <v>228000</v>
      </c>
      <c r="J971" s="62">
        <f t="shared" ref="J971" si="786">J637/IF(CUR_I_Report=2,J$98,1)</f>
        <v>0</v>
      </c>
    </row>
    <row r="972" spans="1:10" outlineLevel="1">
      <c r="F972" s="26"/>
      <c r="G972" s="26"/>
      <c r="H972" s="26"/>
      <c r="I972" s="26"/>
      <c r="J972" s="26"/>
    </row>
    <row r="973" spans="1:10" outlineLevel="1">
      <c r="A973" s="47" t="str">
        <f ca="1">OFFSET(Язык!$A$476,0,LANGUAGE)</f>
        <v>Акционерный капитал</v>
      </c>
      <c r="C973" s="6" t="str">
        <f ca="1">CUR_Report</f>
        <v>$</v>
      </c>
      <c r="D973" s="2" t="s">
        <v>1737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</row>
    <row r="974" spans="1:10" outlineLevel="1">
      <c r="A974" s="47" t="str">
        <f ca="1">OFFSET(Язык!$A$477,0,LANGUAGE)</f>
        <v>Нераспределенная прибыль</v>
      </c>
      <c r="C974" s="6" t="str">
        <f ca="1">CUR_Report</f>
        <v>$</v>
      </c>
      <c r="D974" s="2" t="s">
        <v>1737</v>
      </c>
      <c r="F974" s="26">
        <f t="shared" ref="F974:I974" si="787">F772</f>
        <v>0</v>
      </c>
      <c r="G974" s="26">
        <f t="shared" ca="1" si="787"/>
        <v>118631.20571428572</v>
      </c>
      <c r="H974" s="26">
        <f t="shared" ca="1" si="787"/>
        <v>304627.68685714278</v>
      </c>
      <c r="I974" s="26">
        <f t="shared" ca="1" si="787"/>
        <v>527439.83039999998</v>
      </c>
      <c r="J974" s="26">
        <f t="shared" ref="J974" ca="1" si="788">J772</f>
        <v>809284.01686857129</v>
      </c>
    </row>
    <row r="975" spans="1:10" outlineLevel="1">
      <c r="A975" s="47" t="str">
        <f ca="1">OFFSET(Язык!$A$478,0,LANGUAGE)</f>
        <v>Прочие источники финансирования</v>
      </c>
      <c r="C975" s="6" t="str">
        <f ca="1">CUR_Report</f>
        <v>$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</row>
    <row r="976" spans="1:10" outlineLevel="1">
      <c r="A976" s="32" t="str">
        <f ca="1">OFFSET(Язык!$A$479,0,LANGUAGE)</f>
        <v>Суммарный собственный капитал</v>
      </c>
      <c r="C976" s="6" t="str">
        <f ca="1">CUR_Report</f>
        <v>$</v>
      </c>
      <c r="D976" s="2" t="s">
        <v>1737</v>
      </c>
      <c r="F976" s="62">
        <f t="shared" ref="F976:I976" si="789">SUM(F973:F975)</f>
        <v>0</v>
      </c>
      <c r="G976" s="62">
        <f t="shared" ca="1" si="789"/>
        <v>118631.20571428572</v>
      </c>
      <c r="H976" s="62">
        <f t="shared" ca="1" si="789"/>
        <v>304627.68685714278</v>
      </c>
      <c r="I976" s="62">
        <f t="shared" ca="1" si="789"/>
        <v>527439.83039999998</v>
      </c>
      <c r="J976" s="62">
        <f t="shared" ref="J976" ca="1" si="790">SUM(J973:J975)</f>
        <v>809284.01686857129</v>
      </c>
    </row>
    <row r="977" spans="1:11" outlineLevel="1">
      <c r="A977" s="47"/>
      <c r="F977" s="26"/>
      <c r="G977" s="26"/>
      <c r="H977" s="26"/>
      <c r="I977" s="26"/>
      <c r="J977" s="26"/>
    </row>
    <row r="978" spans="1:11" outlineLevel="1">
      <c r="A978" s="85" t="str">
        <f ca="1">OFFSET(Язык!$A$480,0,LANGUAGE)</f>
        <v xml:space="preserve"> = ИТОГО ПАССИВОВ</v>
      </c>
      <c r="B978" s="154" t="str">
        <f ca="1">IF(COUNTIF(F979:J979,1)&gt;0,"Не сходится!","")</f>
        <v/>
      </c>
      <c r="C978" s="41" t="str">
        <f ca="1">CUR_Report</f>
        <v>$</v>
      </c>
      <c r="D978" s="162" t="s">
        <v>1737</v>
      </c>
      <c r="E978" s="85"/>
      <c r="F978" s="87">
        <f t="shared" ref="F978:I978" ca="1" si="791">F969+F971+F976</f>
        <v>0</v>
      </c>
      <c r="G978" s="87">
        <f t="shared" ca="1" si="791"/>
        <v>701309.67321428575</v>
      </c>
      <c r="H978" s="87">
        <f t="shared" ca="1" si="791"/>
        <v>814265.57249999989</v>
      </c>
      <c r="I978" s="87">
        <f t="shared" ca="1" si="791"/>
        <v>825212.32514285715</v>
      </c>
      <c r="J978" s="87">
        <f t="shared" ref="J978" ca="1" si="792">J969+J971+J976</f>
        <v>894750.33429999987</v>
      </c>
      <c r="K978" s="43"/>
    </row>
    <row r="979" spans="1:11" outlineLevel="1">
      <c r="A979" s="47" t="str">
        <f ca="1">OFFSET(Язык!$A$481,0,LANGUAGE)</f>
        <v>Контроль сходимости баланса</v>
      </c>
      <c r="B979" s="63"/>
      <c r="F979" s="26">
        <f t="shared" ref="F979:I979" ca="1" si="793">IF(ABS(F978-F959)&gt;1,1,0)</f>
        <v>0</v>
      </c>
      <c r="G979" s="26">
        <f t="shared" ca="1" si="793"/>
        <v>0</v>
      </c>
      <c r="H979" s="26">
        <f t="shared" ca="1" si="793"/>
        <v>0</v>
      </c>
      <c r="I979" s="26">
        <f t="shared" ca="1" si="793"/>
        <v>0</v>
      </c>
      <c r="J979" s="26">
        <f t="shared" ref="J979" ca="1" si="794">IF(ABS(J978-J959)&gt;1,1,0)</f>
        <v>0</v>
      </c>
    </row>
    <row r="980" spans="1:11" outlineLevel="1">
      <c r="A980" s="47"/>
      <c r="B980" s="63"/>
      <c r="G980" s="26"/>
      <c r="H980" s="26"/>
      <c r="I980" s="26"/>
      <c r="J980" s="26"/>
    </row>
    <row r="981" spans="1:11" outlineLevel="1" collapsed="1">
      <c r="A981" s="37" t="str">
        <f ca="1">OFFSET(Язык!$A$482,0,LANGUAGE)</f>
        <v>График: Текущие активы</v>
      </c>
      <c r="B981" s="76"/>
    </row>
    <row r="982" spans="1:11" hidden="1" outlineLevel="2">
      <c r="B982" s="76"/>
    </row>
    <row r="983" spans="1:11" hidden="1" outlineLevel="2">
      <c r="B983" s="76"/>
    </row>
    <row r="984" spans="1:11" hidden="1" outlineLevel="2">
      <c r="B984" s="76"/>
    </row>
    <row r="985" spans="1:11" hidden="1" outlineLevel="2">
      <c r="B985" s="76"/>
    </row>
    <row r="986" spans="1:11" hidden="1" outlineLevel="2">
      <c r="B986" s="76"/>
    </row>
    <row r="987" spans="1:11" hidden="1" outlineLevel="2">
      <c r="B987" s="76"/>
    </row>
    <row r="988" spans="1:11" hidden="1" outlineLevel="2">
      <c r="B988" s="76"/>
    </row>
    <row r="989" spans="1:11" hidden="1" outlineLevel="2">
      <c r="B989" s="76"/>
    </row>
    <row r="990" spans="1:11" hidden="1" outlineLevel="2">
      <c r="B990" s="76"/>
    </row>
    <row r="991" spans="1:11" hidden="1" outlineLevel="2">
      <c r="B991" s="76"/>
    </row>
    <row r="992" spans="1:11" hidden="1" outlineLevel="2">
      <c r="B992" s="76"/>
    </row>
    <row r="993" spans="1:12" hidden="1" outlineLevel="2">
      <c r="B993" s="76"/>
    </row>
    <row r="994" spans="1:12" hidden="1" outlineLevel="2">
      <c r="B994" s="76"/>
    </row>
    <row r="995" spans="1:12" hidden="1" outlineLevel="2">
      <c r="B995" s="76"/>
    </row>
    <row r="996" spans="1:12" hidden="1" outlineLevel="2">
      <c r="B996" s="76"/>
    </row>
    <row r="997" spans="1:12" hidden="1" outlineLevel="2">
      <c r="B997" s="76"/>
    </row>
    <row r="998" spans="1:12" hidden="1" outlineLevel="2">
      <c r="B998" s="76"/>
    </row>
    <row r="999" spans="1:12" hidden="1" outlineLevel="2">
      <c r="B999" s="76"/>
    </row>
    <row r="1000" spans="1:12" hidden="1" outlineLevel="2">
      <c r="B1000" s="76"/>
    </row>
    <row r="1001" spans="1:12" hidden="1" outlineLevel="2">
      <c r="B1001" s="76"/>
    </row>
    <row r="1002" spans="1:12" hidden="1" outlineLevel="2">
      <c r="B1002" s="76"/>
    </row>
    <row r="1003" spans="1:12" hidden="1" outlineLevel="2">
      <c r="B1003" s="76"/>
    </row>
    <row r="1004" spans="1:12" hidden="1" outlineLevel="2">
      <c r="B1004" s="76"/>
    </row>
    <row r="1005" spans="1:12" hidden="1" outlineLevel="2">
      <c r="B1005" s="76"/>
    </row>
    <row r="1006" spans="1:12" ht="12" outlineLevel="1" thickBot="1">
      <c r="B1006" s="63"/>
      <c r="G1006" s="26"/>
      <c r="H1006" s="26"/>
      <c r="I1006" s="26"/>
      <c r="J1006" s="26"/>
    </row>
    <row r="1007" spans="1:12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J1007" si="795">PeriodTitle</f>
        <v>"0"</v>
      </c>
      <c r="G1007" s="19">
        <f t="shared" si="795"/>
        <v>2013</v>
      </c>
      <c r="H1007" s="19">
        <f t="shared" si="795"/>
        <v>2014</v>
      </c>
      <c r="I1007" s="19">
        <f t="shared" si="795"/>
        <v>2015</v>
      </c>
      <c r="J1007" s="19">
        <f t="shared" si="795"/>
        <v>2016</v>
      </c>
      <c r="K1007" s="19"/>
      <c r="L1007" s="92"/>
    </row>
    <row r="1008" spans="1:12" ht="12" outlineLevel="1" thickTop="1"/>
    <row r="1009" spans="1:10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1747</v>
      </c>
      <c r="G1009" s="93">
        <f t="shared" ref="G1009:J1009" ca="1" si="796">IF(G959&gt;0,G769/IF(G$27=1,G959,(F959+G959)/2)*360/PRJ_Step,"-")</f>
        <v>0.16915666537232812</v>
      </c>
      <c r="H1009" s="93">
        <f t="shared" ca="1" si="796"/>
        <v>0.24544671294785836</v>
      </c>
      <c r="I1009" s="93">
        <f t="shared" ca="1" si="796"/>
        <v>0.27180865794312098</v>
      </c>
      <c r="J1009" s="93">
        <f t="shared" ca="1" si="796"/>
        <v>0.32773291317832259</v>
      </c>
    </row>
    <row r="1010" spans="1:10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1747</v>
      </c>
      <c r="G1010" s="93">
        <f t="shared" ref="G1010:J1010" ca="1" si="797">IF(G976&gt;0,G769/IF(G$27=1,G976,(F976+G976)/2)*360/PRJ_Step,"-")</f>
        <v>1</v>
      </c>
      <c r="H1010" s="93">
        <f t="shared" ca="1" si="797"/>
        <v>0.87887807867601309</v>
      </c>
      <c r="I1010" s="93">
        <f t="shared" ca="1" si="797"/>
        <v>0.53556265308215167</v>
      </c>
      <c r="J1010" s="93">
        <f t="shared" ca="1" si="797"/>
        <v>0.42169396026634048</v>
      </c>
    </row>
    <row r="1011" spans="1:10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1747</v>
      </c>
      <c r="G1011" s="93">
        <f t="shared" ref="G1011:J1011" ca="1" si="798">IF(G957&gt;0,G769/IF(G$27=1,G957,(F957+G957)/2)*360/PRJ_Step,"-")</f>
        <v>0.24290118903107863</v>
      </c>
      <c r="H1011" s="93">
        <f t="shared" ca="1" si="798"/>
        <v>0.42101062829426011</v>
      </c>
      <c r="I1011" s="93">
        <f t="shared" ca="1" si="798"/>
        <v>0.60074530757823796</v>
      </c>
      <c r="J1011" s="93">
        <f t="shared" ca="1" si="798"/>
        <v>0.87441963668919664</v>
      </c>
    </row>
    <row r="1012" spans="1:10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1747</v>
      </c>
      <c r="G1012" s="93">
        <f t="shared" ref="G1012:I1012" ca="1" si="799">IF(G750&gt;0,G751/G750,"-")</f>
        <v>0.58991681975308641</v>
      </c>
      <c r="H1012" s="93">
        <f t="shared" ca="1" si="799"/>
        <v>0.60602326195286205</v>
      </c>
      <c r="I1012" s="93">
        <f t="shared" ca="1" si="799"/>
        <v>0.59945250386695226</v>
      </c>
      <c r="J1012" s="93">
        <f t="shared" ref="J1012" ca="1" si="800">IF(J750&gt;0,J751/J750,"-")</f>
        <v>0.59347908742521649</v>
      </c>
    </row>
    <row r="1013" spans="1:10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1747</v>
      </c>
      <c r="G1013" s="93">
        <f t="shared" ref="G1013:I1013" ca="1" si="801">IF(G750&gt;0,G769/G750,"-")</f>
        <v>0.3280665441975309</v>
      </c>
      <c r="H1013" s="93">
        <f t="shared" ca="1" si="801"/>
        <v>0.23380029054994381</v>
      </c>
      <c r="I1013" s="93">
        <f t="shared" ca="1" si="801"/>
        <v>0.25461646849097036</v>
      </c>
      <c r="J1013" s="93">
        <f t="shared" ref="J1013" ca="1" si="802">IF(J750&gt;0,J769/J750,"-")</f>
        <v>0.29279525173201243</v>
      </c>
    </row>
    <row r="1014" spans="1:10" outlineLevel="1">
      <c r="G1014" s="6"/>
      <c r="H1014" s="6"/>
      <c r="I1014" s="6"/>
      <c r="J1014" s="6"/>
    </row>
    <row r="1015" spans="1:10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1747</v>
      </c>
      <c r="G1015" s="70">
        <f t="shared" ref="G1015:I1015" ca="1" si="803">IF(G751&gt;0,G767/G751,"-")</f>
        <v>0.69515424296353623</v>
      </c>
      <c r="H1015" s="70">
        <f t="shared" ca="1" si="803"/>
        <v>0.4822428139898064</v>
      </c>
      <c r="I1015" s="70">
        <f t="shared" ca="1" si="803"/>
        <v>0.53093545120023844</v>
      </c>
      <c r="J1015" s="70">
        <f t="shared" ref="J1015" ca="1" si="804">IF(J751&gt;0,J767/J751,"-")</f>
        <v>0.61669243688579678</v>
      </c>
    </row>
    <row r="1016" spans="1:10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1747</v>
      </c>
      <c r="G1016" s="70">
        <f t="shared" ref="G1016:I1016" ca="1" si="805">IF(G751&gt;0,G769/G751,"-")</f>
        <v>0.55612339437082903</v>
      </c>
      <c r="H1016" s="70">
        <f t="shared" ca="1" si="805"/>
        <v>0.38579425119184507</v>
      </c>
      <c r="I1016" s="70">
        <f t="shared" ca="1" si="805"/>
        <v>0.42474836096019075</v>
      </c>
      <c r="J1016" s="70">
        <f t="shared" ref="J1016" ca="1" si="806">IF(J751&gt;0,J769/J751,"-")</f>
        <v>0.49335394950863737</v>
      </c>
    </row>
    <row r="1017" spans="1:10" outlineLevel="1">
      <c r="G1017" s="6"/>
      <c r="H1017" s="6"/>
      <c r="I1017" s="6"/>
      <c r="J1017" s="6"/>
    </row>
    <row r="1018" spans="1:10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1747</v>
      </c>
      <c r="G1018" s="94">
        <f t="shared" ref="G1018:J1018" ca="1" si="807">IF(AND(G959&gt;0,G750&gt;0),G750/IF(G$27=1,G959,(F959+G959)/2)*360/PRJ_Step,"-")</f>
        <v>0.51561693310146817</v>
      </c>
      <c r="H1018" s="94">
        <f t="shared" ca="1" si="807"/>
        <v>1.049813549720233</v>
      </c>
      <c r="I1018" s="94">
        <f t="shared" ca="1" si="807"/>
        <v>1.0675219067880533</v>
      </c>
      <c r="J1018" s="94">
        <f t="shared" ca="1" si="807"/>
        <v>1.1193245492870481</v>
      </c>
    </row>
    <row r="1019" spans="1:10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1747</v>
      </c>
      <c r="G1019" s="94">
        <f t="shared" ref="G1019:J1019" ca="1" si="808">IF(AND(G976&gt;0,G750&gt;0),G750/IF(G$27=1,G976,(F976+G976)/2)*360/PRJ_Step,"-")</f>
        <v>3.0481620807938699</v>
      </c>
      <c r="H1019" s="94">
        <f t="shared" ca="1" si="808"/>
        <v>3.7590974613792003</v>
      </c>
      <c r="I1019" s="94">
        <f t="shared" ca="1" si="808"/>
        <v>2.1034093209141522</v>
      </c>
      <c r="J1019" s="94">
        <f t="shared" ca="1" si="808"/>
        <v>1.4402349688795693</v>
      </c>
    </row>
    <row r="1020" spans="1:10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1747</v>
      </c>
      <c r="G1020" s="94">
        <f t="shared" ref="G1020:J1020" ca="1" si="809">IF(AND(G957&gt;0,G750&gt;0),G750/IF(G$27=1,G957,(F957+G957)/2)*360/PRJ_Step,"-")</f>
        <v>0.74040219378427785</v>
      </c>
      <c r="H1020" s="94">
        <f t="shared" ca="1" si="809"/>
        <v>1.8007275666936133</v>
      </c>
      <c r="I1020" s="94">
        <f t="shared" ca="1" si="809"/>
        <v>2.3594126143476166</v>
      </c>
      <c r="J1020" s="94">
        <f t="shared" ca="1" si="809"/>
        <v>2.9864542936288099</v>
      </c>
    </row>
    <row r="1021" spans="1:10" outlineLevel="1">
      <c r="G1021" s="6"/>
      <c r="H1021" s="6"/>
      <c r="I1021" s="6"/>
      <c r="J1021" s="6"/>
    </row>
    <row r="1022" spans="1:10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1747</v>
      </c>
      <c r="G1022" s="96" t="str">
        <f t="shared" ref="G1022:J1022" ca="1" si="810">IF(AND(G943&gt;0,G750&gt;0),IF(G$27=1,G943,(F943+G943)/2)/G750*PRJ_Step,"-")</f>
        <v>-</v>
      </c>
      <c r="H1022" s="96" t="str">
        <f t="shared" ca="1" si="810"/>
        <v>-</v>
      </c>
      <c r="I1022" s="96" t="str">
        <f t="shared" ca="1" si="810"/>
        <v>-</v>
      </c>
      <c r="J1022" s="96" t="str">
        <f t="shared" ca="1" si="810"/>
        <v>-</v>
      </c>
    </row>
    <row r="1023" spans="1:10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1747</v>
      </c>
      <c r="G1023" s="96" t="str">
        <f t="shared" ref="G1023:J1023" ca="1" si="811">IF(AND(G961&gt;0,G751&gt;0),IF(G$27=1,G961,(F961+G961)/2)/G751*PRJ_Step,"-")</f>
        <v>-</v>
      </c>
      <c r="H1023" s="96" t="str">
        <f t="shared" ca="1" si="811"/>
        <v>-</v>
      </c>
      <c r="I1023" s="96" t="str">
        <f t="shared" ca="1" si="811"/>
        <v>-</v>
      </c>
      <c r="J1023" s="96" t="str">
        <f t="shared" ca="1" si="811"/>
        <v>-</v>
      </c>
    </row>
    <row r="1024" spans="1:10" outlineLevel="1">
      <c r="G1024" s="6"/>
      <c r="H1024" s="6"/>
      <c r="I1024" s="6"/>
      <c r="J1024" s="6"/>
    </row>
    <row r="1025" spans="1:11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1747</v>
      </c>
      <c r="G1025" s="94">
        <f t="shared" ref="G1025:I1025" ca="1" si="812">IF(G969&gt;0,G951/G969,"-")</f>
        <v>5.9676558717503365</v>
      </c>
      <c r="H1025" s="94">
        <f t="shared" ca="1" si="812"/>
        <v>7.8132647483884856</v>
      </c>
      <c r="I1025" s="94">
        <f t="shared" ca="1" si="812"/>
        <v>6.8595108151082789</v>
      </c>
      <c r="J1025" s="94">
        <f t="shared" ref="J1025" ca="1" si="813">IF(J969&gt;0,J951/J969,"-")</f>
        <v>6.9818688572026337</v>
      </c>
    </row>
    <row r="1026" spans="1:11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1747</v>
      </c>
      <c r="G1026" s="94">
        <f t="shared" ref="G1026:I1026" ca="1" si="814">IF(G969&gt;0,(G942+G943+G945)/G969,"-")</f>
        <v>4.325008444218791</v>
      </c>
      <c r="H1026" s="94">
        <f t="shared" ca="1" si="814"/>
        <v>7.1474240783798662</v>
      </c>
      <c r="I1026" s="94">
        <f t="shared" ca="1" si="814"/>
        <v>6.4756100475575185</v>
      </c>
      <c r="J1026" s="94">
        <f t="shared" ref="J1026" ca="1" si="815">IF(J969&gt;0,(J942+J943+J945)/J969,"-")</f>
        <v>6.7729310745320515</v>
      </c>
    </row>
    <row r="1027" spans="1:11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1747</v>
      </c>
      <c r="G1027" s="94">
        <f t="shared" ref="G1027:I1027" ca="1" si="816">IF(G969&gt;0,G942/G969,"-")</f>
        <v>4.325008444218791</v>
      </c>
      <c r="H1027" s="94">
        <f t="shared" ca="1" si="816"/>
        <v>7.1474240783798662</v>
      </c>
      <c r="I1027" s="94">
        <f t="shared" ca="1" si="816"/>
        <v>6.4756100475575185</v>
      </c>
      <c r="J1027" s="94">
        <f t="shared" ref="J1027" ca="1" si="817">IF(J969&gt;0,J942/J969,"-")</f>
        <v>6.7729310745320515</v>
      </c>
    </row>
    <row r="1028" spans="1:11" outlineLevel="1">
      <c r="A1028" s="2" t="str">
        <f ca="1">OFFSET(Язык!$A$499,0,LANGUAGE)</f>
        <v>Чистый оборотный капитал</v>
      </c>
      <c r="C1028" s="6" t="str">
        <f ca="1">CUR_Report</f>
        <v>$</v>
      </c>
      <c r="D1028" s="2" t="s">
        <v>1747</v>
      </c>
      <c r="G1028" s="95">
        <f t="shared" ref="G1028:I1028" ca="1" si="818">G951-G969</f>
        <v>177238.34857142859</v>
      </c>
      <c r="H1028" s="95">
        <f t="shared" ca="1" si="818"/>
        <v>365449.1154285713</v>
      </c>
      <c r="I1028" s="95">
        <f t="shared" ca="1" si="818"/>
        <v>408832.68754285708</v>
      </c>
      <c r="J1028" s="95">
        <f t="shared" ref="J1028" ca="1" si="819">J951-J969</f>
        <v>511248.30258285708</v>
      </c>
    </row>
    <row r="1029" spans="1:11" outlineLevel="1">
      <c r="G1029" s="6"/>
      <c r="H1029" s="6"/>
      <c r="I1029" s="6"/>
      <c r="J1029" s="6"/>
    </row>
    <row r="1030" spans="1:11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1747</v>
      </c>
      <c r="G1030" s="94">
        <f t="shared" ref="G1030:I1030" ca="1" si="820">IF(G978&gt;0,G976/G978,"-")</f>
        <v>0.16915666537232812</v>
      </c>
      <c r="H1030" s="94">
        <f t="shared" ca="1" si="820"/>
        <v>0.37411343073471626</v>
      </c>
      <c r="I1030" s="94">
        <f t="shared" ca="1" si="820"/>
        <v>0.63915651079095537</v>
      </c>
      <c r="J1030" s="94">
        <f t="shared" ref="J1030" ca="1" si="821">IF(J978&gt;0,J976/J978,"-")</f>
        <v>0.9044802620852973</v>
      </c>
    </row>
    <row r="1031" spans="1:11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1747</v>
      </c>
      <c r="G1031" s="94">
        <f t="shared" ref="G1031:I1031" ca="1" si="822">IF((G969+G971)&gt;0,G976/(G969+G971),"-")</f>
        <v>0.20359634400645793</v>
      </c>
      <c r="H1031" s="94">
        <f t="shared" ca="1" si="822"/>
        <v>0.59773359759721445</v>
      </c>
      <c r="I1031" s="94">
        <f t="shared" ca="1" si="822"/>
        <v>1.7712845870988625</v>
      </c>
      <c r="J1031" s="94">
        <f t="shared" ref="J1031" ca="1" si="823">IF((J969+J971)&gt;0,J976/(J969+J971),"-")</f>
        <v>9.4690404499746581</v>
      </c>
    </row>
    <row r="1032" spans="1:11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1747</v>
      </c>
      <c r="G1032" s="70">
        <f t="shared" ref="G1032:I1032" ca="1" si="824">IF(G978&gt;0,G971/G978,"-")</f>
        <v>0.7799692787537863</v>
      </c>
      <c r="H1032" s="70">
        <f t="shared" ca="1" si="824"/>
        <v>0.56001385223737932</v>
      </c>
      <c r="I1032" s="70">
        <f t="shared" ca="1" si="824"/>
        <v>0.27629252866591592</v>
      </c>
      <c r="J1032" s="70">
        <f t="shared" ref="J1032" ca="1" si="825">IF(J978&gt;0,J971/J978,"-")</f>
        <v>0</v>
      </c>
    </row>
    <row r="1033" spans="1:11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1747</v>
      </c>
      <c r="G1033" s="94" t="str">
        <f t="shared" ref="G1033:I1033" si="826">IF((-G880-G863)&gt;0,(G886-G880-G863)/(-G880-G863),"-")</f>
        <v>-</v>
      </c>
      <c r="H1033" s="94">
        <f t="shared" ca="1" si="826"/>
        <v>2.3400502302619732</v>
      </c>
      <c r="I1033" s="94">
        <f t="shared" ca="1" si="826"/>
        <v>1.231462514157573</v>
      </c>
      <c r="J1033" s="94">
        <f t="shared" ref="J1033" ca="1" si="827">IF((-J880-J863)&gt;0,(J886-J880-J863)/(-J880-J863),"-")</f>
        <v>1.4849630786200394</v>
      </c>
    </row>
    <row r="1034" spans="1:11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1747</v>
      </c>
      <c r="E1034" s="43"/>
      <c r="F1034" s="43"/>
      <c r="G1034" s="163" t="str">
        <f t="shared" ref="G1034:I1034" ca="1" si="828">IF(G763&gt;0,(G767+G763)/G763,"-")</f>
        <v>-</v>
      </c>
      <c r="H1034" s="163">
        <f t="shared" ca="1" si="828"/>
        <v>4.0359833041077469</v>
      </c>
      <c r="I1034" s="163">
        <f t="shared" ca="1" si="828"/>
        <v>5.3627064446831367</v>
      </c>
      <c r="J1034" s="163">
        <f t="shared" ref="J1034" ca="1" si="829">IF(J763&gt;0,(J767+J763)/J763,"-")</f>
        <v>12.037131362334405</v>
      </c>
      <c r="K1034" s="43"/>
    </row>
    <row r="1035" spans="1:11" outlineLevel="1"/>
    <row r="1036" spans="1:11" outlineLevel="1" collapsed="1">
      <c r="A1036" s="37" t="str">
        <f ca="1">OFFSET(Язык!$A$505,0,LANGUAGE)</f>
        <v>График: Ликвидность</v>
      </c>
      <c r="B1036" s="76"/>
    </row>
    <row r="1037" spans="1:11" hidden="1" outlineLevel="2">
      <c r="B1037" s="76"/>
    </row>
    <row r="1038" spans="1:11" hidden="1" outlineLevel="2">
      <c r="B1038" s="76"/>
    </row>
    <row r="1039" spans="1:11" hidden="1" outlineLevel="2">
      <c r="B1039" s="76"/>
    </row>
    <row r="1040" spans="1:11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 t="str">
        <f ca="1">OFFSET(Язык!$A$506,0,LANGUAGE)</f>
        <v>График: Рентабельность активов</v>
      </c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 t="str">
        <f ca="1">OFFSET(Язык!$A$507,0,LANGUAGE)</f>
        <v>График: Чистый оборотный капитал</v>
      </c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2" hidden="1" outlineLevel="2">
      <c r="B1105" s="76"/>
    </row>
    <row r="1106" spans="1:12" hidden="1" outlineLevel="2">
      <c r="B1106" s="76"/>
    </row>
    <row r="1107" spans="1:12" hidden="1" outlineLevel="2">
      <c r="B1107" s="76"/>
    </row>
    <row r="1108" spans="1:12" hidden="1" outlineLevel="2">
      <c r="B1108" s="76"/>
    </row>
    <row r="1109" spans="1:12" hidden="1" outlineLevel="2">
      <c r="B1109" s="76"/>
    </row>
    <row r="1110" spans="1:12" outlineLevel="1"/>
    <row r="1111" spans="1:12" ht="12" outlineLevel="1" thickBot="1"/>
    <row r="1112" spans="1:12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J1112" si="830">PeriodTitle</f>
        <v>"0"</v>
      </c>
      <c r="G1112" s="19">
        <f t="shared" si="830"/>
        <v>2013</v>
      </c>
      <c r="H1112" s="19">
        <f t="shared" si="830"/>
        <v>2014</v>
      </c>
      <c r="I1112" s="19">
        <f t="shared" si="830"/>
        <v>2015</v>
      </c>
      <c r="J1112" s="19">
        <f t="shared" si="830"/>
        <v>2016</v>
      </c>
      <c r="K1112" s="19"/>
      <c r="L1112" s="23" t="str">
        <f ca="1">OFFSET(Язык!$A$77,0,LANGUAGE)</f>
        <v>ИТОГО</v>
      </c>
    </row>
    <row r="1113" spans="1:12" ht="12" outlineLevel="1" thickTop="1"/>
    <row r="1114" spans="1:12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2" outlineLevel="1">
      <c r="A1115" s="47" t="str">
        <f ca="1">OFFSET(Язык!$A$849,0,LANGUAGE)</f>
        <v>Учитывать стоимость существующих основных фондов</v>
      </c>
      <c r="B1115" s="218">
        <v>0</v>
      </c>
      <c r="C1115" s="91" t="str">
        <f ca="1">OFFSET(Язык!$A$671,B1115,LANGUAGE)</f>
        <v>нет</v>
      </c>
    </row>
    <row r="1116" spans="1:12" outlineLevel="1">
      <c r="A1116" s="47" t="str">
        <f ca="1">OFFSET(Язык!$A$850,0,LANGUAGE)</f>
        <v>Учитывать остаточную стоимость проекта</v>
      </c>
      <c r="B1116" s="218">
        <v>0</v>
      </c>
      <c r="C1116" s="91" t="str">
        <f ca="1">OFFSET(Язык!$A$671,B1116,LANGUAGE)</f>
        <v>нет</v>
      </c>
    </row>
    <row r="1117" spans="1:12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2" outlineLevel="1" collapsed="1">
      <c r="A1118" s="47" t="str">
        <f ca="1">OFFSET(Язык!$A$512,0,LANGUAGE)</f>
        <v>Годовая ставка дисконтирования:</v>
      </c>
      <c r="B1118" s="24">
        <v>0.1</v>
      </c>
      <c r="F1118" s="65">
        <f>SENS_Discount</f>
        <v>0.1</v>
      </c>
      <c r="G1118" s="65">
        <f t="shared" ref="G1118:J1118" si="831">F1118</f>
        <v>0.1</v>
      </c>
      <c r="H1118" s="65">
        <f t="shared" si="831"/>
        <v>0.1</v>
      </c>
      <c r="I1118" s="65">
        <f t="shared" si="831"/>
        <v>0.1</v>
      </c>
      <c r="J1118" s="65">
        <f t="shared" si="831"/>
        <v>0.1</v>
      </c>
    </row>
    <row r="1119" spans="1:12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 t="shared" ref="G1119:I1119" si="832">POWER(1+G1118,PRJ_Step/360)-1</f>
        <v>0.10000000000000009</v>
      </c>
      <c r="H1119" s="66">
        <f t="shared" si="832"/>
        <v>0.10000000000000009</v>
      </c>
      <c r="I1119" s="66">
        <f t="shared" si="832"/>
        <v>0.10000000000000009</v>
      </c>
      <c r="J1119" s="66">
        <f t="shared" ref="J1119" si="833">POWER(1+J1118,PRJ_Step/360)-1</f>
        <v>0.10000000000000009</v>
      </c>
    </row>
    <row r="1120" spans="1:12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1747</v>
      </c>
      <c r="F1120" s="100">
        <v>1</v>
      </c>
      <c r="G1120" s="100">
        <f t="shared" ref="G1120:J1120" si="834">F1120*(1+G1119)</f>
        <v>1.1000000000000001</v>
      </c>
      <c r="H1120" s="100">
        <f t="shared" si="834"/>
        <v>1.2100000000000002</v>
      </c>
      <c r="I1120" s="100">
        <f t="shared" si="834"/>
        <v>1.3310000000000004</v>
      </c>
      <c r="J1120" s="100">
        <f t="shared" si="834"/>
        <v>1.4641000000000006</v>
      </c>
    </row>
    <row r="1121" spans="1:12" outlineLevel="1"/>
    <row r="1122" spans="1:12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2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ca="1">IF($E1123=1,F867*IF(CUR_I_Report&lt;&gt;$B$1117,IF(CUR_I_Report=2,F$98,1/F$98),1),"")</f>
        <v>0</v>
      </c>
      <c r="G1123" s="26">
        <f ca="1">IF($E1123=1,G867*IF(CUR_I_Report&lt;&gt;$B$1117,IF(CUR_I_Report=2,G$98,1/G$98),1),"")</f>
        <v>118631.20571428572</v>
      </c>
      <c r="H1123" s="26">
        <f ca="1">IF($E1123=1,H867*IF(CUR_I_Report&lt;&gt;$B$1117,IF(CUR_I_Report=2,H$98,1/H$98),1),"")</f>
        <v>302103.62399999989</v>
      </c>
      <c r="I1123" s="26">
        <f ca="1">IF($E1123=1,I867*IF(CUR_I_Report&lt;&gt;$B$1117,IF(CUR_I_Report=2,I$98,1/I$98),1),"")</f>
        <v>280312.1435428572</v>
      </c>
      <c r="J1123" s="26">
        <f ca="1">IF($E1123=1,J867*IF(CUR_I_Report&lt;&gt;$B$1117,IF(CUR_I_Report=2,J$98,1/J$98),1),"")</f>
        <v>339344.18646857148</v>
      </c>
    </row>
    <row r="1124" spans="1:12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>IF($E1124=1,-F863*IF(CUR_I_Report&lt;&gt;$B$1117,IF(CUR_I_Report=2,F$98,1/F$98),1),"")</f>
        <v>0</v>
      </c>
      <c r="G1124" s="26">
        <f>IF($E1124=1,-G863*IF(CUR_I_Report&lt;&gt;$B$1117,IF(CUR_I_Report=2,G$98,1/G$98),1),"")</f>
        <v>0</v>
      </c>
      <c r="H1124" s="26">
        <f>IF($E1124=1,-H863*IF(CUR_I_Report&lt;&gt;$B$1117,IF(CUR_I_Report=2,H$98,1/H$98),1),"")</f>
        <v>76580.000000000015</v>
      </c>
      <c r="I1124" s="26">
        <f>IF($E1124=1,-I863*IF(CUR_I_Report&lt;&gt;$B$1117,IF(CUR_I_Report=2,I$98,1/I$98),1),"")</f>
        <v>63840.000000000007</v>
      </c>
      <c r="J1124" s="26">
        <f>IF($E1124=1,-J863*IF(CUR_I_Report&lt;&gt;$B$1117,IF(CUR_I_Report=2,J$98,1/J$98),1),"")</f>
        <v>31920.000000000004</v>
      </c>
    </row>
    <row r="1125" spans="1:12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>IF($E1125=1,F875*IF(CUR_I_Report&lt;&gt;$B$1117,IF(CUR_I_Report=2,F$98,1/F$98),1),"")</f>
        <v>0</v>
      </c>
      <c r="G1125" s="26">
        <f ca="1">IF($E1125=1,G875*IF(CUR_I_Report&lt;&gt;$B$1117,IF(CUR_I_Report=2,G$98,1/G$98),1),"")</f>
        <v>-515791.43305555556</v>
      </c>
      <c r="H1125" s="26">
        <f ca="1">IF($E1125=1,H875*IF(CUR_I_Report&lt;&gt;$B$1117,IF(CUR_I_Report=2,H$98,1/H$98),1),"")</f>
        <v>13461.993587301564</v>
      </c>
      <c r="I1125" s="26">
        <f ca="1">IF($E1125=1,I875*IF(CUR_I_Report&lt;&gt;$B$1117,IF(CUR_I_Report=2,I$98,1/I$98),1),"")</f>
        <v>15237.876588888925</v>
      </c>
      <c r="J1125" s="26">
        <f ca="1">IF($E1125=1,J875*IF(CUR_I_Report&lt;&gt;$B$1117,IF(CUR_I_Report=2,J$98,1/J$98),1),"")</f>
        <v>14707.416926349171</v>
      </c>
    </row>
    <row r="1126" spans="1:12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>IF($E1126=1,F877*IF(CUR_I_Report&lt;&gt;$B$1117,IF(CUR_I_Report=2,F$98,1/F$98),1),"")</f>
        <v/>
      </c>
      <c r="G1126" s="26" t="str">
        <f>IF($E1126=1,G877*IF(CUR_I_Report&lt;&gt;$B$1117,IF(CUR_I_Report=2,G$98,1/G$98),1),"")</f>
        <v/>
      </c>
      <c r="H1126" s="26" t="str">
        <f>IF($E1126=1,H877*IF(CUR_I_Report&lt;&gt;$B$1117,IF(CUR_I_Report=2,H$98,1/H$98),1),"")</f>
        <v/>
      </c>
      <c r="I1126" s="26" t="str">
        <f>IF($E1126=1,I877*IF(CUR_I_Report&lt;&gt;$B$1117,IF(CUR_I_Report=2,I$98,1/I$98),1),"")</f>
        <v/>
      </c>
      <c r="J1126" s="26" t="str">
        <f>IF($E1126=1,J877*IF(CUR_I_Report&lt;&gt;$B$1117,IF(CUR_I_Report=2,J$98,1/J$98),1),"")</f>
        <v/>
      </c>
    </row>
    <row r="1127" spans="1:12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J1130" si="835">IF($E1127=1,F879*IF(CUR_I_Report&lt;&gt;$B$1117,IF(CUR_I_Report=2,F$98,1/F$98),1),"")</f>
        <v/>
      </c>
      <c r="G1127" s="26" t="str">
        <f t="shared" si="835"/>
        <v/>
      </c>
      <c r="H1127" s="26" t="str">
        <f t="shared" si="835"/>
        <v/>
      </c>
      <c r="I1127" s="26" t="str">
        <f t="shared" si="835"/>
        <v/>
      </c>
      <c r="J1127" s="26" t="str">
        <f t="shared" si="835"/>
        <v/>
      </c>
    </row>
    <row r="1128" spans="1:12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si="835"/>
        <v/>
      </c>
      <c r="G1128" s="26" t="str">
        <f t="shared" si="835"/>
        <v/>
      </c>
      <c r="H1128" s="26" t="str">
        <f t="shared" si="835"/>
        <v/>
      </c>
      <c r="I1128" s="26" t="str">
        <f t="shared" si="835"/>
        <v/>
      </c>
      <c r="J1128" s="26" t="str">
        <f t="shared" si="835"/>
        <v/>
      </c>
    </row>
    <row r="1129" spans="1:12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ca="1" si="835"/>
        <v>0</v>
      </c>
      <c r="G1129" s="26">
        <f t="shared" ca="1" si="835"/>
        <v>0</v>
      </c>
      <c r="H1129" s="26">
        <f t="shared" ca="1" si="835"/>
        <v>0</v>
      </c>
      <c r="I1129" s="26">
        <f t="shared" ca="1" si="835"/>
        <v>0</v>
      </c>
      <c r="J1129" s="26">
        <f t="shared" ca="1" si="835"/>
        <v>0</v>
      </c>
    </row>
    <row r="1130" spans="1:12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si="835"/>
        <v/>
      </c>
      <c r="G1130" s="26" t="str">
        <f t="shared" si="835"/>
        <v/>
      </c>
      <c r="H1130" s="26" t="str">
        <f t="shared" si="835"/>
        <v/>
      </c>
      <c r="I1130" s="26" t="str">
        <f t="shared" si="835"/>
        <v/>
      </c>
      <c r="J1130" s="26" t="str">
        <f t="shared" si="835"/>
        <v/>
      </c>
    </row>
    <row r="1131" spans="1:12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</row>
    <row r="1132" spans="1:12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>IF(AND($E1132=1,G$27=PRJ_Len),(G976-G942)*IF(CUR_I_Report&lt;&gt;$B$1117,IF(CUR_I_Report=2,G$98,1/G$98),1),"")</f>
        <v/>
      </c>
      <c r="H1132" s="57" t="str">
        <f>IF(AND($E1132=1,H$27=PRJ_Len),(H976-H942)*IF(CUR_I_Report&lt;&gt;$B$1117,IF(CUR_I_Report=2,H$98,1/H$98),1),"")</f>
        <v/>
      </c>
      <c r="I1132" s="57" t="str">
        <f>IF(AND($E1132=1,I$27=PRJ_Len),(I976-I942)*IF(CUR_I_Report&lt;&gt;$B$1117,IF(CUR_I_Report=2,I$98,1/I$98),1),"")</f>
        <v/>
      </c>
      <c r="J1132" s="57" t="str">
        <f>IF(AND($E1132=1,J$27=PRJ_Len),(J976-J942)*IF(CUR_I_Report&lt;&gt;$B$1117,IF(CUR_I_Report=2,J$98,1/J$98),1),"")</f>
        <v/>
      </c>
      <c r="K1132" s="43"/>
      <c r="L1132" s="43"/>
    </row>
    <row r="1133" spans="1:12" outlineLevel="1"/>
    <row r="1134" spans="1:12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ca="1">SUMIF($E1123:$E1132,1,F1123:F1132)*IF(CalcMethod=1,IF($B$1117=1,F$93,F$103),1)</f>
        <v>0</v>
      </c>
      <c r="G1134" s="26">
        <f ca="1">SUMIF($E1123:$E1132,1,G1123:G1132)*IF(CalcMethod=1,IF($B$1117=1,G$93,G$103),1)</f>
        <v>-397160.22734126984</v>
      </c>
      <c r="H1134" s="26">
        <f ca="1">SUMIF($E1123:$E1132,1,H1123:H1132)*IF(CalcMethod=1,IF($B$1117=1,H$93,H$103),1)</f>
        <v>392145.61758730147</v>
      </c>
      <c r="I1134" s="26">
        <f ca="1">SUMIF($E1123:$E1132,1,I1123:I1132)*IF(CalcMethod=1,IF($B$1117=1,I$93,I$103),1)</f>
        <v>359390.02013174613</v>
      </c>
      <c r="J1134" s="26">
        <f ca="1">SUMIF($E1123:$E1132,1,J1123:J1132)*IF(CalcMethod=1,IF($B$1117=1,J$93,J$103),1)</f>
        <v>385971.60339492065</v>
      </c>
    </row>
    <row r="1135" spans="1:12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I1135" ca="1" si="836">F1134/F1120</f>
        <v>0</v>
      </c>
      <c r="G1135" s="26">
        <f t="shared" ca="1" si="836"/>
        <v>-361054.75212842709</v>
      </c>
      <c r="H1135" s="26">
        <f t="shared" ca="1" si="836"/>
        <v>324087.28726223257</v>
      </c>
      <c r="I1135" s="26">
        <f t="shared" ca="1" si="836"/>
        <v>270015.04142129677</v>
      </c>
      <c r="J1135" s="26">
        <f t="shared" ref="J1135" ca="1" si="837">J1134/J1120</f>
        <v>263623.79850756127</v>
      </c>
      <c r="L1135" s="30">
        <f ca="1">SUM(F1135:J1135)</f>
        <v>496671.37506266352</v>
      </c>
    </row>
    <row r="1136" spans="1:12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1737</v>
      </c>
      <c r="F1136" s="26">
        <f t="shared" ref="F1136:J1136" ca="1" si="838">E1136+F1135</f>
        <v>0</v>
      </c>
      <c r="G1136" s="26">
        <f t="shared" ca="1" si="838"/>
        <v>-361054.75212842709</v>
      </c>
      <c r="H1136" s="26">
        <f t="shared" ca="1" si="838"/>
        <v>-36967.464866194525</v>
      </c>
      <c r="I1136" s="26">
        <f t="shared" ca="1" si="838"/>
        <v>233047.57655510225</v>
      </c>
      <c r="J1136" s="26">
        <f t="shared" ca="1" si="838"/>
        <v>496671.37506266352</v>
      </c>
    </row>
    <row r="1137" spans="1:12" outlineLevel="1">
      <c r="F1137" s="26"/>
      <c r="G1137" s="26"/>
      <c r="H1137" s="26"/>
      <c r="I1137" s="26"/>
      <c r="J1137" s="26"/>
    </row>
    <row r="1138" spans="1:12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2.0139531135342326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2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J1139" ca="1" si="839">E1139+F1134</f>
        <v>0</v>
      </c>
      <c r="G1139" s="26">
        <f t="shared" ca="1" si="839"/>
        <v>-397160.22734126984</v>
      </c>
      <c r="H1139" s="26">
        <f t="shared" ca="1" si="839"/>
        <v>-5014.6097539683688</v>
      </c>
      <c r="I1139" s="26">
        <f t="shared" ca="1" si="839"/>
        <v>354375.41037777776</v>
      </c>
      <c r="J1139" s="26">
        <f t="shared" ca="1" si="839"/>
        <v>740347.01377269835</v>
      </c>
    </row>
    <row r="1140" spans="1:12" hidden="1" outlineLevel="2">
      <c r="A1140" s="47" t="str">
        <f ca="1">OFFSET(Язык!$A$528,0,LANGUAGE)</f>
        <v xml:space="preserve">    знак остатка денежных средств</v>
      </c>
      <c r="D1140" s="2" t="s">
        <v>1737</v>
      </c>
      <c r="E1140" s="2">
        <f ca="1">(MATCH(1,F1140:J1140,0)-1)</f>
        <v>3</v>
      </c>
      <c r="F1140" s="2">
        <f t="shared" ref="F1140:I1140" ca="1" si="840">SIGN(F1139)</f>
        <v>0</v>
      </c>
      <c r="G1140" s="2">
        <f t="shared" ca="1" si="840"/>
        <v>-1</v>
      </c>
      <c r="H1140" s="2">
        <f t="shared" ca="1" si="840"/>
        <v>-1</v>
      </c>
      <c r="I1140" s="2">
        <f t="shared" ca="1" si="840"/>
        <v>1</v>
      </c>
      <c r="J1140" s="2">
        <f t="shared" ref="J1140" ca="1" si="841">SIGN(J1139)</f>
        <v>1</v>
      </c>
    </row>
    <row r="1141" spans="1:12" outlineLevel="1">
      <c r="F1141" s="26"/>
      <c r="G1141" s="26"/>
      <c r="H1141" s="26"/>
      <c r="I1141" s="26"/>
      <c r="J1141" s="26"/>
    </row>
    <row r="1142" spans="1:12" outlineLevel="1">
      <c r="A1142" s="32" t="str">
        <f ca="1">OFFSET(Язык!$A$529,0,LANGUAGE)</f>
        <v>Чистая приведенная стоимость (NPV)</v>
      </c>
      <c r="B1142" s="53">
        <f ca="1">L1135</f>
        <v>496671.37506266352</v>
      </c>
      <c r="C1142" s="63" t="str">
        <f ca="1">C1117</f>
        <v>$</v>
      </c>
    </row>
    <row r="1143" spans="1:12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2.1369089094874356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2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1737</v>
      </c>
      <c r="E1144" s="2">
        <f ca="1">(MATCH(1,F1144:J1144,0)-1)</f>
        <v>3</v>
      </c>
      <c r="F1144" s="2">
        <f t="shared" ref="F1144:I1144" ca="1" si="842">SIGN(F1136)</f>
        <v>0</v>
      </c>
      <c r="G1144" s="2">
        <f t="shared" ca="1" si="842"/>
        <v>-1</v>
      </c>
      <c r="H1144" s="2">
        <f t="shared" ca="1" si="842"/>
        <v>-1</v>
      </c>
      <c r="I1144" s="2">
        <f t="shared" ca="1" si="842"/>
        <v>1</v>
      </c>
      <c r="J1144" s="2">
        <f t="shared" ref="J1144" ca="1" si="843">SIGN(J1136)</f>
        <v>1</v>
      </c>
    </row>
    <row r="1145" spans="1:12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0.79383544016304719</v>
      </c>
      <c r="E1145" s="2">
        <f ca="1">(POWER(1+IRR(F1134:J1134,0.2*PRJ_Step/360),360/PRJ_Step)-1)</f>
        <v>0.79383544016304719</v>
      </c>
    </row>
    <row r="1146" spans="1:12" outlineLevel="1"/>
    <row r="1147" spans="1:12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IF(L1149&gt;0,NPV/L1149,OFFSET(Язык!$A$549,0,LANGUAGE))</f>
        <v>1.1384185205246087</v>
      </c>
    </row>
    <row r="1148" spans="1:12" hidden="1" outlineLevel="2">
      <c r="A1148" s="47" t="str">
        <f ca="1">OFFSET(Язык!$A$534,0,LANGUAGE)</f>
        <v xml:space="preserve">    инвестиции</v>
      </c>
      <c r="F1148" s="26">
        <f t="shared" ref="F1148:I1148" si="844">-(F869+F870+F871+F872)</f>
        <v>0</v>
      </c>
      <c r="G1148" s="26">
        <f t="shared" ca="1" si="844"/>
        <v>515791.43305555556</v>
      </c>
      <c r="H1148" s="26">
        <f t="shared" ca="1" si="844"/>
        <v>-13461.993587301564</v>
      </c>
      <c r="I1148" s="26">
        <f t="shared" ca="1" si="844"/>
        <v>-15237.876588888925</v>
      </c>
      <c r="J1148" s="26">
        <f t="shared" ref="J1148" ca="1" si="845">-(J869+J870+J871+J872)</f>
        <v>-14707.416926349171</v>
      </c>
    </row>
    <row r="1149" spans="1:12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I1149" si="846">F1148/F1120</f>
        <v>0</v>
      </c>
      <c r="G1149" s="26">
        <f t="shared" ca="1" si="846"/>
        <v>468901.30277777778</v>
      </c>
      <c r="H1149" s="26">
        <f t="shared" ca="1" si="846"/>
        <v>-11125.614534959968</v>
      </c>
      <c r="I1149" s="26">
        <f t="shared" ca="1" si="846"/>
        <v>-11448.442215543892</v>
      </c>
      <c r="J1149" s="26">
        <f t="shared" ref="J1149" ca="1" si="847">J1148/J1120</f>
        <v>-10045.36365436047</v>
      </c>
      <c r="L1149" s="30">
        <f ca="1">SUM(F1149:J1149)</f>
        <v>436281.88237291347</v>
      </c>
    </row>
    <row r="1150" spans="1:12" outlineLevel="1">
      <c r="L1150" s="30"/>
    </row>
    <row r="1151" spans="1:12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0.36564109968253633</v>
      </c>
      <c r="E1151" s="74">
        <f ca="1">(POWER(1+MIRR(F1134:J1134,POWER(1+B1153,PRJ_Step/360)-1,POWER(1+B1152,PRJ_Step/360)-1),360/PRJ_Step)-1)</f>
        <v>0.36564109968253633</v>
      </c>
    </row>
    <row r="1152" spans="1:12" outlineLevel="1">
      <c r="A1152" s="47" t="str">
        <f ca="1">OFFSET(Язык!$A$537,0,LANGUAGE)</f>
        <v>Средневзвешенная стоимость капитала</v>
      </c>
      <c r="B1152" s="50">
        <f>B1118</f>
        <v>0.1</v>
      </c>
    </row>
    <row r="1153" spans="1:12" outlineLevel="1">
      <c r="A1153" s="162" t="str">
        <f ca="1">OFFSET(Язык!$A$538,0,LANGUAGE)</f>
        <v>Ставка дисконтирования инвестиционных затрат</v>
      </c>
      <c r="B1153" s="54">
        <f>B1118</f>
        <v>0.1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</row>
    <row r="1154" spans="1:12" outlineLevel="1"/>
    <row r="1155" spans="1:12" outlineLevel="1">
      <c r="A1155" s="37" t="str">
        <f ca="1">OFFSET(Язык!$A$539,0,LANGUAGE)</f>
        <v>График: Окупаемость проекта</v>
      </c>
      <c r="B1155" s="76"/>
    </row>
    <row r="1156" spans="1:12" outlineLevel="2">
      <c r="B1156" s="76"/>
    </row>
    <row r="1157" spans="1:12" outlineLevel="2">
      <c r="B1157" s="76"/>
    </row>
    <row r="1158" spans="1:12" outlineLevel="2">
      <c r="B1158" s="76"/>
    </row>
    <row r="1159" spans="1:12" outlineLevel="2">
      <c r="B1159" s="76"/>
    </row>
    <row r="1160" spans="1:12" outlineLevel="2">
      <c r="B1160" s="76"/>
    </row>
    <row r="1161" spans="1:12" outlineLevel="2">
      <c r="B1161" s="76"/>
    </row>
    <row r="1162" spans="1:12" outlineLevel="2">
      <c r="B1162" s="76"/>
    </row>
    <row r="1163" spans="1:12" outlineLevel="2">
      <c r="B1163" s="76"/>
    </row>
    <row r="1164" spans="1:12" outlineLevel="2">
      <c r="B1164" s="76"/>
    </row>
    <row r="1165" spans="1:12" outlineLevel="2">
      <c r="B1165" s="76"/>
    </row>
    <row r="1166" spans="1:12" outlineLevel="2">
      <c r="B1166" s="76"/>
    </row>
    <row r="1167" spans="1:12" outlineLevel="2">
      <c r="B1167" s="76"/>
    </row>
    <row r="1168" spans="1:12" outlineLevel="2">
      <c r="B1168" s="76"/>
    </row>
    <row r="1169" spans="1:12" outlineLevel="2">
      <c r="B1169" s="76"/>
    </row>
    <row r="1170" spans="1:12" outlineLevel="2">
      <c r="B1170" s="76"/>
    </row>
    <row r="1171" spans="1:12" outlineLevel="2">
      <c r="B1171" s="76"/>
    </row>
    <row r="1172" spans="1:12" outlineLevel="2">
      <c r="B1172" s="76"/>
    </row>
    <row r="1173" spans="1:12" outlineLevel="2">
      <c r="B1173" s="76"/>
    </row>
    <row r="1174" spans="1:12" outlineLevel="2">
      <c r="B1174" s="76"/>
    </row>
    <row r="1175" spans="1:12" outlineLevel="2">
      <c r="B1175" s="76"/>
    </row>
    <row r="1176" spans="1:12" outlineLevel="2">
      <c r="B1176" s="76"/>
    </row>
    <row r="1177" spans="1:12" outlineLevel="2">
      <c r="B1177" s="76"/>
    </row>
    <row r="1178" spans="1:12" outlineLevel="2">
      <c r="B1178" s="76"/>
    </row>
    <row r="1179" spans="1:12" outlineLevel="1"/>
    <row r="1180" spans="1:12" ht="12" outlineLevel="1" thickBot="1"/>
    <row r="1181" spans="1:12" ht="15.95" customHeight="1" collapsed="1" thickTop="1" thickBot="1">
      <c r="A1181" s="18"/>
      <c r="B1181" s="23"/>
      <c r="C1181" s="19"/>
      <c r="D1181" s="18"/>
      <c r="E1181" s="18"/>
      <c r="F1181" s="19" t="str">
        <f t="shared" ref="F1181:J1181" si="848">PeriodTitle</f>
        <v>"0"</v>
      </c>
      <c r="G1181" s="19">
        <f t="shared" si="848"/>
        <v>2013</v>
      </c>
      <c r="H1181" s="19">
        <f t="shared" si="848"/>
        <v>2014</v>
      </c>
      <c r="I1181" s="19">
        <f t="shared" si="848"/>
        <v>2015</v>
      </c>
      <c r="J1181" s="19">
        <f t="shared" si="848"/>
        <v>2016</v>
      </c>
      <c r="K1181" s="19"/>
      <c r="L1181" s="23" t="str">
        <f ca="1">OFFSET(Язык!$A$77,0,LANGUAGE)</f>
        <v>ИТОГО</v>
      </c>
    </row>
    <row r="1182" spans="1:12" ht="12.75" hidden="1" outlineLevel="1" thickTop="1" thickBot="1"/>
    <row r="1183" spans="1:12" ht="12.75" hidden="1" outlineLevel="1" thickTop="1" thickBot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2" ht="12.75" hidden="1" outlineLevel="1" collapsed="1" thickTop="1" thickBot="1">
      <c r="A1184" s="2" t="str">
        <f ca="1">OFFSET(Язык!$A$552,0,LANGUAGE)</f>
        <v>Расчеты ведутся для WACC</v>
      </c>
      <c r="B1184" s="50">
        <f>B1118</f>
        <v>0.1</v>
      </c>
      <c r="F1184" s="66">
        <f>B1184</f>
        <v>0.1</v>
      </c>
      <c r="G1184" s="65">
        <f t="shared" ref="G1184:J1184" si="849">F1184</f>
        <v>0.1</v>
      </c>
      <c r="H1184" s="65">
        <f t="shared" si="849"/>
        <v>0.1</v>
      </c>
      <c r="I1184" s="65">
        <f t="shared" si="849"/>
        <v>0.1</v>
      </c>
      <c r="J1184" s="65">
        <f t="shared" si="849"/>
        <v>0.1</v>
      </c>
    </row>
    <row r="1185" spans="1:12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 t="shared" ref="G1185:I1185" si="850">POWER(1+G1184,PRJ_Step/360)-1</f>
        <v>0.10000000000000009</v>
      </c>
      <c r="H1185" s="66">
        <f t="shared" si="850"/>
        <v>0.10000000000000009</v>
      </c>
      <c r="I1185" s="66">
        <f t="shared" si="850"/>
        <v>0.10000000000000009</v>
      </c>
      <c r="J1185" s="66">
        <f t="shared" ref="J1185" si="851">POWER(1+J1184,PRJ_Step/360)-1</f>
        <v>0.10000000000000009</v>
      </c>
    </row>
    <row r="1186" spans="1:12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1747</v>
      </c>
      <c r="F1186" s="100">
        <v>1</v>
      </c>
      <c r="G1186" s="100">
        <f t="shared" ref="G1186:J1186" si="852">F1186*(1+G1185)</f>
        <v>1.1000000000000001</v>
      </c>
      <c r="H1186" s="100">
        <f t="shared" si="852"/>
        <v>1.2100000000000002</v>
      </c>
      <c r="I1186" s="100">
        <f t="shared" si="852"/>
        <v>1.3310000000000004</v>
      </c>
      <c r="J1186" s="100">
        <f t="shared" si="852"/>
        <v>1.4641000000000006</v>
      </c>
    </row>
    <row r="1187" spans="1:12" ht="12.75" hidden="1" outlineLevel="1" thickTop="1" thickBot="1"/>
    <row r="1188" spans="1:12" ht="12.75" hidden="1" outlineLevel="1" thickTop="1" thickBot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2" ht="12.75" hidden="1" outlineLevel="1" thickTop="1" thickBot="1"/>
    <row r="1190" spans="1:12" ht="12.75" hidden="1" outlineLevel="1" thickTop="1" thickBot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ca="1">(F867+F875+F879+F880+F881)*IF(CUR_I_Report&lt;&gt;$B$1183,IF(CUR_I_Report=2,F$98,1/F$98),1)/F1186*IF(CalcMethod=1,IF($B$1183=1,F$93,F$103),1)</f>
        <v>0</v>
      </c>
      <c r="G1190" s="26">
        <f ca="1">(G867+G875+G879+G880+G881)*IF(CUR_I_Report&lt;&gt;$B$1183,IF(CUR_I_Report=2,G$98,1/G$98),1)/G1186*IF(CalcMethod=1,IF($B$1183=1,G$93,G$103),1)</f>
        <v>136217.97514430014</v>
      </c>
      <c r="H1190" s="26">
        <f ca="1">(H867+H875+H879+H880+H881)*IF(CUR_I_Report&lt;&gt;$B$1183,IF(CUR_I_Report=2,H$98,1/H$98),1)/H1186*IF(CalcMethod=1,IF($B$1183=1,H$93,H$103),1)</f>
        <v>185591.41949363754</v>
      </c>
      <c r="I1190" s="26">
        <f ca="1">(I867+I875+I879+I880+I881)*IF(CUR_I_Report&lt;&gt;$B$1183,IF(CUR_I_Report=2,I$98,1/I$98),1)/I1186*IF(CalcMethod=1,IF($B$1183=1,I$93,I$103),1)</f>
        <v>50751.329926180399</v>
      </c>
      <c r="J1190" s="26">
        <f ca="1">(J867+J875+J879+J880+J881)*IF(CUR_I_Report&lt;&gt;$B$1183,IF(CUR_I_Report=2,J$98,1/J$98),1)/J1186*IF(CalcMethod=1,IF($B$1183=1,J$93,J$103),1)</f>
        <v>86094.941189072197</v>
      </c>
      <c r="L1190" s="30">
        <f ca="1">SUM(F1190:J1190)</f>
        <v>458655.66575319029</v>
      </c>
    </row>
    <row r="1191" spans="1:12" ht="12.75" hidden="1" outlineLevel="1" thickTop="1" thickBot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>F882*IF(CUR_I_Report&lt;&gt;$B$1183,IF(CUR_I_Report=2,F$98,1/F$98),1)/F1186*IF(CalcMethod=1,IF($B$1183=1,F$93,F$103),1)</f>
        <v>0</v>
      </c>
      <c r="G1191" s="26">
        <f ca="1">G882*IF(CUR_I_Report&lt;&gt;$B$1183,IF(CUR_I_Report=2,G$98,1/G$98),1)/G1186*IF(CalcMethod=1,IF($B$1183=1,G$93,G$103),1)</f>
        <v>0</v>
      </c>
      <c r="H1191" s="26">
        <f ca="1">H882*IF(CUR_I_Report&lt;&gt;$B$1183,IF(CUR_I_Report=2,H$98,1/H$98),1)/H1186*IF(CalcMethod=1,IF($B$1183=1,H$93,H$103),1)</f>
        <v>0</v>
      </c>
      <c r="I1191" s="26">
        <f ca="1">I882*IF(CUR_I_Report&lt;&gt;$B$1183,IF(CUR_I_Report=2,I$98,1/I$98),1)/I1186*IF(CalcMethod=1,IF($B$1183=1,I$93,I$103),1)</f>
        <v>0</v>
      </c>
      <c r="J1191" s="26">
        <f ca="1">J882*IF(CUR_I_Report&lt;&gt;$B$1183,IF(CUR_I_Report=2,J$98,1/J$98),1)/J1186*IF(CalcMethod=1,IF($B$1183=1,J$93,J$103),1)</f>
        <v>0</v>
      </c>
      <c r="L1191" s="30">
        <f ca="1">SUM(F1191:J1191)</f>
        <v>0</v>
      </c>
    </row>
    <row r="1192" spans="1:12" ht="12.75" hidden="1" outlineLevel="1" thickTop="1" thickBot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1737</v>
      </c>
      <c r="F1192" s="26">
        <f ca="1">(F976-F942)*IF(CUR_I_Report&lt;&gt;$B$1183,IF(CUR_I_Report=2,F$98,1/F$98),1)/F1186*IF(CalcMethod=1,IF($B$1183=1,F$93,F$103),1)</f>
        <v>0</v>
      </c>
      <c r="G1192" s="26">
        <f ca="1">(G976-G942)*IF(CUR_I_Report&lt;&gt;$B$1183,IF(CUR_I_Report=2,G$98,1/G$98),1)/G1186*IF(CalcMethod=1,IF($B$1183=1,G$93,G$103),1)</f>
        <v>-32434.970454545452</v>
      </c>
      <c r="H1192" s="26">
        <f ca="1">(H976-H942)*IF(CUR_I_Report&lt;&gt;$B$1183,IF(CUR_I_Report=2,H$98,1/H$98),1)/H1186*IF(CalcMethod=1,IF($B$1183=1,H$93,H$103),1)</f>
        <v>-65078.535950413177</v>
      </c>
      <c r="I1192" s="26">
        <f ca="1">(I976-I942)*IF(CUR_I_Report&lt;&gt;$B$1183,IF(CUR_I_Report=2,I$98,1/I$98),1)/I1186*IF(CalcMethod=1,IF($B$1183=1,I$93,I$103),1)</f>
        <v>56814.697520661124</v>
      </c>
      <c r="J1192" s="26">
        <f ca="1">(J976-J942)*IF(CUR_I_Report&lt;&gt;$B$1183,IF(CUR_I_Report=2,J$98,1/J$98),1)/J1186*IF(CalcMethod=1,IF($B$1183=1,J$93,J$103),1)</f>
        <v>157384.42709611935</v>
      </c>
    </row>
    <row r="1193" spans="1:12" ht="12.75" hidden="1" outlineLevel="1" thickTop="1" thickBot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>F761*(1-ProfitTax)*IF(CUR_I_Report&lt;&gt;$B$1183,IF(CUR_I_Report=2,F$98,1/F$98),1)/F1186*IF(CalcMethod=1,IF($B$1183=1,F$93,F$103),1)</f>
        <v>0</v>
      </c>
      <c r="G1193" s="26">
        <f ca="1">G761*(1-ProfitTax)*IF(CUR_I_Report&lt;&gt;$B$1183,IF(CUR_I_Report=2,G$98,1/G$98),1)/G1186*IF(CalcMethod=1,IF($B$1183=1,G$93,G$103),1)</f>
        <v>107846.55064935065</v>
      </c>
      <c r="H1193" s="26">
        <f ca="1">H761*(1-ProfitTax)*IF(CUR_I_Report&lt;&gt;$B$1183,IF(CUR_I_Report=2,H$98,1/H$98),1)/H1186*IF(CalcMethod=1,IF($B$1183=1,H$93,H$103),1)</f>
        <v>207221.53105076731</v>
      </c>
      <c r="I1193" s="26">
        <f ca="1">I761*(1-ProfitTax)*IF(CUR_I_Report&lt;&gt;$B$1183,IF(CUR_I_Report=2,I$98,1/I$98),1)/I1186*IF(CalcMethod=1,IF($B$1183=1,I$93,I$103),1)</f>
        <v>210677.57913491465</v>
      </c>
      <c r="J1193" s="26">
        <f ca="1">J761*(1-ProfitTax)*IF(CUR_I_Report&lt;&gt;$B$1183,IF(CUR_I_Report=2,J$98,1/J$98),1)/J1186*IF(CalcMethod=1,IF($B$1183=1,J$93,J$103),1)</f>
        <v>213819.44102959387</v>
      </c>
    </row>
    <row r="1194" spans="1:12" ht="12.75" hidden="1" outlineLevel="1" thickTop="1" thickBot="1"/>
    <row r="1195" spans="1:12" ht="12.75" hidden="1" outlineLevel="1" thickTop="1" thickBot="1">
      <c r="A1195" s="32" t="str">
        <f ca="1">OFFSET(Язык!$A$560,0,LANGUAGE)</f>
        <v>Варианты оценки стоимости бизнеса</v>
      </c>
    </row>
    <row r="1196" spans="1:12" ht="12.75" hidden="1" outlineLevel="1" thickTop="1" thickBot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2" ht="12.75" hidden="1" outlineLevel="1" thickTop="1" thickBot="1">
      <c r="A1197" s="2" t="str">
        <f ca="1">OFFSET(Язык!$A$561,0,LANGUAGE)</f>
        <v>Оценка по NPV с учетом стоимости чистых активов</v>
      </c>
      <c r="B1197" s="95">
        <f ca="1">L1190+OFFSET(F1192,0,PRJ_Len)</f>
        <v>616040.09284930967</v>
      </c>
      <c r="C1197" s="24">
        <v>0.5</v>
      </c>
    </row>
    <row r="1198" spans="1:12" ht="12.75" hidden="1" outlineLevel="1" thickTop="1" thickBot="1">
      <c r="A1198" s="2" t="str">
        <f ca="1">OFFSET(Язык!$A$562,0,LANGUAGE)</f>
        <v>Оценка по NPV с учетом продленной стоимости:</v>
      </c>
    </row>
    <row r="1199" spans="1:12" ht="12.75" hidden="1" outlineLevel="1" thickTop="1" thickBot="1">
      <c r="A1199" s="2" t="str">
        <f ca="1">OFFSET(Язык!$A$563,0,LANGUAGE)</f>
        <v xml:space="preserve">    рассчитанной на основе ДД</v>
      </c>
      <c r="B1199" s="95" t="e">
        <f ca="1">L1190+OFFSET(F1191,0,PRJ_Len)/(OFFSET(F1185,0,PRJ_Len)-IF($B$1183=1,OFFSET(F92,0,PRJ_Len),OFFSET(F102,0,PRJ_Len)))</f>
        <v>#DIV/0!</v>
      </c>
      <c r="C1199" s="24">
        <v>0</v>
      </c>
    </row>
    <row r="1200" spans="1:12" ht="12.75" hidden="1" outlineLevel="1" thickTop="1" thickBot="1">
      <c r="A1200" s="2" t="str">
        <f ca="1">OFFSET(Язык!$A$564,0,LANGUAGE)</f>
        <v xml:space="preserve">    рассчитанной на основе NOPLAT</v>
      </c>
      <c r="B1200" s="95" t="e">
        <f ca="1">L1190+OFFSET(F1193,0,PRJ_Len)/(OFFSET(F1185,0,PRJ_Len)-IF($B$1183=1,OFFSET(F92,0,PRJ_Len),OFFSET(F102,0,PRJ_Len)))</f>
        <v>#DIV/0!</v>
      </c>
      <c r="C1200" s="24">
        <v>0.5</v>
      </c>
    </row>
    <row r="1201" spans="1:12" ht="12.75" hidden="1" outlineLevel="1" thickTop="1" thickBot="1">
      <c r="A1201" s="2" t="str">
        <f ca="1">OFFSET(Язык!$A$565,0,LANGUAGE)</f>
        <v>Оценка на основе ДД с учетом продленной стоимости</v>
      </c>
      <c r="B1201" s="95" t="e">
        <f ca="1">L1191+OFFSET(F1191,0,PRJ_Len)/(OFFSET(F1185,0,PRJ_Len)-IF($B$1183=1,OFFSET(F92,0,PRJ_Len),OFFSET(F102,0,PRJ_Len)))</f>
        <v>#DIV/0!</v>
      </c>
      <c r="C1201" s="24">
        <v>0</v>
      </c>
    </row>
    <row r="1202" spans="1:12" ht="12.75" hidden="1" outlineLevel="1" thickTop="1" thickBot="1">
      <c r="B1202" s="2"/>
      <c r="C1202" s="2"/>
    </row>
    <row r="1203" spans="1:12" ht="12.75" hidden="1" outlineLevel="1" thickTop="1" thickBot="1">
      <c r="A1203" s="43" t="str">
        <f ca="1">OFFSET(Язык!$A$566,0,LANGUAGE)</f>
        <v>Средняя оценка стоимости</v>
      </c>
      <c r="B1203" s="164" t="e">
        <f ca="1">(B1197*C1197+B1199*C1199+B1200*C1200+B1201*C1201)/(C1197+C1199+C1200+C1201)</f>
        <v>#DIV/0!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</row>
    <row r="1204" spans="1:12" ht="12.75" hidden="1" outlineLevel="1" thickTop="1" thickBot="1"/>
    <row r="1205" spans="1:12" ht="12.75" hidden="1" outlineLevel="1" thickTop="1" thickBot="1"/>
    <row r="1206" spans="1:12" ht="15.95" customHeight="1" collapsed="1" thickTop="1" thickBot="1">
      <c r="A1206" s="18"/>
      <c r="B1206" s="23"/>
      <c r="C1206" s="19"/>
      <c r="D1206" s="18"/>
      <c r="E1206" s="18"/>
      <c r="F1206" s="19" t="str">
        <f t="shared" ref="F1206:J1206" si="853">PeriodTitle</f>
        <v>"0"</v>
      </c>
      <c r="G1206" s="19">
        <f t="shared" si="853"/>
        <v>2013</v>
      </c>
      <c r="H1206" s="19">
        <f t="shared" si="853"/>
        <v>2014</v>
      </c>
      <c r="I1206" s="19">
        <f t="shared" si="853"/>
        <v>2015</v>
      </c>
      <c r="J1206" s="19">
        <f t="shared" si="853"/>
        <v>2016</v>
      </c>
      <c r="K1206" s="19"/>
      <c r="L1206" s="23" t="str">
        <f ca="1">OFFSET(Язык!$A$77,0,LANGUAGE)</f>
        <v>ИТОГО</v>
      </c>
    </row>
    <row r="1207" spans="1:12" ht="12.75" hidden="1" outlineLevel="1" thickTop="1" thickBot="1"/>
    <row r="1208" spans="1:12" ht="12.75" hidden="1" outlineLevel="1" thickTop="1" thickBot="1">
      <c r="A1208" s="32" t="str">
        <f ca="1">OFFSET(Язык!$A$587,0,LANGUAGE)</f>
        <v>Доли налоговых поступлений в бюджеты разных уровней</v>
      </c>
    </row>
    <row r="1209" spans="1:12" ht="12.75" hidden="1" outlineLevel="1" thickTop="1" thickBot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2" ht="12.75" hidden="1" outlineLevel="1" thickTop="1" thickBot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2" ht="12.75" hidden="1" outlineLevel="1" thickTop="1" thickBot="1">
      <c r="A1211" s="47" t="str">
        <f ca="1">OFFSET(Язык!$A$589,0,LANGUAGE)</f>
        <v>Налог на прибыль</v>
      </c>
      <c r="B1211" s="76">
        <f t="shared" ref="B1211:B1219" si="854">1-C1211</f>
        <v>0.20833333333333337</v>
      </c>
      <c r="C1211" s="50">
        <f>19/24</f>
        <v>0.79166666666666663</v>
      </c>
    </row>
    <row r="1212" spans="1:12" ht="12.75" hidden="1" outlineLevel="1" thickTop="1" thickBot="1">
      <c r="A1212" s="47" t="str">
        <f ca="1">OFFSET(Язык!$A$590,0,LANGUAGE)</f>
        <v xml:space="preserve">Начисления на заработную плату </v>
      </c>
      <c r="B1212" s="76">
        <f t="shared" si="854"/>
        <v>1</v>
      </c>
      <c r="C1212" s="50">
        <v>0</v>
      </c>
    </row>
    <row r="1213" spans="1:12" ht="12.75" hidden="1" outlineLevel="1" thickTop="1" thickBot="1">
      <c r="A1213" s="47" t="str">
        <f ca="1">OFFSET(Язык!$A$591,0,LANGUAGE)</f>
        <v>Акцизы и экспортные пошлины</v>
      </c>
      <c r="B1213" s="76">
        <f t="shared" si="854"/>
        <v>1</v>
      </c>
      <c r="C1213" s="50">
        <v>0</v>
      </c>
    </row>
    <row r="1214" spans="1:12" ht="12.75" hidden="1" outlineLevel="1" thickTop="1" thickBot="1">
      <c r="A1214" s="47" t="str">
        <f ca="1">OFFSET(Язык!$A$592,0,LANGUAGE)</f>
        <v>Импортная пошлина</v>
      </c>
      <c r="B1214" s="76">
        <f t="shared" si="854"/>
        <v>1</v>
      </c>
      <c r="C1214" s="50">
        <v>0</v>
      </c>
    </row>
    <row r="1215" spans="1:12" ht="12.75" hidden="1" outlineLevel="1" thickTop="1" thickBot="1">
      <c r="A1215" s="47" t="str">
        <f ca="1">OFFSET(Язык!$A$593,0,LANGUAGE)</f>
        <v>Подоходный налог</v>
      </c>
      <c r="B1215" s="76">
        <f t="shared" si="854"/>
        <v>1</v>
      </c>
      <c r="C1215" s="50">
        <v>0</v>
      </c>
    </row>
    <row r="1216" spans="1:12" ht="12.75" hidden="1" outlineLevel="1" thickTop="1" thickBot="1">
      <c r="A1216" s="47" t="str">
        <f ca="1">OFFSET(Язык!$A$594,0,LANGUAGE)</f>
        <v>Земельный налог</v>
      </c>
      <c r="B1216" s="76">
        <f t="shared" si="854"/>
        <v>1</v>
      </c>
      <c r="C1216" s="50">
        <v>0</v>
      </c>
    </row>
    <row r="1217" spans="1:12" ht="12.75" hidden="1" outlineLevel="1" thickTop="1" thickBot="1">
      <c r="A1217" s="47" t="str">
        <f ca="1">OFFSET(Язык!$A$595,0,LANGUAGE)</f>
        <v>Налог на имущество</v>
      </c>
      <c r="B1217" s="76">
        <f t="shared" si="854"/>
        <v>0.5</v>
      </c>
      <c r="C1217" s="50">
        <v>0.5</v>
      </c>
    </row>
    <row r="1218" spans="1:12" ht="12.75" hidden="1" outlineLevel="1" thickTop="1" thickBot="1">
      <c r="A1218" s="47" t="str">
        <f>A714</f>
        <v>Наименование налога</v>
      </c>
      <c r="B1218" s="76">
        <f t="shared" si="854"/>
        <v>1</v>
      </c>
      <c r="C1218" s="50">
        <v>0</v>
      </c>
    </row>
    <row r="1219" spans="1:12" ht="12.75" hidden="1" outlineLevel="1" thickTop="1" thickBot="1">
      <c r="A1219" s="47" t="str">
        <f>A727</f>
        <v>Наименование налога</v>
      </c>
      <c r="B1219" s="76">
        <f t="shared" si="854"/>
        <v>1</v>
      </c>
      <c r="C1219" s="50">
        <v>0</v>
      </c>
    </row>
    <row r="1220" spans="1:12" ht="12.75" hidden="1" outlineLevel="1" thickTop="1" thickBot="1"/>
    <row r="1221" spans="1:12" ht="12.75" hidden="1" outlineLevel="1" thickTop="1" thickBot="1">
      <c r="A1221" s="2" t="str">
        <f ca="1">OFFSET(Язык!$A$623,0,LANGUAGE)</f>
        <v>Ставка налога на доходы физических лиц</v>
      </c>
      <c r="B1221" s="50">
        <v>0.13</v>
      </c>
      <c r="G1221" s="26">
        <f t="shared" ref="G1221:I1221" ca="1" si="855">(G305+G256)*$B1221</f>
        <v>7768.8</v>
      </c>
      <c r="H1221" s="26">
        <f t="shared" si="855"/>
        <v>12372.36</v>
      </c>
      <c r="I1221" s="26">
        <f t="shared" ca="1" si="855"/>
        <v>13609.596</v>
      </c>
      <c r="J1221" s="26">
        <f t="shared" ref="J1221" ca="1" si="856">(J305+J256)*$B1221</f>
        <v>14970.5556</v>
      </c>
      <c r="K1221" s="26"/>
      <c r="L1221" s="30">
        <f ca="1">SUM(F1221:J1221)</f>
        <v>48721.311600000001</v>
      </c>
    </row>
    <row r="1222" spans="1:12" ht="12.75" hidden="1" outlineLevel="1" thickTop="1" thickBot="1"/>
    <row r="1223" spans="1:12" ht="12.75" hidden="1" outlineLevel="1" thickTop="1" thickBot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I1223" ca="1" si="857">F691*$B1210+F736*$B1211+F699*$B1212+F673*$B1213+F674*$B1214+F1221*$B1215+F706*$B1216+F721*$B1217+F714*$B1218+F727*$B1219</f>
        <v>0</v>
      </c>
      <c r="G1223" s="26">
        <f t="shared" ca="1" si="857"/>
        <v>56315.501488095237</v>
      </c>
      <c r="H1223" s="26">
        <f t="shared" ca="1" si="857"/>
        <v>49271.450297619042</v>
      </c>
      <c r="I1223" s="26">
        <f t="shared" ca="1" si="857"/>
        <v>121304.1942857143</v>
      </c>
      <c r="J1223" s="26">
        <f t="shared" ref="J1223" ca="1" si="858">J691*$B1210+J736*$B1211+J699*$B1212+J673*$B1213+J674*$B1214+J1221*$B1215+J706*$B1216+J721*$B1217+J714*$B1218+J727*$B1219</f>
        <v>134406.45151190474</v>
      </c>
      <c r="K1223" s="26"/>
      <c r="L1223" s="30">
        <f ca="1">SUM(F1223:J1223)</f>
        <v>361297.59758333332</v>
      </c>
    </row>
    <row r="1224" spans="1:12" ht="12.75" hidden="1" outlineLevel="1" thickTop="1" thickBot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I1224" ca="1" si="859">F691*$C1210+F736*$C1211+F699*$C1212+F673*$C1213+F674*$C1214+F1221*$C1215+F706*$C1216+F721*$C1217+F714*$C1218+F727*$C1219</f>
        <v>0</v>
      </c>
      <c r="G1224" s="26">
        <f t="shared" ca="1" si="859"/>
        <v>23479.092797619047</v>
      </c>
      <c r="H1224" s="26">
        <f t="shared" ca="1" si="859"/>
        <v>38985.285702380941</v>
      </c>
      <c r="I1224" s="26">
        <f t="shared" ca="1" si="859"/>
        <v>48178.05817142858</v>
      </c>
      <c r="J1224" s="26">
        <f t="shared" ref="J1224" ca="1" si="860">J691*$C1210+J736*$C1211+J699*$C1212+J673*$C1213+J674*$C1214+J1221*$C1215+J706*$C1216+J721*$C1217+J714*$C1218+J727*$C1219</f>
        <v>59327.197619523788</v>
      </c>
      <c r="K1224" s="26"/>
      <c r="L1224" s="30">
        <f ca="1">SUM(F1224:J1224)</f>
        <v>169969.63429095235</v>
      </c>
    </row>
    <row r="1225" spans="1:12" ht="12.75" hidden="1" outlineLevel="1" thickTop="1" thickBot="1"/>
    <row r="1226" spans="1:12" ht="12.75" hidden="1" outlineLevel="1" thickTop="1" thickBot="1">
      <c r="A1226" s="32" t="str">
        <f ca="1">OFFSET(Язык!$A$598,0,LANGUAGE)</f>
        <v>Бюджетное финансирование</v>
      </c>
    </row>
    <row r="1227" spans="1:12" ht="12.75" hidden="1" outlineLevel="1" thickTop="1" thickBot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2" ht="12.75" hidden="1" outlineLevel="1" thickTop="1" thickBot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2" ht="12.75" hidden="1" outlineLevel="1" thickTop="1" thickBot="1"/>
    <row r="1230" spans="1:12" ht="12.75" hidden="1" outlineLevel="1" thickTop="1" thickBot="1">
      <c r="A1230" s="37" t="str">
        <f ca="1">OFFSET(Язык!$A$599,0,LANGUAGE)</f>
        <v>Федеральный бюджет</v>
      </c>
    </row>
    <row r="1231" spans="1:12" ht="12.75" hidden="1" outlineLevel="1" thickTop="1" thickBot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I1231" si="861">F605*$B$1228</f>
        <v>0</v>
      </c>
      <c r="G1231" s="26">
        <f t="shared" si="861"/>
        <v>0</v>
      </c>
      <c r="H1231" s="26">
        <f t="shared" si="861"/>
        <v>0</v>
      </c>
      <c r="I1231" s="26">
        <f t="shared" si="861"/>
        <v>0</v>
      </c>
      <c r="J1231" s="26">
        <f t="shared" ref="J1231" si="862">J605*$B$1228</f>
        <v>0</v>
      </c>
      <c r="L1231" s="30">
        <f>SUM(F1231:J1231)</f>
        <v>0</v>
      </c>
    </row>
    <row r="1232" spans="1:12" ht="12.75" hidden="1" outlineLevel="1" thickTop="1" thickBot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I1232" si="863">SUMIF($D611:$D628,"*3/1_01*",F611:F628)+SUMIF($D611:$D628,"*3/2_01*",F611:F628)*F$98</f>
        <v>0</v>
      </c>
      <c r="G1232" s="26">
        <f t="shared" si="863"/>
        <v>0</v>
      </c>
      <c r="H1232" s="26">
        <f t="shared" si="863"/>
        <v>0</v>
      </c>
      <c r="I1232" s="26">
        <f t="shared" si="863"/>
        <v>0</v>
      </c>
      <c r="J1232" s="26">
        <f t="shared" ref="J1232" si="864">SUMIF($D611:$D628,"*3/1_01*",J611:J628)+SUMIF($D611:$D628,"*3/2_01*",J611:J628)*J$98</f>
        <v>0</v>
      </c>
      <c r="K1232" s="26"/>
      <c r="L1232" s="30">
        <f>SUM(F1232:J1232)</f>
        <v>0</v>
      </c>
    </row>
    <row r="1233" spans="1:12" ht="12.75" hidden="1" outlineLevel="1" thickTop="1" thickBot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I1233" si="865">SUMIF($D611:$D628,"*3/1_02*",F611:F628)+SUMIF($D611:$D628,"*3/2_02*",F611:F628)*F$98</f>
        <v>0</v>
      </c>
      <c r="G1233" s="26">
        <f t="shared" si="865"/>
        <v>0</v>
      </c>
      <c r="H1233" s="26">
        <f t="shared" si="865"/>
        <v>0</v>
      </c>
      <c r="I1233" s="26">
        <f t="shared" si="865"/>
        <v>0</v>
      </c>
      <c r="J1233" s="26">
        <f t="shared" ref="J1233" si="866">SUMIF($D611:$D628,"*3/1_02*",J611:J628)+SUMIF($D611:$D628,"*3/2_02*",J611:J628)*J$98</f>
        <v>0</v>
      </c>
      <c r="K1233" s="26"/>
      <c r="L1233" s="30">
        <f>SUM(F1233:J1233)</f>
        <v>0</v>
      </c>
    </row>
    <row r="1234" spans="1:12" ht="12.75" hidden="1" outlineLevel="1" thickTop="1" thickBot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I1234" si="867">SUMIF($D611:$D628,"*3/1_03",F611:F628)+SUMIF($D611:$D628,"*3/2_03*",F611:F628)*F$98</f>
        <v>0</v>
      </c>
      <c r="G1234" s="26">
        <f t="shared" si="867"/>
        <v>0</v>
      </c>
      <c r="H1234" s="26">
        <f t="shared" si="867"/>
        <v>0</v>
      </c>
      <c r="I1234" s="26">
        <f t="shared" si="867"/>
        <v>0</v>
      </c>
      <c r="J1234" s="26">
        <f t="shared" ref="J1234" si="868">SUMIF($D611:$D628,"*3/1_03",J611:J628)+SUMIF($D611:$D628,"*3/2_03*",J611:J628)*J$98</f>
        <v>0</v>
      </c>
      <c r="K1234" s="26"/>
      <c r="L1234" s="30">
        <f>SUM(F1234:J1234)</f>
        <v>0</v>
      </c>
    </row>
    <row r="1235" spans="1:12" ht="12.75" hidden="1" outlineLevel="1" thickTop="1" thickBot="1">
      <c r="A1235" s="37" t="str">
        <f ca="1">OFFSET(Язык!$A$604,0,LANGUAGE)</f>
        <v>Территориальный бюджет</v>
      </c>
    </row>
    <row r="1236" spans="1:12" ht="12.75" hidden="1" outlineLevel="1" thickTop="1" thickBot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I1236" si="869">F605*$C$1228</f>
        <v>0</v>
      </c>
      <c r="G1236" s="2">
        <f t="shared" si="869"/>
        <v>0</v>
      </c>
      <c r="H1236" s="2">
        <f t="shared" si="869"/>
        <v>0</v>
      </c>
      <c r="I1236" s="2">
        <f t="shared" si="869"/>
        <v>0</v>
      </c>
      <c r="J1236" s="2">
        <f t="shared" ref="J1236" si="870">J605*$C$1228</f>
        <v>0</v>
      </c>
      <c r="L1236" s="30">
        <f>SUM(F1236:J1236)</f>
        <v>0</v>
      </c>
    </row>
    <row r="1237" spans="1:12" ht="12.75" hidden="1" outlineLevel="1" thickTop="1" thickBot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I1237" si="871">SUMIF($D611:$D628,"*4/1_01*",F611:F628)+SUMIF($D611:$D628,"*4/2_01*",F611:F628)*F$98</f>
        <v>0</v>
      </c>
      <c r="G1237" s="26">
        <f t="shared" si="871"/>
        <v>0</v>
      </c>
      <c r="H1237" s="26">
        <f t="shared" si="871"/>
        <v>0</v>
      </c>
      <c r="I1237" s="26">
        <f t="shared" si="871"/>
        <v>0</v>
      </c>
      <c r="J1237" s="26">
        <f t="shared" ref="J1237" si="872">SUMIF($D611:$D628,"*4/1_01*",J611:J628)+SUMIF($D611:$D628,"*4/2_01*",J611:J628)*J$98</f>
        <v>0</v>
      </c>
      <c r="K1237" s="26"/>
      <c r="L1237" s="30">
        <f>SUM(F1237:J1237)</f>
        <v>0</v>
      </c>
    </row>
    <row r="1238" spans="1:12" ht="12.75" hidden="1" outlineLevel="1" thickTop="1" thickBot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I1238" si="873">SUMIF($D611:$D628,"*4/1_02*",F611:F628)+SUMIF($D611:$D628,"*4/2_02*",F611:F628)*F$98</f>
        <v>0</v>
      </c>
      <c r="G1238" s="26">
        <f t="shared" si="873"/>
        <v>0</v>
      </c>
      <c r="H1238" s="26">
        <f t="shared" si="873"/>
        <v>0</v>
      </c>
      <c r="I1238" s="26">
        <f t="shared" si="873"/>
        <v>0</v>
      </c>
      <c r="J1238" s="26">
        <f t="shared" ref="J1238" si="874">SUMIF($D611:$D628,"*4/1_02*",J611:J628)+SUMIF($D611:$D628,"*4/2_02*",J611:J628)*J$98</f>
        <v>0</v>
      </c>
      <c r="K1238" s="26"/>
      <c r="L1238" s="30">
        <f>SUM(F1238:J1238)</f>
        <v>0</v>
      </c>
    </row>
    <row r="1239" spans="1:12" ht="12.75" hidden="1" outlineLevel="1" thickTop="1" thickBot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I1239" si="875">SUMIF($D611:$D628,"*4/1_03*",F611:F628)+SUMIF($D611:$D628,"*4/2_03*",F611:F628)*F$98</f>
        <v>0</v>
      </c>
      <c r="G1239" s="26">
        <f t="shared" si="875"/>
        <v>0</v>
      </c>
      <c r="H1239" s="26">
        <f t="shared" si="875"/>
        <v>0</v>
      </c>
      <c r="I1239" s="26">
        <f t="shared" si="875"/>
        <v>0</v>
      </c>
      <c r="J1239" s="26">
        <f t="shared" ref="J1239" si="876">SUMIF($D611:$D628,"*4/1_03*",J611:J628)+SUMIF($D611:$D628,"*4/2_03*",J611:J628)*J$98</f>
        <v>0</v>
      </c>
      <c r="K1239" s="26"/>
      <c r="L1239" s="30">
        <f>SUM(F1239:J1239)</f>
        <v>0</v>
      </c>
    </row>
    <row r="1240" spans="1:12" ht="12.75" hidden="1" outlineLevel="1" thickTop="1" thickBot="1"/>
    <row r="1241" spans="1:12" ht="12.75" hidden="1" outlineLevel="1" thickTop="1" thickBot="1">
      <c r="A1241" s="32" t="str">
        <f ca="1">OFFSET(Язык!$A$609,0,LANGUAGE)</f>
        <v>Доходы бюджетов</v>
      </c>
    </row>
    <row r="1242" spans="1:12" ht="12.75" hidden="1" outlineLevel="1" thickTop="1" thickBot="1"/>
    <row r="1243" spans="1:12" ht="12.75" hidden="1" outlineLevel="1" thickTop="1" thickBot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I1243" ca="1" si="877">F1223-F1232+F1233+F1234-F1231</f>
        <v>0</v>
      </c>
      <c r="G1243" s="26">
        <f t="shared" ca="1" si="877"/>
        <v>56315.501488095237</v>
      </c>
      <c r="H1243" s="26">
        <f t="shared" ca="1" si="877"/>
        <v>49271.450297619042</v>
      </c>
      <c r="I1243" s="26">
        <f t="shared" ca="1" si="877"/>
        <v>121304.1942857143</v>
      </c>
      <c r="J1243" s="26">
        <f t="shared" ref="J1243" ca="1" si="878">J1223-J1232+J1233+J1234-J1231</f>
        <v>134406.45151190474</v>
      </c>
      <c r="K1243" s="26"/>
      <c r="L1243" s="30">
        <f ca="1">SUM(F1243:J1243)</f>
        <v>361297.59758333332</v>
      </c>
    </row>
    <row r="1244" spans="1:12" ht="12.75" hidden="1" outlineLevel="1" thickTop="1" thickBot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I1244" ca="1" si="879">F1224-F1237+F1238+F1239-F1236</f>
        <v>0</v>
      </c>
      <c r="G1244" s="26">
        <f t="shared" ca="1" si="879"/>
        <v>23479.092797619047</v>
      </c>
      <c r="H1244" s="26">
        <f t="shared" ca="1" si="879"/>
        <v>38985.285702380941</v>
      </c>
      <c r="I1244" s="26">
        <f t="shared" ca="1" si="879"/>
        <v>48178.05817142858</v>
      </c>
      <c r="J1244" s="26">
        <f t="shared" ref="J1244" ca="1" si="880">J1224-J1237+J1238+J1239-J1236</f>
        <v>59327.197619523788</v>
      </c>
      <c r="K1244" s="26"/>
      <c r="L1244" s="30">
        <f ca="1">SUM(F1244:J1244)</f>
        <v>169969.63429095235</v>
      </c>
    </row>
    <row r="1245" spans="1:12" ht="12.75" hidden="1" outlineLevel="1" thickTop="1" thickBot="1"/>
    <row r="1246" spans="1:12" ht="12.75" hidden="1" outlineLevel="1" collapsed="1" thickTop="1" thickBot="1">
      <c r="A1246" s="47" t="str">
        <f ca="1">OFFSET(Язык!$A$612,0,LANGUAGE)</f>
        <v>Ставка дисконтирования</v>
      </c>
      <c r="B1246" s="50">
        <f>B1118</f>
        <v>0.1</v>
      </c>
    </row>
    <row r="1247" spans="1:12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 t="shared" ref="G1247:J1247" si="881">F1247*POWER(1+$B1246,PRJ_Step/360)</f>
        <v>1.1000000000000001</v>
      </c>
      <c r="H1247" s="100">
        <f t="shared" si="881"/>
        <v>1.2100000000000002</v>
      </c>
      <c r="I1247" s="100">
        <f t="shared" si="881"/>
        <v>1.3310000000000004</v>
      </c>
      <c r="J1247" s="100">
        <f t="shared" si="881"/>
        <v>1.4641000000000006</v>
      </c>
    </row>
    <row r="1248" spans="1:12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ca="1">F1243/F1247*IF(CalcMethod=1,IF($B$1117=1,F$93,F$103),1)</f>
        <v>0</v>
      </c>
      <c r="G1248" s="26">
        <f ca="1">G1243/G1247*IF(CalcMethod=1,IF($B$1117=1,G$93,G$103),1)</f>
        <v>51195.91044372294</v>
      </c>
      <c r="H1248" s="26">
        <f ca="1">H1243/H1247*IF(CalcMethod=1,IF($B$1117=1,H$93,H$103),1)</f>
        <v>40720.206857536388</v>
      </c>
      <c r="I1248" s="26">
        <f ca="1">I1243/I1247*IF(CalcMethod=1,IF($B$1117=1,I$93,I$103),1)</f>
        <v>91137.636578297723</v>
      </c>
      <c r="J1248" s="26">
        <f ca="1">J1243/J1247*IF(CalcMethod=1,IF($B$1117=1,J$93,J$103),1)</f>
        <v>91801.414870503853</v>
      </c>
      <c r="K1248" s="26"/>
      <c r="L1248" s="30">
        <f ca="1">SUM(F1248:J1248)</f>
        <v>274855.16875006096</v>
      </c>
    </row>
    <row r="1249" spans="1:12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ca="1">F1244/F1247*IF(CalcMethod=1,IF($B$1117=1,F$93,F$103),1)</f>
        <v>0</v>
      </c>
      <c r="G1249" s="26">
        <f ca="1">G1244/G1247*IF(CalcMethod=1,IF($B$1117=1,G$93,G$103),1)</f>
        <v>21344.629816017314</v>
      </c>
      <c r="H1249" s="26">
        <f ca="1">H1244/H1247*IF(CalcMethod=1,IF($B$1117=1,H$93,H$103),1)</f>
        <v>32219.244382133005</v>
      </c>
      <c r="I1249" s="26">
        <f ca="1">I1244/I1247*IF(CalcMethod=1,IF($B$1117=1,I$93,I$103),1)</f>
        <v>36196.888182891482</v>
      </c>
      <c r="J1249" s="26">
        <f ca="1">J1244/J1247*IF(CalcMethod=1,IF($B$1117=1,J$93,J$103),1)</f>
        <v>40521.27424323732</v>
      </c>
      <c r="K1249" s="26"/>
      <c r="L1249" s="30">
        <f ca="1">SUM(F1249:J1249)</f>
        <v>130282.03662427912</v>
      </c>
    </row>
    <row r="1250" spans="1:12" ht="12.75" hidden="1" outlineLevel="1" thickTop="1" thickBot="1">
      <c r="A1250" s="47" t="str">
        <f ca="1">OFFSET(Язык!$A$613,0,LANGUAGE)</f>
        <v>Чистый приведенный доход:</v>
      </c>
    </row>
    <row r="1251" spans="1:12" ht="12.75" hidden="1" outlineLevel="1" thickTop="1" thickBot="1">
      <c r="A1251" s="47" t="str">
        <f ca="1">OFFSET(Язык!$A$614,0,LANGUAGE)</f>
        <v xml:space="preserve">    федерального бюджета</v>
      </c>
      <c r="B1251" s="53">
        <f ca="1">L1248</f>
        <v>274855.16875006096</v>
      </c>
      <c r="C1251" s="63" t="str">
        <f ca="1">CUR_Main</f>
        <v>$</v>
      </c>
    </row>
    <row r="1252" spans="1:12" ht="12.75" hidden="1" outlineLevel="1" thickTop="1" thickBot="1">
      <c r="A1252" s="162" t="str">
        <f ca="1">OFFSET(Язык!$A$615,0,LANGUAGE)</f>
        <v xml:space="preserve">    территориального бюджета</v>
      </c>
      <c r="B1252" s="164">
        <f ca="1">L1249</f>
        <v>130282.03662427912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</row>
    <row r="1253" spans="1:12" ht="12.75" hidden="1" outlineLevel="1" thickTop="1" thickBot="1"/>
    <row r="1254" spans="1:12" ht="12.75" hidden="1" outlineLevel="1" thickTop="1" thickBot="1"/>
    <row r="1255" spans="1:12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J1255" si="882">PeriodTitle</f>
        <v>"0"</v>
      </c>
      <c r="G1255" s="19">
        <f t="shared" si="882"/>
        <v>2013</v>
      </c>
      <c r="H1255" s="19">
        <f t="shared" si="882"/>
        <v>2014</v>
      </c>
      <c r="I1255" s="19">
        <f t="shared" si="882"/>
        <v>2015</v>
      </c>
      <c r="J1255" s="19">
        <f t="shared" si="882"/>
        <v>2016</v>
      </c>
      <c r="K1255" s="19"/>
      <c r="L1255" s="23" t="str">
        <f ca="1">OFFSET(Язык!$A$77,0,LANGUAGE)</f>
        <v>ИТОГО</v>
      </c>
    </row>
    <row r="1256" spans="1:12" ht="12" outlineLevel="1" thickTop="1"/>
    <row r="1257" spans="1:12" outlineLevel="1">
      <c r="A1257" s="2" t="str">
        <f ca="1">OFFSET(Язык!$A$571,0,LANGUAGE)</f>
        <v>Выручка от реализации (без НДС)</v>
      </c>
      <c r="C1257" s="6" t="str">
        <f ca="1">CUR_Report</f>
        <v>$</v>
      </c>
      <c r="G1257" s="26">
        <f t="shared" ref="G1257:I1257" si="883">G750</f>
        <v>361607.14285714284</v>
      </c>
      <c r="H1257" s="26">
        <f t="shared" si="883"/>
        <v>795535.7142857142</v>
      </c>
      <c r="I1257" s="26">
        <f t="shared" si="883"/>
        <v>875089.28571428568</v>
      </c>
      <c r="J1257" s="26">
        <f t="shared" ref="J1257" si="884">J750</f>
        <v>962598.21428571432</v>
      </c>
      <c r="L1257" s="27">
        <f>SUM(F1257:J1257)</f>
        <v>2994830.3571428573</v>
      </c>
    </row>
    <row r="1258" spans="1:12" outlineLevel="1">
      <c r="A1258" s="2" t="str">
        <f ca="1">OFFSET(Язык!$A$572,0,LANGUAGE)</f>
        <v>Прибыль до налога, процентов и амортизации (EBITDA)</v>
      </c>
      <c r="C1258" s="6" t="str">
        <f ca="1">CUR_Report</f>
        <v>$</v>
      </c>
      <c r="G1258" s="26">
        <f t="shared" ref="G1258:I1258" ca="1" si="885">G767+G763+G757</f>
        <v>148289.00714285715</v>
      </c>
      <c r="H1258" s="26">
        <f t="shared" ca="1" si="885"/>
        <v>366575.60142857133</v>
      </c>
      <c r="I1258" s="26">
        <f t="shared" ca="1" si="885"/>
        <v>399855.17942857149</v>
      </c>
      <c r="J1258" s="26">
        <f t="shared" ref="J1258" ca="1" si="886">J767+J763+J757</f>
        <v>441725.23308571422</v>
      </c>
      <c r="L1258" s="27">
        <f ca="1">SUM(F1258:J1258)</f>
        <v>1356445.0210857142</v>
      </c>
    </row>
    <row r="1259" spans="1:12" outlineLevel="1">
      <c r="A1259" s="2" t="str">
        <f ca="1">OFFSET(Язык!$A$573,0,LANGUAGE)</f>
        <v>Прибыль до налога и процентов по кредитам (EBIT)</v>
      </c>
      <c r="C1259" s="6" t="str">
        <f ca="1">CUR_Report</f>
        <v>$</v>
      </c>
      <c r="G1259" s="26">
        <f t="shared" ref="G1259:I1259" ca="1" si="887">G767+G763</f>
        <v>148289.00714285715</v>
      </c>
      <c r="H1259" s="26">
        <f t="shared" ca="1" si="887"/>
        <v>309075.60142857133</v>
      </c>
      <c r="I1259" s="26">
        <f t="shared" ca="1" si="887"/>
        <v>342355.17942857149</v>
      </c>
      <c r="J1259" s="26">
        <f t="shared" ref="J1259" ca="1" si="888">J767+J763</f>
        <v>384225.23308571422</v>
      </c>
      <c r="L1259" s="27">
        <f ca="1">SUM(F1259:J1259)</f>
        <v>1183945.0210857142</v>
      </c>
    </row>
    <row r="1260" spans="1:12" outlineLevel="1">
      <c r="A1260" s="2" t="str">
        <f ca="1">OFFSET(Язык!$A$574,0,LANGUAGE)</f>
        <v>Чистая прибыль</v>
      </c>
      <c r="C1260" s="6" t="str">
        <f ca="1">CUR_Report</f>
        <v>$</v>
      </c>
      <c r="G1260" s="26">
        <f t="shared" ref="G1260:I1261" ca="1" si="889">G769</f>
        <v>118631.20571428572</v>
      </c>
      <c r="H1260" s="26">
        <f t="shared" ca="1" si="889"/>
        <v>185996.48114285705</v>
      </c>
      <c r="I1260" s="26">
        <f t="shared" ca="1" si="889"/>
        <v>222812.1435428572</v>
      </c>
      <c r="J1260" s="26">
        <f t="shared" ref="J1260" ca="1" si="890">J769</f>
        <v>281844.18646857137</v>
      </c>
      <c r="L1260" s="27">
        <f ca="1">SUM(F1260:J1260)</f>
        <v>809284.01686857129</v>
      </c>
    </row>
    <row r="1261" spans="1:12" outlineLevel="1">
      <c r="A1261" s="2" t="str">
        <f ca="1">OFFSET(Язык!$A$575,0,LANGUAGE)</f>
        <v>Дивиденды</v>
      </c>
      <c r="C1261" s="6" t="str">
        <f ca="1">CUR_Report</f>
        <v>$</v>
      </c>
      <c r="G1261" s="26">
        <f t="shared" ca="1" si="889"/>
        <v>0</v>
      </c>
      <c r="H1261" s="26">
        <f t="shared" ca="1" si="889"/>
        <v>0</v>
      </c>
      <c r="I1261" s="26">
        <f t="shared" ca="1" si="889"/>
        <v>0</v>
      </c>
      <c r="J1261" s="26">
        <f t="shared" ref="J1261" ca="1" si="891">J770</f>
        <v>0</v>
      </c>
      <c r="L1261" s="27">
        <f ca="1">SUM(F1261:J1261)</f>
        <v>0</v>
      </c>
    </row>
    <row r="1262" spans="1:12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</row>
    <row r="1263" spans="1:12" outlineLevel="1"/>
    <row r="1264" spans="1:12" outlineLevel="1">
      <c r="A1264" s="2" t="str">
        <f ca="1">OFFSET(Язык!$A$576,0,LANGUAGE)</f>
        <v>Инвестиции в постоянные активы</v>
      </c>
      <c r="C1264" s="6" t="str">
        <f ca="1">CUR_Report</f>
        <v>$</v>
      </c>
      <c r="F1264" s="26">
        <f t="shared" ref="F1264:I1264" si="892">F869+F870+F871</f>
        <v>0</v>
      </c>
      <c r="G1264" s="26">
        <f t="shared" si="892"/>
        <v>-547000</v>
      </c>
      <c r="H1264" s="26">
        <f t="shared" si="892"/>
        <v>0</v>
      </c>
      <c r="I1264" s="26">
        <f t="shared" si="892"/>
        <v>0</v>
      </c>
      <c r="J1264" s="26">
        <f t="shared" ref="J1264" si="893">J869+J870+J871</f>
        <v>0</v>
      </c>
      <c r="L1264" s="27">
        <f>SUM(F1264:J1264)</f>
        <v>-547000</v>
      </c>
    </row>
    <row r="1265" spans="1:12" outlineLevel="1">
      <c r="A1265" s="2" t="str">
        <f ca="1">OFFSET(Язык!$A$577,0,LANGUAGE)</f>
        <v>Инвестиции в чистый оборотный капитал</v>
      </c>
      <c r="C1265" s="6" t="str">
        <f ca="1">CUR_Report</f>
        <v>$</v>
      </c>
      <c r="F1265" s="26">
        <f t="shared" ref="F1265:I1265" si="894">F872</f>
        <v>0</v>
      </c>
      <c r="G1265" s="26">
        <f t="shared" ca="1" si="894"/>
        <v>31208.56694444445</v>
      </c>
      <c r="H1265" s="26">
        <f t="shared" ca="1" si="894"/>
        <v>13461.993587301564</v>
      </c>
      <c r="I1265" s="26">
        <f t="shared" ca="1" si="894"/>
        <v>15237.876588888925</v>
      </c>
      <c r="J1265" s="26">
        <f t="shared" ref="J1265" ca="1" si="895">J872</f>
        <v>14707.416926349171</v>
      </c>
      <c r="L1265" s="27">
        <f ca="1">SUM(F1265:J1265)</f>
        <v>74615.85404698411</v>
      </c>
    </row>
    <row r="1266" spans="1:12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</row>
    <row r="1267" spans="1:12" outlineLevel="1"/>
    <row r="1268" spans="1:12" outlineLevel="1">
      <c r="A1268" s="2" t="str">
        <f ca="1">OFFSET(Язык!$A$578,0,LANGUAGE)</f>
        <v>Ставка сравнения (дисконтирования)</v>
      </c>
      <c r="B1268" s="77">
        <f>B1118</f>
        <v>0.1</v>
      </c>
    </row>
    <row r="1269" spans="1:12" outlineLevel="1">
      <c r="A1269" s="2" t="str">
        <f ca="1">OFFSET(Язык!$A$579,0,LANGUAGE)</f>
        <v>NPV</v>
      </c>
      <c r="B1269" s="95">
        <f ca="1">B1142</f>
        <v>496671.37506266352</v>
      </c>
      <c r="C1269" s="6" t="str">
        <f ca="1">C1117</f>
        <v>$</v>
      </c>
    </row>
    <row r="1270" spans="1:12" outlineLevel="1">
      <c r="A1270" s="2" t="str">
        <f ca="1">OFFSET(Язык!$A$580,0,LANGUAGE)</f>
        <v>IRR</v>
      </c>
      <c r="B1270" s="103">
        <f ca="1">B1145</f>
        <v>0.79383544016304719</v>
      </c>
    </row>
    <row r="1271" spans="1:12" outlineLevel="1">
      <c r="A1271" s="2" t="str">
        <f ca="1">OFFSET(Язык!$A$581,0,LANGUAGE)</f>
        <v>Дисконтированный срок окупаемости</v>
      </c>
      <c r="B1271" s="94">
        <f ca="1">B1143</f>
        <v>2.1369089094874356</v>
      </c>
      <c r="C1271" s="6" t="str">
        <f ca="1">C1143</f>
        <v>года</v>
      </c>
    </row>
    <row r="1272" spans="1:12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</row>
    <row r="1273" spans="1:12" outlineLevel="1"/>
    <row r="1274" spans="1:12" outlineLevel="1">
      <c r="A1274" s="2" t="str">
        <f ca="1">OFFSET(Язык!$A$582,0,LANGUAGE)</f>
        <v>Собственные средства и целевое финансирование</v>
      </c>
      <c r="C1274" s="6" t="str">
        <f ca="1">CUR_Report</f>
        <v>$</v>
      </c>
      <c r="F1274" s="26">
        <f t="shared" ref="F1274:I1274" si="896">F877+F878</f>
        <v>0</v>
      </c>
      <c r="G1274" s="26">
        <f t="shared" si="896"/>
        <v>0</v>
      </c>
      <c r="H1274" s="26">
        <f t="shared" si="896"/>
        <v>0</v>
      </c>
      <c r="I1274" s="26">
        <f t="shared" si="896"/>
        <v>0</v>
      </c>
      <c r="J1274" s="26">
        <f t="shared" ref="J1274" si="897">J877+J878</f>
        <v>0</v>
      </c>
      <c r="L1274" s="27">
        <f>SUM(F1274:J1274)</f>
        <v>0</v>
      </c>
    </row>
    <row r="1275" spans="1:12" outlineLevel="1"/>
    <row r="1276" spans="1:12" outlineLevel="1">
      <c r="A1276" s="2" t="str">
        <f ca="1">OFFSET(Язык!$A$583,0,LANGUAGE)</f>
        <v>Привлечение кредитов</v>
      </c>
      <c r="C1276" s="6" t="str">
        <f ca="1">CUR_Report</f>
        <v>$</v>
      </c>
      <c r="F1276" s="26">
        <f t="shared" ref="F1276:I1276" si="898">F879</f>
        <v>0</v>
      </c>
      <c r="G1276" s="26">
        <f t="shared" si="898"/>
        <v>547000</v>
      </c>
      <c r="H1276" s="26">
        <f t="shared" si="898"/>
        <v>0</v>
      </c>
      <c r="I1276" s="26">
        <f t="shared" si="898"/>
        <v>0</v>
      </c>
      <c r="J1276" s="26">
        <f t="shared" ref="J1276" si="899">J879</f>
        <v>0</v>
      </c>
      <c r="L1276" s="27">
        <f>SUM(F1276:J1276)</f>
        <v>547000</v>
      </c>
    </row>
    <row r="1277" spans="1:12" outlineLevel="1">
      <c r="A1277" s="2" t="str">
        <f ca="1">OFFSET(Язык!$A$584,0,LANGUAGE)</f>
        <v>Погашение задолженности</v>
      </c>
      <c r="C1277" s="6" t="str">
        <f ca="1">CUR_Report</f>
        <v>$</v>
      </c>
      <c r="F1277" s="26">
        <f t="shared" ref="F1277:I1277" si="900">F880</f>
        <v>0</v>
      </c>
      <c r="G1277" s="26">
        <f t="shared" si="900"/>
        <v>0</v>
      </c>
      <c r="H1277" s="26">
        <f t="shared" si="900"/>
        <v>-91000</v>
      </c>
      <c r="I1277" s="26">
        <f t="shared" si="900"/>
        <v>-228000</v>
      </c>
      <c r="J1277" s="26">
        <f t="shared" ref="J1277" si="901">J880</f>
        <v>-228000</v>
      </c>
      <c r="L1277" s="27">
        <f>SUM(F1277:J1277)</f>
        <v>-547000</v>
      </c>
    </row>
    <row r="1278" spans="1:12" outlineLevel="1">
      <c r="A1278" s="2" t="str">
        <f ca="1">OFFSET(Язык!$A$585,0,LANGUAGE)</f>
        <v>Выплаты процентов по кредитам</v>
      </c>
      <c r="C1278" s="6" t="str">
        <f ca="1">CUR_Report</f>
        <v>$</v>
      </c>
      <c r="F1278" s="26">
        <f t="shared" ref="F1278:I1278" si="902">F863</f>
        <v>0</v>
      </c>
      <c r="G1278" s="26">
        <f t="shared" si="902"/>
        <v>0</v>
      </c>
      <c r="H1278" s="26">
        <f t="shared" si="902"/>
        <v>-76580.000000000015</v>
      </c>
      <c r="I1278" s="26">
        <f t="shared" si="902"/>
        <v>-63840.000000000007</v>
      </c>
      <c r="J1278" s="26">
        <f t="shared" ref="J1278" si="903">J863</f>
        <v>-31920.000000000004</v>
      </c>
      <c r="L1278" s="27">
        <f>SUM(F1278:J1278)</f>
        <v>-172340.00000000003</v>
      </c>
    </row>
    <row r="1279" spans="1:12" outlineLevel="1"/>
    <row r="1280" spans="1:12" outlineLevel="1">
      <c r="A1280" s="2" t="str">
        <f ca="1">OFFSET(Язык!$A$586,0,LANGUAGE)</f>
        <v>Общий коэффициент покрытия долга</v>
      </c>
      <c r="G1280" s="100" t="str">
        <f t="shared" ref="G1280:I1280" si="904">G1033</f>
        <v>-</v>
      </c>
      <c r="H1280" s="100">
        <f t="shared" ca="1" si="904"/>
        <v>2.3400502302619732</v>
      </c>
      <c r="I1280" s="100">
        <f t="shared" ca="1" si="904"/>
        <v>1.231462514157573</v>
      </c>
      <c r="J1280" s="100">
        <f t="shared" ref="J1280" ca="1" si="905">J1033</f>
        <v>1.4849630786200394</v>
      </c>
    </row>
    <row r="1281" spans="1:12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</row>
  </sheetData>
  <phoneticPr fontId="0" type="noConversion"/>
  <conditionalFormatting sqref="B548 B560">
    <cfRule type="cellIs" dxfId="5" priority="10" stopIfTrue="1" operator="notBetween">
      <formula>0</formula>
      <formula>1</formula>
    </cfRule>
  </conditionalFormatting>
  <conditionalFormatting sqref="G205:J205">
    <cfRule type="cellIs" dxfId="4" priority="11" stopIfTrue="1" operator="lessThan">
      <formula>0</formula>
    </cfRule>
  </conditionalFormatting>
  <conditionalFormatting sqref="G230:J230">
    <cfRule type="cellIs" dxfId="3" priority="1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_x000a_1 - основная валюта_x000a_2 - иностранная валюта" sqref="B1183 B614 B389 B410 B433 B1117 B356 B348 B340 B330 B189:B190 B130 B135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L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0" width="11.83203125" style="1" customWidth="1"/>
    <col min="11" max="11" width="1.83203125" style="1" customWidth="1"/>
    <col min="12" max="12" width="12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2" ht="12" thickBot="1"/>
    <row r="4" spans="1:12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2" ht="12" thickTop="1"/>
    <row r="6" spans="1:12">
      <c r="A6" s="48" t="str">
        <f ca="1">OFFSET(Язык!$A$668,0,LANGUAGE)</f>
        <v>Включение проектов в суммарные результаты:</v>
      </c>
    </row>
    <row r="7" spans="1:12">
      <c r="A7" s="1" t="str">
        <f>"    " &amp; Проект!PRJ_Name</f>
        <v xml:space="preserve">    Химчистка</v>
      </c>
      <c r="B7" s="137">
        <v>1</v>
      </c>
      <c r="C7" s="132" t="str">
        <f ca="1">OFFSET(Язык!$A$671,B7,LANGUAGE)</f>
        <v>да</v>
      </c>
    </row>
    <row r="9" spans="1:12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2" ht="12" thickBot="1"/>
    <row r="11" spans="1:12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J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/>
      <c r="L11" s="23" t="str">
        <f ca="1">OFFSET(Язык!$A$77,0,LANGUAGE)</f>
        <v>ИТОГО</v>
      </c>
    </row>
    <row r="12" spans="1:12" ht="12" outlineLevel="1" thickTop="1"/>
    <row r="13" spans="1:12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2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2" outlineLevel="1"/>
    <row r="16" spans="1:12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1316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43392.857142857138</v>
      </c>
      <c r="H16" s="134">
        <f ca="1">SUMPRODUCT($B7:OFFSET($B8,-1,0),H17:OFFSET(H18,-1,0))+$B$9*Компания!H115</f>
        <v>95464.285714285696</v>
      </c>
      <c r="I16" s="134">
        <f ca="1">SUMPRODUCT($B7:OFFSET($B8,-1,0),I17:OFFSET(I18,-1,0))+$B$9*Компания!I115</f>
        <v>105010.71428571428</v>
      </c>
      <c r="J16" s="134">
        <f ca="1">SUMPRODUCT($B7:OFFSET($B8,-1,0),J17:OFFSET(J18,-1,0))+$B$9*Компания!J115</f>
        <v>115511.78571428571</v>
      </c>
      <c r="K16" s="134"/>
      <c r="L16" s="134">
        <f t="shared" ref="L16:L31" ca="1" si="2">SUM(F16:J16)</f>
        <v>359379.64285714284</v>
      </c>
    </row>
    <row r="17" spans="1:12" hidden="1" outlineLevel="2">
      <c r="A17" s="13" t="str">
        <f>A7</f>
        <v xml:space="preserve">    Химчистка</v>
      </c>
      <c r="B17" s="135"/>
      <c r="C17" s="175" t="str">
        <f t="shared" ca="1" si="1"/>
        <v>$</v>
      </c>
      <c r="D17" s="135" t="s">
        <v>1317</v>
      </c>
      <c r="E17" s="135"/>
      <c r="F17" s="136">
        <f ca="1">Проект!F$682</f>
        <v>0</v>
      </c>
      <c r="G17" s="136">
        <f ca="1">Проект!G$682</f>
        <v>43392.857142857138</v>
      </c>
      <c r="H17" s="136">
        <f ca="1">Проект!H$682</f>
        <v>95464.285714285696</v>
      </c>
      <c r="I17" s="136">
        <f ca="1">Проект!I$682</f>
        <v>105010.71428571428</v>
      </c>
      <c r="J17" s="136">
        <f ca="1">Проект!J$682</f>
        <v>115511.78571428571</v>
      </c>
      <c r="K17" s="136"/>
      <c r="L17" s="136">
        <f t="shared" ca="1" si="2"/>
        <v>359379.64285714284</v>
      </c>
    </row>
    <row r="18" spans="1:12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1316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75169.60714285713</v>
      </c>
      <c r="H18" s="134">
        <f ca="1">SUMPRODUCT($B7:OFFSET($B8,-1,0),H19:OFFSET(H20,-1,0))+$B$9*(Компания!H131+Компания!H176)</f>
        <v>36563.571428571428</v>
      </c>
      <c r="I18" s="134">
        <f ca="1">SUMPRODUCT($B7:OFFSET($B8,-1,0),I19:OFFSET(I20,-1,0))+$B$9*(Компания!I131+Компания!I176)</f>
        <v>40219.928571428572</v>
      </c>
      <c r="J18" s="134">
        <f ca="1">SUMPRODUCT($B7:OFFSET($B8,-1,0),J19:OFFSET(J20,-1,0))+$B$9*(Компания!J131+Компания!J176)</f>
        <v>44241.921428571433</v>
      </c>
      <c r="K18" s="134"/>
      <c r="L18" s="134">
        <f t="shared" ca="1" si="2"/>
        <v>196195.02857142856</v>
      </c>
    </row>
    <row r="19" spans="1:12" hidden="1" outlineLevel="2">
      <c r="A19" s="13" t="str">
        <f>A7</f>
        <v xml:space="preserve">    Химчистка</v>
      </c>
      <c r="B19" s="135"/>
      <c r="C19" s="175" t="str">
        <f t="shared" ca="1" si="1"/>
        <v>$</v>
      </c>
      <c r="D19" s="135" t="s">
        <v>1317</v>
      </c>
      <c r="E19" s="135"/>
      <c r="F19" s="136">
        <f ca="1">Проект!F$686</f>
        <v>0</v>
      </c>
      <c r="G19" s="136">
        <f ca="1">Проект!G$686</f>
        <v>75169.60714285713</v>
      </c>
      <c r="H19" s="136">
        <f ca="1">Проект!H$686</f>
        <v>36563.571428571428</v>
      </c>
      <c r="I19" s="136">
        <f ca="1">Проект!I$686</f>
        <v>40219.928571428572</v>
      </c>
      <c r="J19" s="136">
        <f ca="1">Проект!J$686</f>
        <v>44241.921428571433</v>
      </c>
      <c r="K19" s="136"/>
      <c r="L19" s="136">
        <f t="shared" ca="1" si="2"/>
        <v>196195.02857142856</v>
      </c>
    </row>
    <row r="20" spans="1:12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1316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58607.142857142855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/>
      <c r="L20" s="134">
        <f t="shared" ca="1" si="2"/>
        <v>58607.142857142855</v>
      </c>
    </row>
    <row r="21" spans="1:12" hidden="1" outlineLevel="2">
      <c r="A21" s="13" t="str">
        <f>A7</f>
        <v xml:space="preserve">    Химчистка</v>
      </c>
      <c r="B21" s="135"/>
      <c r="C21" s="175" t="str">
        <f t="shared" ca="1" si="1"/>
        <v>$</v>
      </c>
      <c r="D21" s="135" t="s">
        <v>1317</v>
      </c>
      <c r="E21" s="135"/>
      <c r="F21" s="136">
        <f>Проект!F$690</f>
        <v>0</v>
      </c>
      <c r="G21" s="136">
        <f>Проект!G$690</f>
        <v>58607.142857142855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/>
      <c r="L21" s="136">
        <f t="shared" si="2"/>
        <v>58607.142857142855</v>
      </c>
    </row>
    <row r="22" spans="1:12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1316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58607.142857142855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/>
      <c r="L22" s="134">
        <f t="shared" ca="1" si="2"/>
        <v>58607.142857142855</v>
      </c>
    </row>
    <row r="23" spans="1:12" hidden="1" outlineLevel="2">
      <c r="A23" s="13" t="str">
        <f>A7</f>
        <v xml:space="preserve">    Химчистка</v>
      </c>
      <c r="B23" s="135"/>
      <c r="C23" s="175" t="str">
        <f t="shared" ca="1" si="1"/>
        <v>$</v>
      </c>
      <c r="D23" s="135" t="s">
        <v>1317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58607.142857142855</v>
      </c>
      <c r="I23" s="136">
        <f ca="1">Проект!I$692</f>
        <v>0</v>
      </c>
      <c r="J23" s="136">
        <f ca="1">Проект!J$692</f>
        <v>0</v>
      </c>
      <c r="K23" s="136"/>
      <c r="L23" s="136">
        <f t="shared" ca="1" si="2"/>
        <v>58607.142857142855</v>
      </c>
    </row>
    <row r="24" spans="1:12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1737</v>
      </c>
      <c r="F24" s="134">
        <f ca="1">SUMPRODUCT($B7:OFFSET($B8,-1,0),F25:OFFSET(F26,-1,0))</f>
        <v>0</v>
      </c>
      <c r="G24" s="134">
        <f ca="1">SUMPRODUCT($B7:OFFSET($B8,-1,0),G25:OFFSET(G26,-1,0))</f>
        <v>58607.142857142855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/>
      <c r="L24" s="134">
        <f t="shared" ca="1" si="2"/>
        <v>58607.142857142855</v>
      </c>
    </row>
    <row r="25" spans="1:12" hidden="1" outlineLevel="2">
      <c r="A25" s="13" t="str">
        <f>A7</f>
        <v xml:space="preserve">    Химчистка</v>
      </c>
      <c r="B25" s="135"/>
      <c r="C25" s="175" t="str">
        <f t="shared" ca="1" si="1"/>
        <v>$</v>
      </c>
      <c r="D25" s="135" t="s">
        <v>1318</v>
      </c>
      <c r="E25" s="135"/>
      <c r="F25" s="136">
        <f ca="1">Проект!F$693</f>
        <v>0</v>
      </c>
      <c r="G25" s="136">
        <f ca="1">Проект!G$693</f>
        <v>58607.142857142855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/>
      <c r="L25" s="136">
        <f t="shared" ca="1" si="2"/>
        <v>58607.142857142855</v>
      </c>
    </row>
    <row r="26" spans="1:12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1316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26830.392857142855</v>
      </c>
      <c r="H26" s="134">
        <f ca="1">SUMPRODUCT($B7:OFFSET($B8,-1,0),H27:OFFSET(H28,-1,0))+$B$9*(Компания!H115-Компания!H131-Компания!H176)</f>
        <v>293.57142857142026</v>
      </c>
      <c r="I26" s="134">
        <f ca="1">SUMPRODUCT($B7:OFFSET($B8,-1,0),I27:OFFSET(I28,-1,0))+$B$9*(Компания!I115-Компания!I131-Компания!I176)</f>
        <v>64790.785714285696</v>
      </c>
      <c r="J26" s="134">
        <f ca="1">SUMPRODUCT($B7:OFFSET($B8,-1,0),J27:OFFSET(J28,-1,0))+$B$9*(Компания!J115-Компания!J131-Компания!J176)</f>
        <v>71269.864285714269</v>
      </c>
      <c r="K26" s="134"/>
      <c r="L26" s="134">
        <f t="shared" ca="1" si="2"/>
        <v>163184.61428571423</v>
      </c>
    </row>
    <row r="27" spans="1:12" hidden="1" outlineLevel="2">
      <c r="A27" s="13" t="str">
        <f>A7</f>
        <v xml:space="preserve">    Химчистка</v>
      </c>
      <c r="B27" s="135"/>
      <c r="C27" s="175" t="str">
        <f t="shared" ca="1" si="1"/>
        <v>$</v>
      </c>
      <c r="D27" s="135" t="s">
        <v>1317</v>
      </c>
      <c r="E27" s="135"/>
      <c r="F27" s="136">
        <f ca="1">Проект!F$694</f>
        <v>0</v>
      </c>
      <c r="G27" s="136">
        <f ca="1">Проект!G$694</f>
        <v>26830.392857142855</v>
      </c>
      <c r="H27" s="136">
        <f ca="1">Проект!H$694</f>
        <v>293.57142857142026</v>
      </c>
      <c r="I27" s="136">
        <f ca="1">Проект!I$694</f>
        <v>64790.785714285696</v>
      </c>
      <c r="J27" s="136">
        <f ca="1">Проект!J$694</f>
        <v>71269.864285714269</v>
      </c>
      <c r="K27" s="136"/>
      <c r="L27" s="136">
        <f t="shared" ca="1" si="2"/>
        <v>163184.61428571423</v>
      </c>
    </row>
    <row r="28" spans="1:12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1737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/>
      <c r="L28" s="134">
        <f t="shared" ca="1" si="2"/>
        <v>0</v>
      </c>
    </row>
    <row r="29" spans="1:12" hidden="1" outlineLevel="2">
      <c r="A29" s="13" t="str">
        <f>A7</f>
        <v xml:space="preserve">    Химчистка</v>
      </c>
      <c r="B29" s="135"/>
      <c r="C29" s="175" t="str">
        <f t="shared" ca="1" si="1"/>
        <v>$</v>
      </c>
      <c r="D29" s="135" t="s">
        <v>1317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/>
      <c r="L29" s="136">
        <f t="shared" ca="1" si="2"/>
        <v>0</v>
      </c>
    </row>
    <row r="30" spans="1:12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1316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26830.392857142855</v>
      </c>
      <c r="H30" s="134">
        <f ca="1">SUMPRODUCT($B7:OFFSET($B8,-1,0),H31:OFFSET(H32,-1,0))+$B$9*(Компания!H115-Компания!H131-Компания!H176)</f>
        <v>293.57142857142026</v>
      </c>
      <c r="I30" s="134">
        <f ca="1">SUMPRODUCT($B7:OFFSET($B8,-1,0),I31:OFFSET(I32,-1,0))+$B$9*(Компания!I115-Компания!I131-Компания!I176)</f>
        <v>64790.785714285696</v>
      </c>
      <c r="J30" s="134">
        <f ca="1">SUMPRODUCT($B7:OFFSET($B8,-1,0),J31:OFFSET(J32,-1,0))+$B$9*(Компания!J115-Компания!J131-Компания!J176)</f>
        <v>71269.864285714269</v>
      </c>
      <c r="K30" s="134"/>
      <c r="L30" s="134">
        <f t="shared" ca="1" si="2"/>
        <v>163184.61428571423</v>
      </c>
    </row>
    <row r="31" spans="1:12" hidden="1" outlineLevel="2">
      <c r="A31" s="13" t="str">
        <f>A7</f>
        <v xml:space="preserve">    Химчистка</v>
      </c>
      <c r="B31" s="135"/>
      <c r="C31" s="175" t="str">
        <f t="shared" ca="1" si="1"/>
        <v>$</v>
      </c>
      <c r="D31" s="135" t="s">
        <v>1317</v>
      </c>
      <c r="E31" s="135"/>
      <c r="F31" s="136">
        <f ca="1">Проект!F$691</f>
        <v>0</v>
      </c>
      <c r="G31" s="136">
        <f ca="1">Проект!G$691</f>
        <v>26830.392857142855</v>
      </c>
      <c r="H31" s="136">
        <f ca="1">Проект!H$691</f>
        <v>293.57142857142026</v>
      </c>
      <c r="I31" s="136">
        <f ca="1">Проект!I$691</f>
        <v>64790.785714285696</v>
      </c>
      <c r="J31" s="136">
        <f ca="1">Проект!J$691</f>
        <v>71269.864285714269</v>
      </c>
      <c r="K31" s="136"/>
      <c r="L31" s="136">
        <f t="shared" ca="1" si="2"/>
        <v>163184.61428571423</v>
      </c>
    </row>
    <row r="32" spans="1:12" outlineLevel="1">
      <c r="C32" s="132"/>
      <c r="F32" s="134"/>
      <c r="G32" s="134"/>
      <c r="H32" s="134"/>
      <c r="I32" s="134"/>
      <c r="J32" s="134"/>
      <c r="K32" s="134"/>
      <c r="L32" s="134"/>
    </row>
    <row r="33" spans="1:12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1316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29657.801428571431</v>
      </c>
      <c r="H33" s="134">
        <f ca="1">IF($B13=1,MAX(H83*ProfitTax,0),SUMPRODUCT($B7:OFFSET($B8,-1,0),H34:OFFSET(H35,-1,0))+$B$9*Компания!H224)</f>
        <v>46499.120285714271</v>
      </c>
      <c r="I33" s="134">
        <f ca="1">IF($B13=1,MAX(I83*ProfitTax,0),SUMPRODUCT($B7:OFFSET($B8,-1,0),I34:OFFSET(I35,-1,0))+$B$9*Компания!I224)</f>
        <v>55703.0358857143</v>
      </c>
      <c r="J33" s="134">
        <f ca="1">IF($B13=1,MAX(J83*ProfitTax,0),SUMPRODUCT($B7:OFFSET($B8,-1,0),J34:OFFSET(J35,-1,0))+$B$9*Компания!J224)</f>
        <v>70461.046617142842</v>
      </c>
      <c r="K33" s="134"/>
      <c r="L33" s="134">
        <f t="shared" ref="L33:L44" ca="1" si="4">SUM(F33:J33)</f>
        <v>202321.00421714288</v>
      </c>
    </row>
    <row r="34" spans="1:12" hidden="1" outlineLevel="2">
      <c r="A34" s="13" t="str">
        <f>A7</f>
        <v xml:space="preserve">    Химчистка</v>
      </c>
      <c r="B34" s="135"/>
      <c r="C34" s="175" t="str">
        <f t="shared" ca="1" si="3"/>
        <v>$</v>
      </c>
      <c r="D34" s="135" t="s">
        <v>1317</v>
      </c>
      <c r="E34" s="135"/>
      <c r="F34" s="136">
        <f>Проект!F$736</f>
        <v>0</v>
      </c>
      <c r="G34" s="136">
        <f ca="1">Проект!G$736</f>
        <v>29657.801428571431</v>
      </c>
      <c r="H34" s="136">
        <f ca="1">Проект!H$736</f>
        <v>46499.120285714271</v>
      </c>
      <c r="I34" s="136">
        <f ca="1">Проект!I$736</f>
        <v>55703.0358857143</v>
      </c>
      <c r="J34" s="136">
        <f ca="1">Проект!J$736</f>
        <v>70461.046617142842</v>
      </c>
      <c r="K34" s="136"/>
      <c r="L34" s="134">
        <f t="shared" ca="1" si="4"/>
        <v>202321.00421714288</v>
      </c>
    </row>
    <row r="35" spans="1:12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1316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/>
      <c r="L35" s="134">
        <f t="shared" ca="1" si="4"/>
        <v>0</v>
      </c>
    </row>
    <row r="36" spans="1:12" hidden="1" outlineLevel="2">
      <c r="A36" s="13" t="str">
        <f>A7</f>
        <v xml:space="preserve">    Химчистка</v>
      </c>
      <c r="B36" s="135"/>
      <c r="C36" s="175" t="str">
        <f t="shared" ca="1" si="3"/>
        <v>$</v>
      </c>
      <c r="D36" s="135" t="s">
        <v>1317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/>
      <c r="L36" s="134">
        <f t="shared" si="4"/>
        <v>0</v>
      </c>
    </row>
    <row r="37" spans="1:12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1316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/>
      <c r="L37" s="134">
        <f t="shared" ca="1" si="4"/>
        <v>0</v>
      </c>
    </row>
    <row r="38" spans="1:12" hidden="1" outlineLevel="2">
      <c r="A38" s="13" t="str">
        <f>A7</f>
        <v xml:space="preserve">    Химчистка</v>
      </c>
      <c r="B38" s="135"/>
      <c r="C38" s="175" t="str">
        <f t="shared" ca="1" si="3"/>
        <v>$</v>
      </c>
      <c r="D38" s="135" t="s">
        <v>1317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/>
      <c r="L38" s="134">
        <f t="shared" si="4"/>
        <v>0</v>
      </c>
    </row>
    <row r="39" spans="1:12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1737</v>
      </c>
      <c r="F39" s="134">
        <f ca="1">SUMPRODUCT($B7:OFFSET($B8,-1,0),F40:OFFSET(F41,-1,0))</f>
        <v>0</v>
      </c>
      <c r="G39" s="134">
        <f ca="1">SUMPRODUCT($B7:OFFSET($B8,-1,0),G40:OFFSET(G41,-1,0))</f>
        <v>148289.00714285715</v>
      </c>
      <c r="H39" s="134">
        <f ca="1">SUMPRODUCT($B7:OFFSET($B8,-1,0),H40:OFFSET(H41,-1,0))</f>
        <v>232495.60142857133</v>
      </c>
      <c r="I39" s="134">
        <f ca="1">SUMPRODUCT($B7:OFFSET($B8,-1,0),I40:OFFSET(I41,-1,0))</f>
        <v>278515.17942857149</v>
      </c>
      <c r="J39" s="134">
        <f ca="1">SUMPRODUCT($B7:OFFSET($B8,-1,0),J40:OFFSET(J41,-1,0))</f>
        <v>352305.23308571422</v>
      </c>
      <c r="K39" s="134"/>
      <c r="L39" s="134">
        <f t="shared" ca="1" si="4"/>
        <v>1011605.0210857142</v>
      </c>
    </row>
    <row r="40" spans="1:12" hidden="1" outlineLevel="2">
      <c r="A40" s="13" t="str">
        <f>A7</f>
        <v xml:space="preserve">    Химчистка</v>
      </c>
      <c r="B40" s="135"/>
      <c r="C40" s="175" t="str">
        <f t="shared" ca="1" si="3"/>
        <v>$</v>
      </c>
      <c r="D40" s="135" t="s">
        <v>1318</v>
      </c>
      <c r="E40" s="135"/>
      <c r="F40" s="136">
        <f>Проект!F$740</f>
        <v>0</v>
      </c>
      <c r="G40" s="136">
        <f ca="1">Проект!G$740</f>
        <v>148289.00714285715</v>
      </c>
      <c r="H40" s="136">
        <f ca="1">Проект!H$740</f>
        <v>232495.60142857133</v>
      </c>
      <c r="I40" s="136">
        <f ca="1">Проект!I$740</f>
        <v>278515.17942857149</v>
      </c>
      <c r="J40" s="136">
        <f ca="1">Проект!J$740</f>
        <v>352305.23308571422</v>
      </c>
      <c r="K40" s="136"/>
      <c r="L40" s="134">
        <f t="shared" ca="1" si="4"/>
        <v>1011605.0210857142</v>
      </c>
    </row>
    <row r="41" spans="1:12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1316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/>
      <c r="L41" s="134">
        <f t="shared" ca="1" si="4"/>
        <v>0</v>
      </c>
    </row>
    <row r="42" spans="1:12" hidden="1" outlineLevel="2">
      <c r="A42" s="13" t="str">
        <f>A7</f>
        <v xml:space="preserve">    Химчистка</v>
      </c>
      <c r="B42" s="135"/>
      <c r="C42" s="175" t="str">
        <f t="shared" ca="1" si="3"/>
        <v>$</v>
      </c>
      <c r="D42" s="135" t="s">
        <v>1317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/>
      <c r="L42" s="134">
        <f t="shared" ca="1" si="4"/>
        <v>0</v>
      </c>
    </row>
    <row r="43" spans="1:12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1316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IF($B14=1,#REF!*IF(Проект!I27&gt;Проект!$B852,Проект!$B853,0),SUMPRODUCT($B7:OFFSET($B8,-1,0),I44:OFFSET(I45,-1,0))+$B$9*Компания!I254)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/>
      <c r="L43" s="134">
        <f t="shared" ca="1" si="4"/>
        <v>0</v>
      </c>
    </row>
    <row r="44" spans="1:12" hidden="1" outlineLevel="2">
      <c r="A44" s="13" t="str">
        <f>A7</f>
        <v xml:space="preserve">    Химчистка</v>
      </c>
      <c r="B44" s="135"/>
      <c r="C44" s="175" t="str">
        <f t="shared" ca="1" si="3"/>
        <v>$</v>
      </c>
      <c r="D44" s="135" t="s">
        <v>1317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/>
      <c r="L44" s="134">
        <f t="shared" ca="1" si="4"/>
        <v>0</v>
      </c>
    </row>
    <row r="45" spans="1:12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2" outlineLevel="1" thickBot="1"/>
    <row r="47" spans="1:12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J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/>
      <c r="L47" s="23" t="str">
        <f ca="1">OFFSET(Язык!$A$77,0,LANGUAGE)</f>
        <v>ИТОГО</v>
      </c>
    </row>
    <row r="48" spans="1:12" ht="12" outlineLevel="1" thickTop="1"/>
    <row r="49" spans="1:12" outlineLevel="1" collapsed="1">
      <c r="A49" s="133" t="str">
        <f ca="1">OFFSET(Язык!$A$376,0,LANGUAGE)</f>
        <v>Выручка (нетто)</v>
      </c>
      <c r="C49" s="132" t="str">
        <f t="shared" ref="C49:C94" ca="1" si="6">CUR_Report</f>
        <v>$</v>
      </c>
      <c r="D49" s="1" t="s">
        <v>1316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361607.14285714284</v>
      </c>
      <c r="H49" s="134">
        <f ca="1">SUMPRODUCT($B7:OFFSET($B8,-1,0),H50:OFFSET(H51,-1,0))+$B$9*Компания!H206/IF(CUR_I_Report=2,Проект!H$98,1)</f>
        <v>795535.7142857142</v>
      </c>
      <c r="I49" s="134">
        <f ca="1">SUMPRODUCT($B7:OFFSET($B8,-1,0),I50:OFFSET(I51,-1,0))+$B$9*Компания!I206/IF(CUR_I_Report=2,Проект!I$98,1)</f>
        <v>875089.28571428568</v>
      </c>
      <c r="J49" s="134">
        <f ca="1">SUMPRODUCT($B7:OFFSET($B8,-1,0),J50:OFFSET(J51,-1,0))+$B$9*Компания!J206/IF(CUR_I_Report=2,Проект!J$98,1)</f>
        <v>962598.21428571432</v>
      </c>
      <c r="K49" s="134"/>
      <c r="L49" s="134">
        <f t="shared" ref="L49:L92" ca="1" si="7">SUM(F49:J49)</f>
        <v>2994830.3571428573</v>
      </c>
    </row>
    <row r="50" spans="1:12" hidden="1" outlineLevel="2">
      <c r="A50" s="13" t="str">
        <f>A7</f>
        <v xml:space="preserve">    Химчистка</v>
      </c>
      <c r="B50" s="135"/>
      <c r="C50" s="132" t="str">
        <f t="shared" ca="1" si="6"/>
        <v>$</v>
      </c>
      <c r="D50" s="135" t="s">
        <v>1317</v>
      </c>
      <c r="E50" s="135"/>
      <c r="F50" s="136">
        <f>Проект!F$750</f>
        <v>0</v>
      </c>
      <c r="G50" s="136">
        <f>Проект!G$750</f>
        <v>361607.14285714284</v>
      </c>
      <c r="H50" s="136">
        <f>Проект!H$750</f>
        <v>795535.7142857142</v>
      </c>
      <c r="I50" s="136">
        <f>Проект!I$750</f>
        <v>875089.28571428568</v>
      </c>
      <c r="J50" s="136">
        <f>Проект!J$750</f>
        <v>962598.21428571432</v>
      </c>
      <c r="K50" s="136"/>
      <c r="L50" s="136">
        <f t="shared" si="7"/>
        <v>2994830.3571428573</v>
      </c>
    </row>
    <row r="51" spans="1:12" outlineLevel="1" collapsed="1">
      <c r="A51" s="45" t="str">
        <f ca="1">OFFSET(Язык!$A$377,0,LANGUAGE)</f>
        <v xml:space="preserve"> -  Себестоимость проданных товаров</v>
      </c>
      <c r="C51" s="132" t="str">
        <f t="shared" ca="1" si="6"/>
        <v>$</v>
      </c>
      <c r="D51" s="1" t="s">
        <v>1316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213318.13571428569</v>
      </c>
      <c r="H51" s="134">
        <f ca="1">SUMPRODUCT($B7:OFFSET($B8,-1,0),H52:OFFSET(H53,-1,0))+$B$9*Компания!H207/IF(CUR_I_Report=2,Проект!H$98,1)</f>
        <v>482113.14857142861</v>
      </c>
      <c r="I51" s="134">
        <f ca="1">SUMPRODUCT($B7:OFFSET($B8,-1,0),I52:OFFSET(I53,-1,0))+$B$9*Компания!I207/IF(CUR_I_Report=2,Проект!I$98,1)</f>
        <v>524574.46342857135</v>
      </c>
      <c r="J51" s="134">
        <f ca="1">SUMPRODUCT($B7:OFFSET($B8,-1,0),J52:OFFSET(J53,-1,0))+$B$9*Компания!J207/IF(CUR_I_Report=2,Проект!J$98,1)</f>
        <v>571281.90977142868</v>
      </c>
      <c r="K51" s="134"/>
      <c r="L51" s="134">
        <f t="shared" ca="1" si="7"/>
        <v>1791287.6574857144</v>
      </c>
    </row>
    <row r="52" spans="1:12" hidden="1" outlineLevel="2">
      <c r="A52" s="13" t="str">
        <f>A7</f>
        <v xml:space="preserve">    Химчистка</v>
      </c>
      <c r="B52" s="135"/>
      <c r="C52" s="132" t="str">
        <f t="shared" ca="1" si="6"/>
        <v>$</v>
      </c>
      <c r="D52" s="135" t="s">
        <v>1317</v>
      </c>
      <c r="E52" s="135"/>
      <c r="F52" s="136">
        <f>Проект!F$751</f>
        <v>0</v>
      </c>
      <c r="G52" s="136">
        <f ca="1">Проект!G$751</f>
        <v>213318.13571428569</v>
      </c>
      <c r="H52" s="136">
        <f ca="1">Проект!H$751</f>
        <v>482113.14857142861</v>
      </c>
      <c r="I52" s="136">
        <f ca="1">Проект!I$751</f>
        <v>524574.46342857135</v>
      </c>
      <c r="J52" s="136">
        <f ca="1">Проект!J$751</f>
        <v>571281.90977142868</v>
      </c>
      <c r="K52" s="136"/>
      <c r="L52" s="136">
        <f t="shared" ca="1" si="7"/>
        <v>1791287.6574857144</v>
      </c>
    </row>
    <row r="53" spans="1:12" outlineLevel="1" collapsed="1">
      <c r="A53" s="45" t="str">
        <f ca="1">OFFSET(Язык!$A$378,0,LANGUAGE)</f>
        <v xml:space="preserve">    материалы и комплектующие</v>
      </c>
      <c r="C53" s="132" t="str">
        <f t="shared" ca="1" si="6"/>
        <v>$</v>
      </c>
      <c r="D53" s="1" t="s">
        <v>1316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120535.71428571426</v>
      </c>
      <c r="H53" s="134">
        <f ca="1">SUMPRODUCT($B7:OFFSET($B8,-1,0),H54:OFFSET(H55,-1,0))+$B$9*Компания!H208/IF(CUR_I_Report=2,Проект!H$98,1)</f>
        <v>265178.57142857142</v>
      </c>
      <c r="I53" s="134">
        <f ca="1">SUMPRODUCT($B7:OFFSET($B8,-1,0),I54:OFFSET(I55,-1,0))+$B$9*Компания!I208/IF(CUR_I_Report=2,Проект!I$98,1)</f>
        <v>291696.42857142858</v>
      </c>
      <c r="J53" s="134">
        <f ca="1">SUMPRODUCT($B7:OFFSET($B8,-1,0),J54:OFFSET(J55,-1,0))+$B$9*Компания!J208/IF(CUR_I_Report=2,Проект!J$98,1)</f>
        <v>320866.07142857148</v>
      </c>
      <c r="K53" s="134"/>
      <c r="L53" s="134">
        <f t="shared" ca="1" si="7"/>
        <v>998276.7857142858</v>
      </c>
    </row>
    <row r="54" spans="1:12" hidden="1" outlineLevel="2">
      <c r="A54" s="13" t="str">
        <f>A7</f>
        <v xml:space="preserve">    Химчистка</v>
      </c>
      <c r="B54" s="135"/>
      <c r="C54" s="132" t="str">
        <f t="shared" ca="1" si="6"/>
        <v>$</v>
      </c>
      <c r="D54" s="135" t="s">
        <v>1317</v>
      </c>
      <c r="E54" s="135"/>
      <c r="F54" s="136">
        <f>Проект!F$752</f>
        <v>0</v>
      </c>
      <c r="G54" s="136">
        <f>Проект!G$752</f>
        <v>120535.71428571426</v>
      </c>
      <c r="H54" s="136">
        <f>Проект!H$752</f>
        <v>265178.57142857142</v>
      </c>
      <c r="I54" s="136">
        <f>Проект!I$752</f>
        <v>291696.42857142858</v>
      </c>
      <c r="J54" s="136">
        <f>Проект!J$752</f>
        <v>320866.07142857148</v>
      </c>
      <c r="K54" s="136"/>
      <c r="L54" s="136">
        <f t="shared" si="7"/>
        <v>998276.7857142858</v>
      </c>
    </row>
    <row r="55" spans="1:12" outlineLevel="1" collapsed="1">
      <c r="A55" s="45" t="str">
        <f ca="1">OFFSET(Язык!$A$379,0,LANGUAGE)</f>
        <v xml:space="preserve">    оплата труда</v>
      </c>
      <c r="C55" s="132" t="str">
        <f t="shared" ca="1" si="6"/>
        <v>$</v>
      </c>
      <c r="D55" s="1" t="s">
        <v>1316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59760</v>
      </c>
      <c r="H55" s="134">
        <f ca="1">SUMPRODUCT($B7:OFFSET($B8,-1,0),H56:OFFSET(H57,-1,0))+$B$9*Компания!H209/IF(CUR_I_Report=2,Проект!H$98,1)</f>
        <v>95172</v>
      </c>
      <c r="I55" s="134">
        <f ca="1">SUMPRODUCT($B7:OFFSET($B8,-1,0),I56:OFFSET(I57,-1,0))+$B$9*Компания!I209/IF(CUR_I_Report=2,Проект!I$98,1)</f>
        <v>104689.2</v>
      </c>
      <c r="J55" s="134">
        <f ca="1">SUMPRODUCT($B7:OFFSET($B8,-1,0),J56:OFFSET(J57,-1,0))+$B$9*Компания!J209/IF(CUR_I_Report=2,Проект!J$98,1)</f>
        <v>115158.12</v>
      </c>
      <c r="K55" s="134"/>
      <c r="L55" s="134">
        <f t="shared" ca="1" si="7"/>
        <v>374779.32</v>
      </c>
    </row>
    <row r="56" spans="1:12" hidden="1" outlineLevel="2">
      <c r="A56" s="13" t="str">
        <f>A7</f>
        <v xml:space="preserve">    Химчистка</v>
      </c>
      <c r="B56" s="135"/>
      <c r="C56" s="132" t="str">
        <f t="shared" ca="1" si="6"/>
        <v>$</v>
      </c>
      <c r="D56" s="135" t="s">
        <v>1317</v>
      </c>
      <c r="E56" s="135"/>
      <c r="F56" s="136">
        <f>Проект!F$753</f>
        <v>0</v>
      </c>
      <c r="G56" s="136">
        <f ca="1">Проект!G$753</f>
        <v>59760</v>
      </c>
      <c r="H56" s="136">
        <f>Проект!H$753</f>
        <v>95172</v>
      </c>
      <c r="I56" s="136">
        <f ca="1">Проект!I$753</f>
        <v>104689.2</v>
      </c>
      <c r="J56" s="136">
        <f ca="1">Проект!J$753</f>
        <v>115158.12</v>
      </c>
      <c r="K56" s="136"/>
      <c r="L56" s="136">
        <f t="shared" ca="1" si="7"/>
        <v>374779.32</v>
      </c>
    </row>
    <row r="57" spans="1:12" outlineLevel="1" collapsed="1">
      <c r="A57" s="45" t="str">
        <f ca="1">OFFSET(Язык!$A$380,0,LANGUAGE)</f>
        <v xml:space="preserve">    налоги, относимые на текущие затраты</v>
      </c>
      <c r="C57" s="132" t="str">
        <f t="shared" ca="1" si="6"/>
        <v>$</v>
      </c>
      <c r="D57" s="1" t="s">
        <v>1316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15537.599999999999</v>
      </c>
      <c r="H57" s="134">
        <f ca="1">SUMPRODUCT($B7:OFFSET($B8,-1,0),H58:OFFSET(H59,-1,0))+$B$9*Компания!H210/IF(CUR_I_Report=2,Проект!H$98,1)</f>
        <v>24744.720000000001</v>
      </c>
      <c r="I57" s="134">
        <f ca="1">SUMPRODUCT($B7:OFFSET($B8,-1,0),I58:OFFSET(I59,-1,0))+$B$9*Компания!I210/IF(CUR_I_Report=2,Проект!I$98,1)</f>
        <v>27219.192000000003</v>
      </c>
      <c r="J57" s="134">
        <f ca="1">SUMPRODUCT($B7:OFFSET($B8,-1,0),J58:OFFSET(J59,-1,0))+$B$9*Компания!J210/IF(CUR_I_Report=2,Проект!J$98,1)</f>
        <v>29941.111200000003</v>
      </c>
      <c r="K57" s="134"/>
      <c r="L57" s="134">
        <f t="shared" ca="1" si="7"/>
        <v>97442.623200000002</v>
      </c>
    </row>
    <row r="58" spans="1:12" hidden="1" outlineLevel="2">
      <c r="A58" s="13" t="str">
        <f>A7</f>
        <v xml:space="preserve">    Химчистка</v>
      </c>
      <c r="B58" s="135"/>
      <c r="C58" s="132" t="str">
        <f t="shared" ca="1" si="6"/>
        <v>$</v>
      </c>
      <c r="D58" s="135" t="s">
        <v>1317</v>
      </c>
      <c r="E58" s="135"/>
      <c r="F58" s="136">
        <f>Проект!F$754</f>
        <v>0</v>
      </c>
      <c r="G58" s="136">
        <f ca="1">Проект!G$754</f>
        <v>15537.599999999999</v>
      </c>
      <c r="H58" s="136">
        <f>Проект!H$754</f>
        <v>24744.720000000001</v>
      </c>
      <c r="I58" s="136">
        <f ca="1">Проект!I$754</f>
        <v>27219.192000000003</v>
      </c>
      <c r="J58" s="136">
        <f ca="1">Проект!J$754</f>
        <v>29941.111200000003</v>
      </c>
      <c r="K58" s="136"/>
      <c r="L58" s="136">
        <f t="shared" ca="1" si="7"/>
        <v>97442.623200000002</v>
      </c>
    </row>
    <row r="59" spans="1:12" outlineLevel="1" collapsed="1">
      <c r="A59" s="45" t="str">
        <f ca="1">OFFSET(Язык!$A$381,0,LANGUAGE)</f>
        <v xml:space="preserve">    производственные расходы</v>
      </c>
      <c r="C59" s="132" t="str">
        <f t="shared" ca="1" si="6"/>
        <v>$</v>
      </c>
      <c r="D59" s="1" t="s">
        <v>1316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17484.821428571428</v>
      </c>
      <c r="H59" s="134">
        <f ca="1">SUMPRODUCT($B7:OFFSET($B8,-1,0),H60:OFFSET(H61,-1,0))+$B$9*Компания!H211/IF(CUR_I_Report=2,Проект!H$98,1)</f>
        <v>39517.857142857145</v>
      </c>
      <c r="I59" s="134">
        <f ca="1">SUMPRODUCT($B7:OFFSET($B8,-1,0),I60:OFFSET(I61,-1,0))+$B$9*Компания!I211/IF(CUR_I_Report=2,Проект!I$98,1)</f>
        <v>43469.642857142862</v>
      </c>
      <c r="J59" s="134">
        <f ca="1">SUMPRODUCT($B7:OFFSET($B8,-1,0),J60:OFFSET(J61,-1,0))+$B$9*Компания!J211/IF(CUR_I_Report=2,Проект!J$98,1)</f>
        <v>47816.607142857152</v>
      </c>
      <c r="K59" s="134"/>
      <c r="L59" s="134">
        <f t="shared" ca="1" si="7"/>
        <v>148288.92857142858</v>
      </c>
    </row>
    <row r="60" spans="1:12" hidden="1" outlineLevel="2">
      <c r="A60" s="13" t="str">
        <f>A7</f>
        <v xml:space="preserve">    Химчистка</v>
      </c>
      <c r="B60" s="135"/>
      <c r="C60" s="132" t="str">
        <f t="shared" ca="1" si="6"/>
        <v>$</v>
      </c>
      <c r="D60" s="135" t="s">
        <v>1317</v>
      </c>
      <c r="E60" s="135"/>
      <c r="F60" s="136">
        <f>Проект!F$755</f>
        <v>0</v>
      </c>
      <c r="G60" s="136">
        <f>Проект!G$755</f>
        <v>17484.821428571428</v>
      </c>
      <c r="H60" s="136">
        <f>Проект!H$755</f>
        <v>39517.857142857145</v>
      </c>
      <c r="I60" s="136">
        <f>Проект!I$755</f>
        <v>43469.642857142862</v>
      </c>
      <c r="J60" s="136">
        <f>Проект!J$755</f>
        <v>47816.607142857152</v>
      </c>
      <c r="K60" s="136"/>
      <c r="L60" s="136">
        <f t="shared" si="7"/>
        <v>148288.92857142858</v>
      </c>
    </row>
    <row r="61" spans="1:12" outlineLevel="1" collapsed="1">
      <c r="A61" s="45" t="str">
        <f ca="1">OFFSET(Язык!$A$382,0,LANGUAGE)</f>
        <v xml:space="preserve">    начисленные лизинговые платежи</v>
      </c>
      <c r="C61" s="132" t="str">
        <f t="shared" ca="1" si="6"/>
        <v>$</v>
      </c>
      <c r="D61" s="1" t="s">
        <v>1316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/>
      <c r="L61" s="134">
        <f t="shared" ca="1" si="7"/>
        <v>0</v>
      </c>
    </row>
    <row r="62" spans="1:12" hidden="1" outlineLevel="2">
      <c r="A62" s="13" t="str">
        <f>A7</f>
        <v xml:space="preserve">    Химчистка</v>
      </c>
      <c r="B62" s="135"/>
      <c r="C62" s="132" t="str">
        <f t="shared" ca="1" si="6"/>
        <v>$</v>
      </c>
      <c r="D62" s="135" t="s">
        <v>1317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/>
      <c r="L62" s="136">
        <f t="shared" ca="1" si="7"/>
        <v>0</v>
      </c>
    </row>
    <row r="63" spans="1:12" outlineLevel="1" collapsed="1">
      <c r="A63" s="45" t="str">
        <f ca="1">OFFSET(Язык!$A$383,0,LANGUAGE)</f>
        <v xml:space="preserve">    амортизация</v>
      </c>
      <c r="C63" s="132" t="str">
        <f t="shared" ca="1" si="6"/>
        <v>$</v>
      </c>
      <c r="D63" s="1" t="s">
        <v>1316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57500</v>
      </c>
      <c r="I63" s="134">
        <f ca="1">SUMPRODUCT($B7:OFFSET($B8,-1,0),I64:OFFSET(I65,-1,0))+$B$9*Компания!I213/IF(CUR_I_Report=2,Проект!I$98,1)</f>
        <v>57500</v>
      </c>
      <c r="J63" s="134">
        <f ca="1">SUMPRODUCT($B7:OFFSET($B8,-1,0),J64:OFFSET(J65,-1,0))+$B$9*Компания!J213/IF(CUR_I_Report=2,Проект!J$98,1)</f>
        <v>57500</v>
      </c>
      <c r="K63" s="134"/>
      <c r="L63" s="134">
        <f t="shared" ca="1" si="7"/>
        <v>172500</v>
      </c>
    </row>
    <row r="64" spans="1:12" hidden="1" outlineLevel="2">
      <c r="A64" s="13" t="str">
        <f>A7</f>
        <v xml:space="preserve">    Химчистка</v>
      </c>
      <c r="B64" s="135"/>
      <c r="C64" s="132" t="str">
        <f t="shared" ca="1" si="6"/>
        <v>$</v>
      </c>
      <c r="D64" s="135" t="s">
        <v>1317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57500</v>
      </c>
      <c r="I64" s="136">
        <f ca="1">Проект!I$757</f>
        <v>57500</v>
      </c>
      <c r="J64" s="136">
        <f ca="1">Проект!J$757</f>
        <v>57500</v>
      </c>
      <c r="K64" s="136"/>
      <c r="L64" s="136">
        <f t="shared" ca="1" si="7"/>
        <v>172500</v>
      </c>
    </row>
    <row r="65" spans="1:12" outlineLevel="1" collapsed="1">
      <c r="A65" s="133" t="str">
        <f ca="1">OFFSET(Язык!$A$384,0,LANGUAGE)</f>
        <v>Валовая прибыль</v>
      </c>
      <c r="C65" s="132" t="str">
        <f t="shared" ca="1" si="6"/>
        <v>$</v>
      </c>
      <c r="D65" s="1" t="s">
        <v>1316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148289.00714285715</v>
      </c>
      <c r="H65" s="134">
        <f ca="1">SUMPRODUCT($B7:OFFSET($B8,-1,0),H66:OFFSET(H67,-1,0))+$B$9*Компания!H214/IF(CUR_I_Report=2,Проект!H$98,1)</f>
        <v>313422.56571428559</v>
      </c>
      <c r="I65" s="134">
        <f ca="1">SUMPRODUCT($B7:OFFSET($B8,-1,0),I66:OFFSET(I67,-1,0))+$B$9*Компания!I214/IF(CUR_I_Report=2,Проект!I$98,1)</f>
        <v>350514.82228571433</v>
      </c>
      <c r="J65" s="134">
        <f ca="1">SUMPRODUCT($B7:OFFSET($B8,-1,0),J66:OFFSET(J67,-1,0))+$B$9*Компания!J214/IF(CUR_I_Report=2,Проект!J$98,1)</f>
        <v>391316.30451428564</v>
      </c>
      <c r="K65" s="134"/>
      <c r="L65" s="134">
        <f t="shared" ca="1" si="7"/>
        <v>1203542.6996571426</v>
      </c>
    </row>
    <row r="66" spans="1:12" hidden="1" outlineLevel="2">
      <c r="A66" s="13" t="str">
        <f>A7</f>
        <v xml:space="preserve">    Химчистка</v>
      </c>
      <c r="B66" s="135"/>
      <c r="C66" s="132" t="str">
        <f t="shared" ca="1" si="6"/>
        <v>$</v>
      </c>
      <c r="D66" s="135" t="s">
        <v>1317</v>
      </c>
      <c r="E66" s="135"/>
      <c r="F66" s="136">
        <f>Проект!F$758</f>
        <v>0</v>
      </c>
      <c r="G66" s="136">
        <f ca="1">Проект!G$758</f>
        <v>148289.00714285715</v>
      </c>
      <c r="H66" s="136">
        <f ca="1">Проект!H$758</f>
        <v>313422.56571428559</v>
      </c>
      <c r="I66" s="136">
        <f ca="1">Проект!I$758</f>
        <v>350514.82228571433</v>
      </c>
      <c r="J66" s="136">
        <f ca="1">Проект!J$758</f>
        <v>391316.30451428564</v>
      </c>
      <c r="K66" s="136"/>
      <c r="L66" s="136">
        <f t="shared" ca="1" si="7"/>
        <v>1203542.6996571426</v>
      </c>
    </row>
    <row r="67" spans="1:12" outlineLevel="1" collapsed="1">
      <c r="A67" s="45" t="str">
        <f ca="1">OFFSET(Язык!$A$385,0,LANGUAGE)</f>
        <v xml:space="preserve"> -  Коммерческие расходы</v>
      </c>
      <c r="C67" s="132" t="str">
        <f t="shared" ca="1" si="6"/>
        <v>$</v>
      </c>
      <c r="D67" s="1" t="s">
        <v>1316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/>
      <c r="L67" s="134">
        <f t="shared" ca="1" si="7"/>
        <v>0</v>
      </c>
    </row>
    <row r="68" spans="1:12" hidden="1" outlineLevel="2">
      <c r="A68" s="13" t="str">
        <f>A7</f>
        <v xml:space="preserve">    Химчистка</v>
      </c>
      <c r="B68" s="135"/>
      <c r="C68" s="132" t="str">
        <f t="shared" ca="1" si="6"/>
        <v>$</v>
      </c>
      <c r="D68" s="135" t="s">
        <v>1317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/>
      <c r="L68" s="136">
        <f t="shared" ca="1" si="7"/>
        <v>0</v>
      </c>
    </row>
    <row r="69" spans="1:12" outlineLevel="1" collapsed="1">
      <c r="A69" s="45" t="str">
        <f ca="1">OFFSET(Язык!$A$386,0,LANGUAGE)</f>
        <v xml:space="preserve"> -  Административные расходы</v>
      </c>
      <c r="C69" s="132" t="str">
        <f t="shared" ca="1" si="6"/>
        <v>$</v>
      </c>
      <c r="D69" s="1" t="s">
        <v>1316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/>
      <c r="L69" s="134">
        <f t="shared" ca="1" si="7"/>
        <v>0</v>
      </c>
    </row>
    <row r="70" spans="1:12" hidden="1" outlineLevel="2">
      <c r="A70" s="13" t="str">
        <f>A7</f>
        <v xml:space="preserve">    Химчистка</v>
      </c>
      <c r="B70" s="135"/>
      <c r="C70" s="132" t="str">
        <f t="shared" ca="1" si="6"/>
        <v>$</v>
      </c>
      <c r="D70" s="135" t="s">
        <v>1317</v>
      </c>
      <c r="E70" s="135"/>
      <c r="F70" s="136">
        <f>Проект!F$760</f>
        <v>0</v>
      </c>
      <c r="G70" s="136">
        <f>Проект!G$760</f>
        <v>0</v>
      </c>
      <c r="H70" s="136">
        <f>Проект!H$760</f>
        <v>0</v>
      </c>
      <c r="I70" s="136">
        <f>Проект!I$760</f>
        <v>0</v>
      </c>
      <c r="J70" s="136">
        <f>Проект!J$760</f>
        <v>0</v>
      </c>
      <c r="K70" s="136"/>
      <c r="L70" s="136">
        <f t="shared" si="7"/>
        <v>0</v>
      </c>
    </row>
    <row r="71" spans="1:12" outlineLevel="1" collapsed="1">
      <c r="A71" s="133" t="str">
        <f ca="1">OFFSET(Язык!$A$387,0,LANGUAGE)</f>
        <v>Прибыль (убыток) от продаж</v>
      </c>
      <c r="C71" s="132" t="str">
        <f t="shared" ca="1" si="6"/>
        <v>$</v>
      </c>
      <c r="D71" s="1" t="s">
        <v>1316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148289.00714285715</v>
      </c>
      <c r="H71" s="134">
        <f ca="1">SUMPRODUCT($B7:OFFSET($B8,-1,0),H72:OFFSET(H73,-1,0))+$B$9*Компания!H217/IF(CUR_I_Report=2,Проект!H$98,1)</f>
        <v>313422.56571428559</v>
      </c>
      <c r="I71" s="134">
        <f ca="1">SUMPRODUCT($B7:OFFSET($B8,-1,0),I72:OFFSET(I73,-1,0))+$B$9*Компания!I217/IF(CUR_I_Report=2,Проект!I$98,1)</f>
        <v>350514.82228571433</v>
      </c>
      <c r="J71" s="134">
        <f ca="1">SUMPRODUCT($B7:OFFSET($B8,-1,0),J72:OFFSET(J73,-1,0))+$B$9*Компания!J217/IF(CUR_I_Report=2,Проект!J$98,1)</f>
        <v>391316.30451428564</v>
      </c>
      <c r="K71" s="134"/>
      <c r="L71" s="134">
        <f t="shared" ca="1" si="7"/>
        <v>1203542.6996571426</v>
      </c>
    </row>
    <row r="72" spans="1:12" hidden="1" outlineLevel="2">
      <c r="A72" s="13" t="str">
        <f>A7</f>
        <v xml:space="preserve">    Химчистка</v>
      </c>
      <c r="B72" s="135"/>
      <c r="C72" s="132" t="str">
        <f t="shared" ca="1" si="6"/>
        <v>$</v>
      </c>
      <c r="D72" s="135" t="s">
        <v>1317</v>
      </c>
      <c r="E72" s="135"/>
      <c r="F72" s="136">
        <f>Проект!F$761</f>
        <v>0</v>
      </c>
      <c r="G72" s="136">
        <f ca="1">Проект!G$761</f>
        <v>148289.00714285715</v>
      </c>
      <c r="H72" s="136">
        <f ca="1">Проект!H$761</f>
        <v>313422.56571428559</v>
      </c>
      <c r="I72" s="136">
        <f ca="1">Проект!I$761</f>
        <v>350514.82228571433</v>
      </c>
      <c r="J72" s="136">
        <f ca="1">Проект!J$761</f>
        <v>391316.30451428564</v>
      </c>
      <c r="K72" s="136"/>
      <c r="L72" s="136">
        <f t="shared" ca="1" si="7"/>
        <v>1203542.6996571426</v>
      </c>
    </row>
    <row r="73" spans="1:12" outlineLevel="1" collapsed="1">
      <c r="A73" s="45" t="str">
        <f ca="1">OFFSET(Язык!$A$388,0,LANGUAGE)</f>
        <v xml:space="preserve"> -  Налоги, относимые на финансовые результаты</v>
      </c>
      <c r="C73" s="132" t="str">
        <f t="shared" ca="1" si="6"/>
        <v>$</v>
      </c>
      <c r="D73" s="1" t="s">
        <v>1316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4346.9642857142853</v>
      </c>
      <c r="I73" s="134">
        <f ca="1">SUMPRODUCT($B7:OFFSET($B8,-1,0),I74:OFFSET(I75,-1,0))+$B$9*Компания!I218/IF(CUR_I_Report=2,Проект!I$98,1)</f>
        <v>8159.6428571428569</v>
      </c>
      <c r="J73" s="134">
        <f ca="1">SUMPRODUCT($B7:OFFSET($B8,-1,0),J74:OFFSET(J75,-1,0))+$B$9*Компания!J218/IF(CUR_I_Report=2,Проект!J$98,1)</f>
        <v>7091.0714285714266</v>
      </c>
      <c r="K73" s="134"/>
      <c r="L73" s="134">
        <f t="shared" ca="1" si="7"/>
        <v>19597.678571428569</v>
      </c>
    </row>
    <row r="74" spans="1:12" hidden="1" outlineLevel="2">
      <c r="A74" s="13" t="str">
        <f>A7</f>
        <v xml:space="preserve">    Химчистка</v>
      </c>
      <c r="B74" s="135"/>
      <c r="C74" s="132" t="str">
        <f t="shared" ca="1" si="6"/>
        <v>$</v>
      </c>
      <c r="D74" s="135" t="s">
        <v>1317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4346.9642857142853</v>
      </c>
      <c r="I74" s="136">
        <f ca="1">Проект!I$762</f>
        <v>8159.6428571428569</v>
      </c>
      <c r="J74" s="136">
        <f ca="1">Проект!J$762</f>
        <v>7091.0714285714266</v>
      </c>
      <c r="K74" s="136"/>
      <c r="L74" s="136">
        <f t="shared" ca="1" si="7"/>
        <v>19597.678571428569</v>
      </c>
    </row>
    <row r="75" spans="1:12" outlineLevel="1" collapsed="1">
      <c r="A75" s="45" t="str">
        <f ca="1">OFFSET(Язык!$A$389,0,LANGUAGE)</f>
        <v xml:space="preserve"> -  Проценты к уплате</v>
      </c>
      <c r="C75" s="132" t="str">
        <f t="shared" ca="1" si="6"/>
        <v>$</v>
      </c>
      <c r="D75" s="1" t="s">
        <v>1316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76580.000000000015</v>
      </c>
      <c r="I75" s="134">
        <f ca="1">SUMPRODUCT($B7:OFFSET($B8,-1,0),I76:OFFSET(I77,-1,0))+$B$9*Компания!I219/IF(CUR_I_Report=2,Проект!I$98,1)</f>
        <v>63840.000000000007</v>
      </c>
      <c r="J75" s="134">
        <f ca="1">SUMPRODUCT($B7:OFFSET($B8,-1,0),J76:OFFSET(J77,-1,0))+$B$9*Компания!J219/IF(CUR_I_Report=2,Проект!J$98,1)</f>
        <v>31920.000000000004</v>
      </c>
      <c r="K75" s="134"/>
      <c r="L75" s="134">
        <f t="shared" ca="1" si="7"/>
        <v>172340.00000000003</v>
      </c>
    </row>
    <row r="76" spans="1:12" hidden="1" outlineLevel="2">
      <c r="A76" s="13" t="str">
        <f>A7</f>
        <v xml:space="preserve">    Химчистка</v>
      </c>
      <c r="B76" s="135"/>
      <c r="C76" s="132" t="str">
        <f t="shared" ca="1" si="6"/>
        <v>$</v>
      </c>
      <c r="D76" s="135" t="s">
        <v>1317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76580.000000000015</v>
      </c>
      <c r="I76" s="136">
        <f ca="1">Проект!I$763</f>
        <v>63840.000000000007</v>
      </c>
      <c r="J76" s="136">
        <f ca="1">Проект!J$763</f>
        <v>31920.000000000004</v>
      </c>
      <c r="K76" s="136"/>
      <c r="L76" s="136">
        <f t="shared" ca="1" si="7"/>
        <v>172340.00000000003</v>
      </c>
    </row>
    <row r="77" spans="1:12" outlineLevel="1" collapsed="1">
      <c r="A77" s="45" t="str">
        <f ca="1">OFFSET(Язык!$A$390,0,LANGUAGE)</f>
        <v xml:space="preserve"> + Прибыль (убыток) от прочей реализации</v>
      </c>
      <c r="C77" s="132" t="str">
        <f t="shared" ca="1" si="6"/>
        <v>$</v>
      </c>
      <c r="D77" s="1" t="s">
        <v>1316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/>
      <c r="L77" s="134">
        <f t="shared" ca="1" si="7"/>
        <v>0</v>
      </c>
    </row>
    <row r="78" spans="1:12" hidden="1" outlineLevel="2">
      <c r="A78" s="13" t="str">
        <f>A7</f>
        <v xml:space="preserve">    Химчистка</v>
      </c>
      <c r="B78" s="135"/>
      <c r="C78" s="132" t="str">
        <f t="shared" ca="1" si="6"/>
        <v>$</v>
      </c>
      <c r="D78" s="135" t="s">
        <v>1317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/>
      <c r="L78" s="136">
        <f t="shared" si="7"/>
        <v>0</v>
      </c>
    </row>
    <row r="79" spans="1:12" outlineLevel="1" collapsed="1">
      <c r="A79" s="45" t="str">
        <f ca="1">OFFSET(Язык!$A$391,0,LANGUAGE)</f>
        <v xml:space="preserve"> + Курсовая разница и доходы от конвертации</v>
      </c>
      <c r="C79" s="132" t="str">
        <f t="shared" ca="1" si="6"/>
        <v>$</v>
      </c>
      <c r="D79" s="1" t="s">
        <v>1316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/>
      <c r="L79" s="134">
        <f t="shared" ca="1" si="7"/>
        <v>0</v>
      </c>
    </row>
    <row r="80" spans="1:12" hidden="1" outlineLevel="2">
      <c r="A80" s="13" t="str">
        <f>A7</f>
        <v xml:space="preserve">    Химчистка</v>
      </c>
      <c r="B80" s="135"/>
      <c r="C80" s="132" t="str">
        <f t="shared" ca="1" si="6"/>
        <v>$</v>
      </c>
      <c r="D80" s="135" t="s">
        <v>1317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/>
      <c r="L80" s="136">
        <f t="shared" ca="1" si="7"/>
        <v>0</v>
      </c>
    </row>
    <row r="81" spans="1:12" outlineLevel="1" collapsed="1">
      <c r="A81" s="45" t="str">
        <f ca="1">OFFSET(Язык!$A$392,0,LANGUAGE)</f>
        <v xml:space="preserve"> + Прочие внереализационные доходы (расходы)</v>
      </c>
      <c r="C81" s="132" t="str">
        <f t="shared" ca="1" si="6"/>
        <v>$</v>
      </c>
      <c r="D81" s="1" t="s">
        <v>1316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/>
      <c r="L81" s="134">
        <f t="shared" ca="1" si="7"/>
        <v>0</v>
      </c>
    </row>
    <row r="82" spans="1:12" hidden="1" outlineLevel="2">
      <c r="A82" s="13" t="str">
        <f>A7</f>
        <v xml:space="preserve">    Химчистка</v>
      </c>
      <c r="B82" s="135"/>
      <c r="C82" s="132" t="str">
        <f t="shared" ca="1" si="6"/>
        <v>$</v>
      </c>
      <c r="D82" s="135" t="s">
        <v>1317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/>
      <c r="L82" s="136">
        <f t="shared" ca="1" si="7"/>
        <v>0</v>
      </c>
    </row>
    <row r="83" spans="1:12" outlineLevel="1" collapsed="1">
      <c r="A83" s="133" t="str">
        <f ca="1">OFFSET(Язык!$A$393,0,LANGUAGE)</f>
        <v>Прибыль до налогообложения</v>
      </c>
      <c r="C83" s="132" t="str">
        <f t="shared" ca="1" si="6"/>
        <v>$</v>
      </c>
      <c r="D83" s="1" t="s">
        <v>1316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148289.00714285715</v>
      </c>
      <c r="H83" s="134">
        <f ca="1">SUMPRODUCT($B7:OFFSET($B8,-1,0),H84:OFFSET(H85,-1,0))+$B$9*Компания!H223/IF(CUR_I_Report=2,Проект!H$98,1)</f>
        <v>232495.60142857133</v>
      </c>
      <c r="I83" s="134">
        <f ca="1">SUMPRODUCT($B7:OFFSET($B8,-1,0),I84:OFFSET(I85,-1,0))+$B$9*Компания!I223/IF(CUR_I_Report=2,Проект!I$98,1)</f>
        <v>278515.17942857149</v>
      </c>
      <c r="J83" s="134">
        <f ca="1">SUMPRODUCT($B7:OFFSET($B8,-1,0),J84:OFFSET(J85,-1,0))+$B$9*Компания!J223/IF(CUR_I_Report=2,Проект!J$98,1)</f>
        <v>352305.23308571422</v>
      </c>
      <c r="K83" s="134"/>
      <c r="L83" s="134">
        <f t="shared" ca="1" si="7"/>
        <v>1011605.0210857142</v>
      </c>
    </row>
    <row r="84" spans="1:12" hidden="1" outlineLevel="2">
      <c r="A84" s="13" t="str">
        <f>A7</f>
        <v xml:space="preserve">    Химчистка</v>
      </c>
      <c r="B84" s="135"/>
      <c r="C84" s="132" t="str">
        <f t="shared" ca="1" si="6"/>
        <v>$</v>
      </c>
      <c r="D84" s="135" t="s">
        <v>1317</v>
      </c>
      <c r="E84" s="135"/>
      <c r="F84" s="136">
        <f>Проект!F$767</f>
        <v>0</v>
      </c>
      <c r="G84" s="136">
        <f ca="1">Проект!G$767</f>
        <v>148289.00714285715</v>
      </c>
      <c r="H84" s="136">
        <f ca="1">Проект!H$767</f>
        <v>232495.60142857133</v>
      </c>
      <c r="I84" s="136">
        <f ca="1">Проект!I$767</f>
        <v>278515.17942857149</v>
      </c>
      <c r="J84" s="136">
        <f ca="1">Проект!J$767</f>
        <v>352305.23308571422</v>
      </c>
      <c r="K84" s="136"/>
      <c r="L84" s="136">
        <f t="shared" ca="1" si="7"/>
        <v>1011605.0210857142</v>
      </c>
    </row>
    <row r="85" spans="1:12" outlineLevel="1" collapsed="1">
      <c r="A85" s="45" t="str">
        <f ca="1">OFFSET(Язык!$A$394,0,LANGUAGE)</f>
        <v xml:space="preserve"> -  Налог на прибыль</v>
      </c>
      <c r="C85" s="132" t="str">
        <f t="shared" ca="1" si="6"/>
        <v>$</v>
      </c>
      <c r="D85" s="1" t="s">
        <v>1316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29657.801428571431</v>
      </c>
      <c r="H85" s="134">
        <f ca="1">SUMPRODUCT($B7:OFFSET($B8,-1,0),H86:OFFSET(H87,-1,0))-SUMPRODUCT($B7:OFFSET($B8,-1,0),H34:OFFSET(H35,-1,0))+H33/IF(CUR_I_Report=2,Проект!H$98,1)</f>
        <v>46499.120285714271</v>
      </c>
      <c r="I85" s="134">
        <f ca="1">SUMPRODUCT($B7:OFFSET($B8,-1,0),I86:OFFSET(I87,-1,0))-SUMPRODUCT($B7:OFFSET($B8,-1,0),I34:OFFSET(I35,-1,0))+I33/IF(CUR_I_Report=2,Проект!I$98,1)</f>
        <v>55703.0358857143</v>
      </c>
      <c r="J85" s="134">
        <f ca="1">SUMPRODUCT($B7:OFFSET($B8,-1,0),J86:OFFSET(J87,-1,0))-SUMPRODUCT($B7:OFFSET($B8,-1,0),J34:OFFSET(J35,-1,0))+J33/IF(CUR_I_Report=2,Проект!J$98,1)</f>
        <v>70461.046617142842</v>
      </c>
      <c r="K85" s="134"/>
      <c r="L85" s="134">
        <f t="shared" ca="1" si="7"/>
        <v>202321.00421714288</v>
      </c>
    </row>
    <row r="86" spans="1:12" hidden="1" outlineLevel="2">
      <c r="A86" s="13" t="str">
        <f>A7</f>
        <v xml:space="preserve">    Химчистка</v>
      </c>
      <c r="B86" s="135"/>
      <c r="C86" s="132" t="str">
        <f t="shared" ca="1" si="6"/>
        <v>$</v>
      </c>
      <c r="D86" s="135" t="s">
        <v>1317</v>
      </c>
      <c r="E86" s="135"/>
      <c r="F86" s="136">
        <f>Проект!F$768</f>
        <v>0</v>
      </c>
      <c r="G86" s="136">
        <f ca="1">Проект!G$768</f>
        <v>29657.801428571431</v>
      </c>
      <c r="H86" s="136">
        <f ca="1">Проект!H$768</f>
        <v>46499.120285714271</v>
      </c>
      <c r="I86" s="136">
        <f ca="1">Проект!I$768</f>
        <v>55703.0358857143</v>
      </c>
      <c r="J86" s="136">
        <f ca="1">Проект!J$768</f>
        <v>70461.046617142842</v>
      </c>
      <c r="K86" s="136"/>
      <c r="L86" s="136">
        <f t="shared" ca="1" si="7"/>
        <v>202321.00421714288</v>
      </c>
    </row>
    <row r="87" spans="1:12" outlineLevel="1" collapsed="1">
      <c r="A87" s="133" t="str">
        <f ca="1">OFFSET(Язык!$A$395,0,LANGUAGE)</f>
        <v>Чистая прибыль (убыток)</v>
      </c>
      <c r="C87" s="132" t="str">
        <f t="shared" ca="1" si="6"/>
        <v>$</v>
      </c>
      <c r="D87" s="1" t="s">
        <v>1316</v>
      </c>
      <c r="F87" s="134">
        <f t="shared" ref="F87:I87" ca="1" si="8">F83-F85</f>
        <v>0</v>
      </c>
      <c r="G87" s="134">
        <f t="shared" ca="1" si="8"/>
        <v>118631.20571428572</v>
      </c>
      <c r="H87" s="134">
        <f t="shared" ca="1" si="8"/>
        <v>185996.48114285705</v>
      </c>
      <c r="I87" s="134">
        <f t="shared" ca="1" si="8"/>
        <v>222812.1435428572</v>
      </c>
      <c r="J87" s="134">
        <f t="shared" ref="J87" ca="1" si="9">J83-J85</f>
        <v>281844.18646857137</v>
      </c>
      <c r="K87" s="134"/>
      <c r="L87" s="134">
        <f t="shared" ca="1" si="7"/>
        <v>809284.01686857129</v>
      </c>
    </row>
    <row r="88" spans="1:12" hidden="1" outlineLevel="2">
      <c r="A88" s="13" t="str">
        <f>A7</f>
        <v xml:space="preserve">    Химчистка</v>
      </c>
      <c r="B88" s="135"/>
      <c r="C88" s="132" t="str">
        <f t="shared" ca="1" si="6"/>
        <v>$</v>
      </c>
      <c r="D88" s="135" t="s">
        <v>1317</v>
      </c>
      <c r="E88" s="135"/>
      <c r="F88" s="136">
        <f>Проект!F$769</f>
        <v>0</v>
      </c>
      <c r="G88" s="136">
        <f ca="1">Проект!G$769</f>
        <v>118631.20571428572</v>
      </c>
      <c r="H88" s="136">
        <f ca="1">Проект!H$769</f>
        <v>185996.48114285705</v>
      </c>
      <c r="I88" s="136">
        <f ca="1">Проект!I$769</f>
        <v>222812.1435428572</v>
      </c>
      <c r="J88" s="136">
        <f ca="1">Проект!J$769</f>
        <v>281844.18646857137</v>
      </c>
      <c r="K88" s="136"/>
      <c r="L88" s="136">
        <f t="shared" ca="1" si="7"/>
        <v>809284.01686857129</v>
      </c>
    </row>
    <row r="89" spans="1:12" outlineLevel="1" collapsed="1">
      <c r="A89" s="45" t="str">
        <f ca="1">OFFSET(Язык!$A$396,0,LANGUAGE)</f>
        <v xml:space="preserve"> -  дивиденды</v>
      </c>
      <c r="C89" s="132" t="str">
        <f t="shared" ca="1" si="6"/>
        <v>$</v>
      </c>
      <c r="D89" s="1" t="s">
        <v>1316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/>
      <c r="L89" s="134">
        <f t="shared" ca="1" si="7"/>
        <v>0</v>
      </c>
    </row>
    <row r="90" spans="1:12" hidden="1" outlineLevel="2">
      <c r="A90" s="13" t="str">
        <f>A7</f>
        <v xml:space="preserve">    Химчистка</v>
      </c>
      <c r="B90" s="135"/>
      <c r="C90" s="132" t="str">
        <f t="shared" ca="1" si="6"/>
        <v>$</v>
      </c>
      <c r="D90" s="135" t="s">
        <v>1317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/>
      <c r="L90" s="136">
        <f t="shared" ca="1" si="7"/>
        <v>0</v>
      </c>
    </row>
    <row r="91" spans="1:12" outlineLevel="1" collapsed="1">
      <c r="A91" s="45" t="str">
        <f ca="1">OFFSET(Язык!$A$397,0,LANGUAGE)</f>
        <v xml:space="preserve"> = нераспределенная прибыль</v>
      </c>
      <c r="C91" s="132" t="str">
        <f t="shared" ca="1" si="6"/>
        <v>$</v>
      </c>
      <c r="D91" s="1" t="s">
        <v>1316</v>
      </c>
      <c r="F91" s="134">
        <f t="shared" ref="F91:I91" ca="1" si="10">F87-F89</f>
        <v>0</v>
      </c>
      <c r="G91" s="134">
        <f t="shared" ca="1" si="10"/>
        <v>118631.20571428572</v>
      </c>
      <c r="H91" s="134">
        <f t="shared" ca="1" si="10"/>
        <v>185996.48114285705</v>
      </c>
      <c r="I91" s="134">
        <f t="shared" ca="1" si="10"/>
        <v>222812.1435428572</v>
      </c>
      <c r="J91" s="134">
        <f t="shared" ref="J91" ca="1" si="11">J87-J89</f>
        <v>281844.18646857137</v>
      </c>
      <c r="K91" s="134"/>
      <c r="L91" s="134">
        <f t="shared" ca="1" si="7"/>
        <v>809284.01686857129</v>
      </c>
    </row>
    <row r="92" spans="1:12" hidden="1" outlineLevel="2">
      <c r="A92" s="13" t="str">
        <f>A7</f>
        <v xml:space="preserve">    Химчистка</v>
      </c>
      <c r="B92" s="135"/>
      <c r="C92" s="132" t="str">
        <f t="shared" ca="1" si="6"/>
        <v>$</v>
      </c>
      <c r="D92" s="135" t="s">
        <v>1317</v>
      </c>
      <c r="E92" s="135"/>
      <c r="F92" s="136">
        <f>Проект!F$771</f>
        <v>0</v>
      </c>
      <c r="G92" s="136">
        <f ca="1">Проект!G$771</f>
        <v>118631.20571428572</v>
      </c>
      <c r="H92" s="136">
        <f ca="1">Проект!H$771</f>
        <v>185996.48114285705</v>
      </c>
      <c r="I92" s="136">
        <f ca="1">Проект!I$771</f>
        <v>222812.1435428572</v>
      </c>
      <c r="J92" s="136">
        <f ca="1">Проект!J$771</f>
        <v>281844.18646857137</v>
      </c>
      <c r="K92" s="136"/>
      <c r="L92" s="136">
        <f t="shared" ca="1" si="7"/>
        <v>809284.01686857129</v>
      </c>
    </row>
    <row r="93" spans="1:12" outlineLevel="1" collapsed="1">
      <c r="A93" s="45" t="str">
        <f ca="1">OFFSET(Язык!$A$398,0,LANGUAGE)</f>
        <v xml:space="preserve">    то же, нарастающим итогом</v>
      </c>
      <c r="C93" s="132" t="str">
        <f t="shared" ca="1" si="6"/>
        <v>$</v>
      </c>
      <c r="D93" s="1" t="s">
        <v>1737</v>
      </c>
      <c r="F93" s="134">
        <f t="shared" ref="F93:J93" ca="1" si="12">E93+F91</f>
        <v>0</v>
      </c>
      <c r="G93" s="134">
        <f t="shared" ca="1" si="12"/>
        <v>118631.20571428572</v>
      </c>
      <c r="H93" s="134">
        <f t="shared" ca="1" si="12"/>
        <v>304627.68685714278</v>
      </c>
      <c r="I93" s="134">
        <f t="shared" ca="1" si="12"/>
        <v>527439.83039999998</v>
      </c>
      <c r="J93" s="134">
        <f t="shared" ca="1" si="12"/>
        <v>809284.01686857129</v>
      </c>
      <c r="K93" s="134"/>
      <c r="L93" s="134"/>
    </row>
    <row r="94" spans="1:12" hidden="1" outlineLevel="2">
      <c r="A94" s="13" t="str">
        <f>A7</f>
        <v xml:space="preserve">    Химчистка</v>
      </c>
      <c r="B94" s="135"/>
      <c r="C94" s="173" t="str">
        <f t="shared" ca="1" si="6"/>
        <v>$</v>
      </c>
      <c r="D94" s="135" t="s">
        <v>1318</v>
      </c>
      <c r="E94" s="135"/>
      <c r="F94" s="136">
        <f>Проект!F$772</f>
        <v>0</v>
      </c>
      <c r="G94" s="136">
        <f ca="1">Проект!G$772</f>
        <v>118631.20571428572</v>
      </c>
      <c r="H94" s="136">
        <f ca="1">Проект!H$772</f>
        <v>304627.68685714278</v>
      </c>
      <c r="I94" s="136">
        <f ca="1">Проект!I$772</f>
        <v>527439.83039999998</v>
      </c>
      <c r="J94" s="136">
        <f ca="1">Проект!J$772</f>
        <v>809284.01686857129</v>
      </c>
      <c r="K94" s="136"/>
      <c r="L94" s="136"/>
    </row>
    <row r="95" spans="1:12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</row>
    <row r="96" spans="1:12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2" s="2" customFormat="1" outlineLevel="1">
      <c r="B145" s="76"/>
      <c r="C145" s="6"/>
    </row>
    <row r="146" spans="1:12" ht="12" outlineLevel="1" thickBot="1"/>
    <row r="147" spans="1:12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J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/>
      <c r="L147" s="23" t="str">
        <f ca="1">OFFSET(Язык!$A$77,0,LANGUAGE)</f>
        <v>ИТОГО</v>
      </c>
    </row>
    <row r="148" spans="1:12" ht="12" outlineLevel="1" thickTop="1"/>
    <row r="149" spans="1:12" outlineLevel="1" collapsed="1">
      <c r="A149" s="2" t="str">
        <f ca="1">OFFSET(Язык!$A$423,0,LANGUAGE)</f>
        <v>Поступления от продаж</v>
      </c>
      <c r="C149" s="132" t="str">
        <f t="shared" ref="C149:C164" ca="1" si="14">CUR_Report</f>
        <v>$</v>
      </c>
      <c r="D149" s="1" t="s">
        <v>1316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405000</v>
      </c>
      <c r="H149" s="134">
        <f ca="1">SUMPRODUCT($B7:OFFSET($B8,-1,0),H150:OFFSET(H151,-1,0))+$B$9*Компания!H230/IF(CUR_I_Report=2,Проект!H$98,1)</f>
        <v>890999.99999999988</v>
      </c>
      <c r="I149" s="134">
        <f ca="1">SUMPRODUCT($B7:OFFSET($B8,-1,0),I150:OFFSET(I151,-1,0))+$B$9*Компания!I230/IF(CUR_I_Report=2,Проект!I$98,1)</f>
        <v>980100</v>
      </c>
      <c r="J149" s="134">
        <f ca="1">SUMPRODUCT($B7:OFFSET($B8,-1,0),J150:OFFSET(J151,-1,0))+$B$9*Компания!J230/IF(CUR_I_Report=2,Проект!J$98,1)</f>
        <v>1078110</v>
      </c>
      <c r="K149" s="134"/>
      <c r="L149" s="134">
        <f t="shared" ref="L149:L164" ca="1" si="15">SUM(F149:J149)</f>
        <v>3354210</v>
      </c>
    </row>
    <row r="150" spans="1:12" hidden="1" outlineLevel="2">
      <c r="A150" s="13" t="str">
        <f>A7</f>
        <v xml:space="preserve">    Химчистка</v>
      </c>
      <c r="B150" s="135"/>
      <c r="C150" s="132" t="str">
        <f t="shared" ca="1" si="14"/>
        <v>$</v>
      </c>
      <c r="D150" s="135" t="s">
        <v>1317</v>
      </c>
      <c r="E150" s="135"/>
      <c r="F150" s="136">
        <f ca="1">Проект!F$858</f>
        <v>0</v>
      </c>
      <c r="G150" s="136">
        <f ca="1">Проект!G$858</f>
        <v>405000</v>
      </c>
      <c r="H150" s="136">
        <f ca="1">Проект!H$858</f>
        <v>890999.99999999988</v>
      </c>
      <c r="I150" s="136">
        <f ca="1">Проект!I$858</f>
        <v>980100</v>
      </c>
      <c r="J150" s="136">
        <f ca="1">Проект!J$858</f>
        <v>1078110</v>
      </c>
      <c r="K150" s="136"/>
      <c r="L150" s="136">
        <f t="shared" ca="1" si="15"/>
        <v>3354210</v>
      </c>
    </row>
    <row r="151" spans="1:12" outlineLevel="1" collapsed="1">
      <c r="A151" s="2" t="str">
        <f ca="1">OFFSET(Язык!$A$424,0,LANGUAGE)</f>
        <v>Затраты на материалы и комплектующие</v>
      </c>
      <c r="C151" s="132" t="str">
        <f t="shared" ca="1" si="14"/>
        <v>$</v>
      </c>
      <c r="D151" s="1" t="s">
        <v>1316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-134999.99999999997</v>
      </c>
      <c r="H151" s="134">
        <f ca="1">SUMPRODUCT($B7:OFFSET($B8,-1,0),H152:OFFSET(H153,-1,0))+$B$9*Компания!H231/IF(CUR_I_Report=2,Проект!H$98,1)</f>
        <v>-297000</v>
      </c>
      <c r="I151" s="134">
        <f ca="1">SUMPRODUCT($B7:OFFSET($B8,-1,0),I152:OFFSET(I153,-1,0))+$B$9*Компания!I231/IF(CUR_I_Report=2,Проект!I$98,1)</f>
        <v>-326700</v>
      </c>
      <c r="J151" s="134">
        <f ca="1">SUMPRODUCT($B7:OFFSET($B8,-1,0),J152:OFFSET(J153,-1,0))+$B$9*Компания!J231/IF(CUR_I_Report=2,Проект!J$98,1)</f>
        <v>-359370.00000000006</v>
      </c>
      <c r="K151" s="134"/>
      <c r="L151" s="134">
        <f t="shared" ca="1" si="15"/>
        <v>-1118070</v>
      </c>
    </row>
    <row r="152" spans="1:12" hidden="1" outlineLevel="2">
      <c r="A152" s="13" t="str">
        <f>A7</f>
        <v xml:space="preserve">    Химчистка</v>
      </c>
      <c r="B152" s="135"/>
      <c r="C152" s="132" t="str">
        <f t="shared" ca="1" si="14"/>
        <v>$</v>
      </c>
      <c r="D152" s="135" t="s">
        <v>1317</v>
      </c>
      <c r="E152" s="135"/>
      <c r="F152" s="136">
        <f ca="1">Проект!F$859</f>
        <v>0</v>
      </c>
      <c r="G152" s="136">
        <f ca="1">Проект!G$859</f>
        <v>-134999.99999999997</v>
      </c>
      <c r="H152" s="136">
        <f ca="1">Проект!H$859</f>
        <v>-297000</v>
      </c>
      <c r="I152" s="136">
        <f ca="1">Проект!I$859</f>
        <v>-326700</v>
      </c>
      <c r="J152" s="136">
        <f ca="1">Проект!J$859</f>
        <v>-359370.00000000006</v>
      </c>
      <c r="K152" s="136"/>
      <c r="L152" s="136">
        <f t="shared" ca="1" si="15"/>
        <v>-1118070</v>
      </c>
    </row>
    <row r="153" spans="1:12" outlineLevel="1" collapsed="1">
      <c r="A153" s="2" t="str">
        <f ca="1">OFFSET(Язык!$A$425,0,LANGUAGE)</f>
        <v>Зарплата</v>
      </c>
      <c r="C153" s="132" t="str">
        <f t="shared" ca="1" si="14"/>
        <v>$</v>
      </c>
      <c r="D153" s="1" t="s">
        <v>1316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-59760</v>
      </c>
      <c r="H153" s="134">
        <f ca="1">SUMPRODUCT($B7:OFFSET($B8,-1,0),H154:OFFSET(H155,-1,0))+$B$9*Компания!H232/IF(CUR_I_Report=2,Проект!H$98,1)</f>
        <v>-95172</v>
      </c>
      <c r="I153" s="134">
        <f ca="1">SUMPRODUCT($B7:OFFSET($B8,-1,0),I154:OFFSET(I155,-1,0))+$B$9*Компания!I232/IF(CUR_I_Report=2,Проект!I$98,1)</f>
        <v>-104689.2</v>
      </c>
      <c r="J153" s="134">
        <f ca="1">SUMPRODUCT($B7:OFFSET($B8,-1,0),J154:OFFSET(J155,-1,0))+$B$9*Компания!J232/IF(CUR_I_Report=2,Проект!J$98,1)</f>
        <v>-115158.12</v>
      </c>
      <c r="K153" s="134"/>
      <c r="L153" s="134">
        <f t="shared" ca="1" si="15"/>
        <v>-374779.32</v>
      </c>
    </row>
    <row r="154" spans="1:12" hidden="1" outlineLevel="2">
      <c r="A154" s="13" t="str">
        <f>A7</f>
        <v xml:space="preserve">    Химчистка</v>
      </c>
      <c r="B154" s="135"/>
      <c r="C154" s="132" t="str">
        <f t="shared" ca="1" si="14"/>
        <v>$</v>
      </c>
      <c r="D154" s="135" t="s">
        <v>1317</v>
      </c>
      <c r="E154" s="135"/>
      <c r="F154" s="136">
        <f>Проект!F$860</f>
        <v>0</v>
      </c>
      <c r="G154" s="136">
        <f ca="1">Проект!G$860</f>
        <v>-59760</v>
      </c>
      <c r="H154" s="136">
        <f>Проект!H$860</f>
        <v>-95172</v>
      </c>
      <c r="I154" s="136">
        <f ca="1">Проект!I$860</f>
        <v>-104689.2</v>
      </c>
      <c r="J154" s="136">
        <f ca="1">Проект!J$860</f>
        <v>-115158.12</v>
      </c>
      <c r="K154" s="136"/>
      <c r="L154" s="136">
        <f t="shared" ca="1" si="15"/>
        <v>-374779.32</v>
      </c>
    </row>
    <row r="155" spans="1:12" outlineLevel="1" collapsed="1">
      <c r="A155" s="2" t="str">
        <f ca="1">OFFSET(Язык!$A$426,0,LANGUAGE)</f>
        <v>Общие затраты</v>
      </c>
      <c r="C155" s="132" t="str">
        <f t="shared" ca="1" si="14"/>
        <v>$</v>
      </c>
      <c r="D155" s="1" t="s">
        <v>1316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-19583</v>
      </c>
      <c r="H155" s="134">
        <f ca="1">SUMPRODUCT($B7:OFFSET($B8,-1,0),H156:OFFSET(H157,-1,0))+$B$9*Компания!H233/IF(CUR_I_Report=2,Проект!H$98,1)</f>
        <v>-44260</v>
      </c>
      <c r="I155" s="134">
        <f ca="1">SUMPRODUCT($B7:OFFSET($B8,-1,0),I156:OFFSET(I157,-1,0))+$B$9*Компания!I233/IF(CUR_I_Report=2,Проект!I$98,1)</f>
        <v>-48686.000000000007</v>
      </c>
      <c r="J155" s="134">
        <f ca="1">SUMPRODUCT($B7:OFFSET($B8,-1,0),J156:OFFSET(J157,-1,0))+$B$9*Компания!J233/IF(CUR_I_Report=2,Проект!J$98,1)</f>
        <v>-53554.600000000013</v>
      </c>
      <c r="K155" s="134"/>
      <c r="L155" s="134">
        <f t="shared" ca="1" si="15"/>
        <v>-166083.6</v>
      </c>
    </row>
    <row r="156" spans="1:12" hidden="1" outlineLevel="2">
      <c r="A156" s="13" t="str">
        <f>A7</f>
        <v xml:space="preserve">    Химчистка</v>
      </c>
      <c r="B156" s="135"/>
      <c r="C156" s="132" t="str">
        <f t="shared" ca="1" si="14"/>
        <v>$</v>
      </c>
      <c r="D156" s="135" t="s">
        <v>1317</v>
      </c>
      <c r="E156" s="135"/>
      <c r="F156" s="136">
        <f>Проект!F$861</f>
        <v>0</v>
      </c>
      <c r="G156" s="136">
        <f ca="1">Проект!G$861</f>
        <v>-19583</v>
      </c>
      <c r="H156" s="136">
        <f ca="1">Проект!H$861</f>
        <v>-44260</v>
      </c>
      <c r="I156" s="136">
        <f ca="1">Проект!I$861</f>
        <v>-48686.000000000007</v>
      </c>
      <c r="J156" s="136">
        <f ca="1">Проект!J$861</f>
        <v>-53554.600000000013</v>
      </c>
      <c r="K156" s="136"/>
      <c r="L156" s="136">
        <f t="shared" ca="1" si="15"/>
        <v>-166083.6</v>
      </c>
    </row>
    <row r="157" spans="1:12" outlineLevel="1" collapsed="1">
      <c r="A157" s="2" t="str">
        <f ca="1">OFFSET(Язык!$A$427,0,LANGUAGE)</f>
        <v>Налоги</v>
      </c>
      <c r="C157" s="132" t="str">
        <f t="shared" ca="1" si="14"/>
        <v>$</v>
      </c>
      <c r="D157" s="1" t="s">
        <v>1316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-72025.794285714277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-75884.37599999996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-155872.65645714285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-178763.09353142855</v>
      </c>
      <c r="K157" s="134"/>
      <c r="L157" s="134">
        <f t="shared" ca="1" si="15"/>
        <v>-482545.92027428566</v>
      </c>
    </row>
    <row r="158" spans="1:12" hidden="1" outlineLevel="2">
      <c r="A158" s="13" t="str">
        <f>A7</f>
        <v xml:space="preserve">    Химчистка</v>
      </c>
      <c r="B158" s="135"/>
      <c r="C158" s="132" t="str">
        <f t="shared" ca="1" si="14"/>
        <v>$</v>
      </c>
      <c r="D158" s="135" t="s">
        <v>1317</v>
      </c>
      <c r="E158" s="135"/>
      <c r="F158" s="136">
        <f ca="1">Проект!F$862</f>
        <v>0</v>
      </c>
      <c r="G158" s="136">
        <f ca="1">Проект!G$862</f>
        <v>-72025.794285714277</v>
      </c>
      <c r="H158" s="136">
        <f ca="1">Проект!H$862</f>
        <v>-75884.375999999975</v>
      </c>
      <c r="I158" s="136">
        <f ca="1">Проект!I$862</f>
        <v>-155872.65645714285</v>
      </c>
      <c r="J158" s="136">
        <f ca="1">Проект!J$862</f>
        <v>-178763.09353142855</v>
      </c>
      <c r="K158" s="136"/>
      <c r="L158" s="136">
        <f t="shared" ca="1" si="15"/>
        <v>-482545.92027428566</v>
      </c>
    </row>
    <row r="159" spans="1:12" outlineLevel="1" collapsed="1">
      <c r="A159" s="2" t="str">
        <f ca="1">OFFSET(Язык!$A$428,0,LANGUAGE)</f>
        <v>Выплата процентов по кредитам</v>
      </c>
      <c r="C159" s="132" t="str">
        <f t="shared" ca="1" si="14"/>
        <v>$</v>
      </c>
      <c r="D159" s="1" t="s">
        <v>1316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-76580.000000000015</v>
      </c>
      <c r="I159" s="134">
        <f ca="1">SUMPRODUCT($B7:OFFSET($B8,-1,0),I160:OFFSET(I161,-1,0))+$B$9*Компания!I235/IF(CUR_I_Report=2,Проект!I$98,1)</f>
        <v>-63840.000000000007</v>
      </c>
      <c r="J159" s="134">
        <f ca="1">SUMPRODUCT($B7:OFFSET($B8,-1,0),J160:OFFSET(J161,-1,0))+$B$9*Компания!J235/IF(CUR_I_Report=2,Проект!J$98,1)</f>
        <v>-31920.000000000004</v>
      </c>
      <c r="K159" s="134"/>
      <c r="L159" s="134">
        <f t="shared" ca="1" si="15"/>
        <v>-172340.00000000003</v>
      </c>
    </row>
    <row r="160" spans="1:12" hidden="1" outlineLevel="2">
      <c r="A160" s="13" t="str">
        <f>A7</f>
        <v xml:space="preserve">    Химчистка</v>
      </c>
      <c r="B160" s="135"/>
      <c r="C160" s="132" t="str">
        <f t="shared" ca="1" si="14"/>
        <v>$</v>
      </c>
      <c r="D160" s="135" t="s">
        <v>1317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-76580.000000000015</v>
      </c>
      <c r="I160" s="136">
        <f>Проект!I$863</f>
        <v>-63840.000000000007</v>
      </c>
      <c r="J160" s="136">
        <f>Проект!J$863</f>
        <v>-31920.000000000004</v>
      </c>
      <c r="K160" s="136"/>
      <c r="L160" s="136">
        <f t="shared" si="15"/>
        <v>-172340.00000000003</v>
      </c>
    </row>
    <row r="161" spans="1:12" outlineLevel="1" collapsed="1">
      <c r="A161" s="2" t="str">
        <f ca="1">OFFSET(Язык!$A$429,0,LANGUAGE)</f>
        <v>Прочие поступления</v>
      </c>
      <c r="C161" s="132" t="str">
        <f t="shared" ca="1" si="14"/>
        <v>$</v>
      </c>
      <c r="D161" s="1" t="s">
        <v>1316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/>
      <c r="L161" s="134">
        <f t="shared" ca="1" si="15"/>
        <v>0</v>
      </c>
    </row>
    <row r="162" spans="1:12" hidden="1" outlineLevel="2">
      <c r="A162" s="13" t="str">
        <f>A7</f>
        <v xml:space="preserve">    Химчистка</v>
      </c>
      <c r="B162" s="135"/>
      <c r="C162" s="132" t="str">
        <f t="shared" ca="1" si="14"/>
        <v>$</v>
      </c>
      <c r="D162" s="135" t="s">
        <v>1317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/>
      <c r="L162" s="136">
        <f t="shared" ca="1" si="15"/>
        <v>0</v>
      </c>
    </row>
    <row r="163" spans="1:12" outlineLevel="1" collapsed="1">
      <c r="A163" s="2" t="str">
        <f ca="1">OFFSET(Язык!$A$430,0,LANGUAGE)</f>
        <v>Прочие затраты</v>
      </c>
      <c r="C163" s="132" t="str">
        <f t="shared" ca="1" si="14"/>
        <v>$</v>
      </c>
      <c r="D163" s="1" t="s">
        <v>1316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/>
      <c r="L163" s="134">
        <f t="shared" ca="1" si="15"/>
        <v>0</v>
      </c>
    </row>
    <row r="164" spans="1:12" hidden="1" outlineLevel="2">
      <c r="A164" s="13" t="str">
        <f>A7</f>
        <v xml:space="preserve">    Химчистка</v>
      </c>
      <c r="B164" s="135"/>
      <c r="C164" s="132" t="str">
        <f t="shared" ca="1" si="14"/>
        <v>$</v>
      </c>
      <c r="D164" s="135" t="s">
        <v>1317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/>
      <c r="L164" s="136">
        <f t="shared" si="15"/>
        <v>0</v>
      </c>
    </row>
    <row r="165" spans="1:12" outlineLevel="1">
      <c r="A165" s="2"/>
      <c r="F165" s="134"/>
      <c r="G165" s="134"/>
      <c r="H165" s="134"/>
      <c r="I165" s="134"/>
      <c r="J165" s="134"/>
      <c r="K165" s="134"/>
      <c r="L165" s="134"/>
    </row>
    <row r="166" spans="1:12" outlineLevel="1">
      <c r="A166" s="32" t="str">
        <f ca="1">OFFSET(Язык!$A$431,0,LANGUAGE)</f>
        <v>Денежные потоки от операционной деятельности</v>
      </c>
      <c r="C166" s="132" t="str">
        <f ca="1">CUR_Report</f>
        <v>$</v>
      </c>
      <c r="D166" s="1" t="s">
        <v>1316</v>
      </c>
      <c r="F166" s="134">
        <f t="shared" ref="F166:I166" ca="1" si="16">F149+F151+F153+F155+F157+F159+F161+F163</f>
        <v>0</v>
      </c>
      <c r="G166" s="134">
        <f t="shared" ca="1" si="16"/>
        <v>118631.20571428572</v>
      </c>
      <c r="H166" s="134">
        <f t="shared" ca="1" si="16"/>
        <v>302103.62399999995</v>
      </c>
      <c r="I166" s="134">
        <f t="shared" ca="1" si="16"/>
        <v>280312.1435428572</v>
      </c>
      <c r="J166" s="134">
        <f t="shared" ref="J166" ca="1" si="17">J149+J151+J153+J155+J157+J159+J161+J163</f>
        <v>339344.18646857148</v>
      </c>
      <c r="K166" s="134"/>
      <c r="L166" s="134">
        <f ca="1">SUM(F166:J166)</f>
        <v>1040391.1597257142</v>
      </c>
    </row>
    <row r="167" spans="1:12" outlineLevel="1">
      <c r="A167" s="2"/>
      <c r="F167" s="134"/>
      <c r="G167" s="134"/>
      <c r="H167" s="134"/>
      <c r="I167" s="134"/>
      <c r="J167" s="134"/>
      <c r="K167" s="134"/>
      <c r="L167" s="134"/>
    </row>
    <row r="168" spans="1:12" outlineLevel="1" collapsed="1">
      <c r="A168" s="2" t="str">
        <f ca="1">OFFSET(Язык!$A$432,0,LANGUAGE)</f>
        <v>Инвестиции в здания и сооружения</v>
      </c>
      <c r="C168" s="132" t="str">
        <f t="shared" ref="C168:C177" ca="1" si="18">CUR_Report</f>
        <v>$</v>
      </c>
      <c r="D168" s="1" t="s">
        <v>1316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-300000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/>
      <c r="L168" s="134">
        <f t="shared" ref="L168:L177" ca="1" si="19">SUM(F168:J168)</f>
        <v>-300000</v>
      </c>
    </row>
    <row r="169" spans="1:12" hidden="1" outlineLevel="2">
      <c r="A169" s="13" t="str">
        <f>A7</f>
        <v xml:space="preserve">    Химчистка</v>
      </c>
      <c r="B169" s="135"/>
      <c r="C169" s="132" t="str">
        <f t="shared" ca="1" si="18"/>
        <v>$</v>
      </c>
      <c r="D169" s="135" t="s">
        <v>1317</v>
      </c>
      <c r="E169" s="135"/>
      <c r="F169" s="136">
        <f>Проект!F$869</f>
        <v>0</v>
      </c>
      <c r="G169" s="136">
        <f>Проект!G$869</f>
        <v>-300000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/>
      <c r="L169" s="136">
        <f t="shared" si="19"/>
        <v>-300000</v>
      </c>
    </row>
    <row r="170" spans="1:12" outlineLevel="1" collapsed="1">
      <c r="A170" s="2" t="str">
        <f ca="1">OFFSET(Язык!$A$433,0,LANGUAGE)</f>
        <v>Инвестиции в оборудование и другие активы</v>
      </c>
      <c r="C170" s="132" t="str">
        <f t="shared" ca="1" si="18"/>
        <v>$</v>
      </c>
      <c r="D170" s="1" t="s">
        <v>1316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-197000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/>
      <c r="L170" s="134">
        <f t="shared" ca="1" si="19"/>
        <v>-197000</v>
      </c>
    </row>
    <row r="171" spans="1:12" hidden="1" outlineLevel="2">
      <c r="A171" s="13" t="str">
        <f>A7</f>
        <v xml:space="preserve">    Химчистка</v>
      </c>
      <c r="B171" s="135"/>
      <c r="C171" s="132" t="str">
        <f t="shared" ca="1" si="18"/>
        <v>$</v>
      </c>
      <c r="D171" s="135" t="s">
        <v>1317</v>
      </c>
      <c r="E171" s="135"/>
      <c r="F171" s="136">
        <f>Проект!F$870</f>
        <v>0</v>
      </c>
      <c r="G171" s="136">
        <f>Проект!G$870</f>
        <v>-197000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/>
      <c r="L171" s="136">
        <f t="shared" si="19"/>
        <v>-197000</v>
      </c>
    </row>
    <row r="172" spans="1:12" outlineLevel="1" collapsed="1">
      <c r="A172" s="2" t="str">
        <f ca="1">OFFSET(Язык!$A$434,0,LANGUAGE)</f>
        <v>Оплата расходов будущих периодов</v>
      </c>
      <c r="C172" s="132" t="str">
        <f t="shared" ca="1" si="18"/>
        <v>$</v>
      </c>
      <c r="D172" s="1" t="s">
        <v>1316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-50000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/>
      <c r="L172" s="134">
        <f t="shared" ca="1" si="19"/>
        <v>-50000</v>
      </c>
    </row>
    <row r="173" spans="1:12" hidden="1" outlineLevel="2">
      <c r="A173" s="13" t="str">
        <f>A7</f>
        <v xml:space="preserve">    Химчистка</v>
      </c>
      <c r="B173" s="135"/>
      <c r="C173" s="132" t="str">
        <f t="shared" ca="1" si="18"/>
        <v>$</v>
      </c>
      <c r="D173" s="135" t="s">
        <v>1317</v>
      </c>
      <c r="E173" s="135"/>
      <c r="F173" s="136">
        <f>Проект!F$871</f>
        <v>0</v>
      </c>
      <c r="G173" s="136">
        <f>Проект!G$871</f>
        <v>-50000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/>
      <c r="L173" s="136">
        <f t="shared" si="19"/>
        <v>-50000</v>
      </c>
    </row>
    <row r="174" spans="1:12" outlineLevel="1" collapsed="1">
      <c r="A174" s="2" t="str">
        <f ca="1">OFFSET(Язык!$A$435,0,LANGUAGE)</f>
        <v>Инвестиции в оборотный капитал</v>
      </c>
      <c r="C174" s="132" t="str">
        <f t="shared" ca="1" si="18"/>
        <v>$</v>
      </c>
      <c r="D174" s="1" t="s">
        <v>1316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31208.56694444445</v>
      </c>
      <c r="H174" s="134">
        <f ca="1">SUMPRODUCT($B7:OFFSET($B8,-1,0),H175:OFFSET(H176,-1,0))+$B$9*Компания!H244/IF(CUR_I_Report=2,Проект!H$98,1)</f>
        <v>13461.993587301564</v>
      </c>
      <c r="I174" s="134">
        <f ca="1">SUMPRODUCT($B7:OFFSET($B8,-1,0),I175:OFFSET(I176,-1,0))+$B$9*Компания!I244/IF(CUR_I_Report=2,Проект!I$98,1)</f>
        <v>15237.876588888925</v>
      </c>
      <c r="J174" s="134">
        <f ca="1">SUMPRODUCT($B7:OFFSET($B8,-1,0),J175:OFFSET(J176,-1,0))+$B$9*Компания!J244/IF(CUR_I_Report=2,Проект!J$98,1)</f>
        <v>14707.416926349171</v>
      </c>
      <c r="K174" s="134"/>
      <c r="L174" s="134">
        <f t="shared" ca="1" si="19"/>
        <v>74615.85404698411</v>
      </c>
    </row>
    <row r="175" spans="1:12" hidden="1" outlineLevel="2">
      <c r="A175" s="13" t="str">
        <f>A7</f>
        <v xml:space="preserve">    Химчистка</v>
      </c>
      <c r="B175" s="135"/>
      <c r="C175" s="132" t="str">
        <f t="shared" ca="1" si="18"/>
        <v>$</v>
      </c>
      <c r="D175" s="135" t="s">
        <v>1317</v>
      </c>
      <c r="E175" s="135"/>
      <c r="F175" s="136">
        <f>Проект!F$872</f>
        <v>0</v>
      </c>
      <c r="G175" s="136">
        <f ca="1">Проект!G$872</f>
        <v>31208.56694444445</v>
      </c>
      <c r="H175" s="136">
        <f ca="1">Проект!H$872</f>
        <v>13461.993587301564</v>
      </c>
      <c r="I175" s="136">
        <f ca="1">Проект!I$872</f>
        <v>15237.876588888925</v>
      </c>
      <c r="J175" s="136">
        <f ca="1">Проект!J$872</f>
        <v>14707.416926349171</v>
      </c>
      <c r="K175" s="136"/>
      <c r="L175" s="136">
        <f t="shared" ca="1" si="19"/>
        <v>74615.85404698411</v>
      </c>
    </row>
    <row r="176" spans="1:12" outlineLevel="1" collapsed="1">
      <c r="A176" s="2" t="str">
        <f ca="1">OFFSET(Язык!$A$436,0,LANGUAGE)</f>
        <v>Выручка от реализации активов</v>
      </c>
      <c r="C176" s="132" t="str">
        <f t="shared" ca="1" si="18"/>
        <v>$</v>
      </c>
      <c r="D176" s="1" t="s">
        <v>1316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/>
      <c r="L176" s="134">
        <f t="shared" ca="1" si="19"/>
        <v>0</v>
      </c>
    </row>
    <row r="177" spans="1:12" hidden="1" outlineLevel="2">
      <c r="A177" s="13" t="str">
        <f>A7</f>
        <v xml:space="preserve">    Химчистка</v>
      </c>
      <c r="B177" s="135"/>
      <c r="C177" s="132" t="str">
        <f t="shared" ca="1" si="18"/>
        <v>$</v>
      </c>
      <c r="D177" s="135" t="s">
        <v>1317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/>
      <c r="L177" s="136">
        <f t="shared" si="19"/>
        <v>0</v>
      </c>
    </row>
    <row r="178" spans="1:12" outlineLevel="1">
      <c r="A178" s="2"/>
      <c r="F178" s="134"/>
      <c r="G178" s="134"/>
      <c r="H178" s="134"/>
      <c r="I178" s="134"/>
      <c r="J178" s="134"/>
      <c r="K178" s="134"/>
      <c r="L178" s="134"/>
    </row>
    <row r="179" spans="1:12" outlineLevel="1">
      <c r="A179" s="32" t="str">
        <f ca="1">OFFSET(Язык!$A$437,0,LANGUAGE)</f>
        <v>Денежные потоки от инвестиционной деятельности</v>
      </c>
      <c r="C179" s="132" t="str">
        <f ca="1">CUR_Report</f>
        <v>$</v>
      </c>
      <c r="D179" s="1" t="s">
        <v>1316</v>
      </c>
      <c r="F179" s="134">
        <f t="shared" ref="F179:I179" ca="1" si="20">F168+F170+F172+F174+F176</f>
        <v>0</v>
      </c>
      <c r="G179" s="134">
        <f t="shared" ca="1" si="20"/>
        <v>-515791.43305555556</v>
      </c>
      <c r="H179" s="134">
        <f t="shared" ca="1" si="20"/>
        <v>13461.993587301564</v>
      </c>
      <c r="I179" s="134">
        <f t="shared" ca="1" si="20"/>
        <v>15237.876588888925</v>
      </c>
      <c r="J179" s="134">
        <f t="shared" ref="J179" ca="1" si="21">J168+J170+J172+J174+J176</f>
        <v>14707.416926349171</v>
      </c>
      <c r="K179" s="134"/>
      <c r="L179" s="134">
        <f ca="1">SUM(F179:J179)</f>
        <v>-472384.14595301589</v>
      </c>
    </row>
    <row r="180" spans="1:12" outlineLevel="1">
      <c r="A180" s="2"/>
      <c r="F180" s="134"/>
      <c r="G180" s="134"/>
      <c r="H180" s="134"/>
      <c r="I180" s="134"/>
      <c r="J180" s="134"/>
      <c r="K180" s="134"/>
      <c r="L180" s="134"/>
    </row>
    <row r="181" spans="1:12" outlineLevel="1" collapsed="1">
      <c r="A181" s="2" t="str">
        <f ca="1">OFFSET(Язык!$A$438,0,LANGUAGE)</f>
        <v>Поступления акционерного капитала</v>
      </c>
      <c r="C181" s="132" t="str">
        <f t="shared" ref="C181:C192" ca="1" si="22">CUR_Report</f>
        <v>$</v>
      </c>
      <c r="D181" s="1" t="s">
        <v>1316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/>
      <c r="L181" s="134">
        <f t="shared" ref="L181:L192" ca="1" si="23">SUM(F181:J181)</f>
        <v>0</v>
      </c>
    </row>
    <row r="182" spans="1:12" hidden="1" outlineLevel="2">
      <c r="A182" s="13" t="str">
        <f>A7</f>
        <v xml:space="preserve">    Химчистка</v>
      </c>
      <c r="B182" s="135"/>
      <c r="C182" s="132" t="str">
        <f t="shared" ca="1" si="22"/>
        <v>$</v>
      </c>
      <c r="D182" s="135" t="s">
        <v>1317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/>
      <c r="L182" s="136">
        <f t="shared" si="23"/>
        <v>0</v>
      </c>
    </row>
    <row r="183" spans="1:12" outlineLevel="1" collapsed="1">
      <c r="A183" s="2" t="str">
        <f ca="1">OFFSET(Язык!$A$439,0,LANGUAGE)</f>
        <v>Целевое финансирование</v>
      </c>
      <c r="B183" s="135"/>
      <c r="C183" s="132" t="str">
        <f t="shared" ca="1" si="22"/>
        <v>$</v>
      </c>
      <c r="D183" s="1" t="s">
        <v>1316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6"/>
      <c r="L183" s="134">
        <f t="shared" ca="1" si="23"/>
        <v>0</v>
      </c>
    </row>
    <row r="184" spans="1:12" hidden="1" outlineLevel="2">
      <c r="A184" s="13" t="str">
        <f>A7</f>
        <v xml:space="preserve">    Химчистка</v>
      </c>
      <c r="B184" s="135"/>
      <c r="C184" s="132" t="str">
        <f t="shared" ca="1" si="22"/>
        <v>$</v>
      </c>
      <c r="D184" s="135" t="s">
        <v>1317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/>
      <c r="L184" s="136">
        <f t="shared" si="23"/>
        <v>0</v>
      </c>
    </row>
    <row r="185" spans="1:12" outlineLevel="1" collapsed="1">
      <c r="A185" s="2" t="str">
        <f ca="1">OFFSET(Язык!$A$440,0,LANGUAGE)</f>
        <v>Поступления кредитов</v>
      </c>
      <c r="C185" s="132" t="str">
        <f t="shared" ca="1" si="22"/>
        <v>$</v>
      </c>
      <c r="D185" s="1" t="s">
        <v>1316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547000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/>
      <c r="L185" s="134">
        <f t="shared" ca="1" si="23"/>
        <v>547000</v>
      </c>
    </row>
    <row r="186" spans="1:12" hidden="1" outlineLevel="2">
      <c r="A186" s="13" t="str">
        <f>A7</f>
        <v xml:space="preserve">    Химчистка</v>
      </c>
      <c r="B186" s="135"/>
      <c r="C186" s="132" t="str">
        <f t="shared" ca="1" si="22"/>
        <v>$</v>
      </c>
      <c r="D186" s="135" t="s">
        <v>1317</v>
      </c>
      <c r="E186" s="135"/>
      <c r="F186" s="136">
        <f>Проект!F$879</f>
        <v>0</v>
      </c>
      <c r="G186" s="136">
        <f>Проект!G$879</f>
        <v>547000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/>
      <c r="L186" s="136">
        <f t="shared" si="23"/>
        <v>547000</v>
      </c>
    </row>
    <row r="187" spans="1:12" outlineLevel="1" collapsed="1">
      <c r="A187" s="2" t="str">
        <f ca="1">OFFSET(Язык!$A$441,0,LANGUAGE)</f>
        <v>Возврат кредитов</v>
      </c>
      <c r="C187" s="132" t="str">
        <f t="shared" ca="1" si="22"/>
        <v>$</v>
      </c>
      <c r="D187" s="1" t="s">
        <v>1316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-91000</v>
      </c>
      <c r="I187" s="134">
        <f ca="1">SUMPRODUCT($B7:OFFSET($B8,-1,0),I188:OFFSET(I189,-1,0))+$B$9*Компания!I252/IF(CUR_I_Report=2,Проект!I$98,1)</f>
        <v>-228000</v>
      </c>
      <c r="J187" s="134">
        <f ca="1">SUMPRODUCT($B7:OFFSET($B8,-1,0),J188:OFFSET(J189,-1,0))+$B$9*Компания!J252/IF(CUR_I_Report=2,Проект!J$98,1)</f>
        <v>-228000</v>
      </c>
      <c r="K187" s="134"/>
      <c r="L187" s="134">
        <f t="shared" ca="1" si="23"/>
        <v>-547000</v>
      </c>
    </row>
    <row r="188" spans="1:12" hidden="1" outlineLevel="2">
      <c r="A188" s="13" t="str">
        <f>A7</f>
        <v xml:space="preserve">    Химчистка</v>
      </c>
      <c r="B188" s="135"/>
      <c r="C188" s="132" t="str">
        <f t="shared" ca="1" si="22"/>
        <v>$</v>
      </c>
      <c r="D188" s="135" t="s">
        <v>1317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-91000</v>
      </c>
      <c r="I188" s="136">
        <f>Проект!I$880</f>
        <v>-228000</v>
      </c>
      <c r="J188" s="136">
        <f>Проект!J$880</f>
        <v>-228000</v>
      </c>
      <c r="K188" s="136"/>
      <c r="L188" s="136">
        <f t="shared" si="23"/>
        <v>-547000</v>
      </c>
    </row>
    <row r="189" spans="1:12" outlineLevel="1" collapsed="1">
      <c r="A189" s="2" t="str">
        <f ca="1">OFFSET(Язык!$A$442,0,LANGUAGE)</f>
        <v>Лизинговые платежи</v>
      </c>
      <c r="C189" s="132" t="str">
        <f t="shared" ca="1" si="22"/>
        <v>$</v>
      </c>
      <c r="D189" s="1" t="s">
        <v>1316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/>
      <c r="L189" s="134">
        <f t="shared" ca="1" si="23"/>
        <v>0</v>
      </c>
    </row>
    <row r="190" spans="1:12" hidden="1" outlineLevel="2">
      <c r="A190" s="13" t="str">
        <f>A7</f>
        <v xml:space="preserve">    Химчистка</v>
      </c>
      <c r="B190" s="135"/>
      <c r="C190" s="132" t="str">
        <f t="shared" ca="1" si="22"/>
        <v>$</v>
      </c>
      <c r="D190" s="135" t="s">
        <v>1317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/>
      <c r="L190" s="136">
        <f t="shared" ca="1" si="23"/>
        <v>0</v>
      </c>
    </row>
    <row r="191" spans="1:12" outlineLevel="1" collapsed="1">
      <c r="A191" s="2" t="str">
        <f ca="1">OFFSET(Язык!$A$443,0,LANGUAGE)</f>
        <v>Выплата дивидендов</v>
      </c>
      <c r="C191" s="132" t="str">
        <f t="shared" ca="1" si="22"/>
        <v>$</v>
      </c>
      <c r="D191" s="1" t="s">
        <v>1316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/>
      <c r="L191" s="134">
        <f t="shared" ca="1" si="23"/>
        <v>0</v>
      </c>
    </row>
    <row r="192" spans="1:12" hidden="1" outlineLevel="2">
      <c r="A192" s="13" t="str">
        <f>A7</f>
        <v xml:space="preserve">    Химчистка</v>
      </c>
      <c r="B192" s="135"/>
      <c r="C192" s="132" t="str">
        <f t="shared" ca="1" si="22"/>
        <v>$</v>
      </c>
      <c r="D192" s="135" t="s">
        <v>1317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/>
      <c r="L192" s="136">
        <f t="shared" ca="1" si="23"/>
        <v>0</v>
      </c>
    </row>
    <row r="193" spans="1:12" outlineLevel="1">
      <c r="A193" s="2"/>
      <c r="F193" s="134"/>
      <c r="G193" s="134"/>
      <c r="H193" s="134"/>
      <c r="I193" s="134"/>
      <c r="J193" s="134"/>
      <c r="K193" s="134"/>
      <c r="L193" s="134"/>
    </row>
    <row r="194" spans="1:12" outlineLevel="1">
      <c r="A194" s="32" t="str">
        <f ca="1">OFFSET(Язык!$A$444,0,LANGUAGE)</f>
        <v>Денежные потоки от финансовой деятельности</v>
      </c>
      <c r="C194" s="132" t="str">
        <f ca="1">CUR_Report</f>
        <v>$</v>
      </c>
      <c r="D194" s="1" t="s">
        <v>1316</v>
      </c>
      <c r="F194" s="134">
        <f t="shared" ref="F194:I194" ca="1" si="24">F181+F183+F185+F187+F189+F191</f>
        <v>0</v>
      </c>
      <c r="G194" s="134">
        <f t="shared" ca="1" si="24"/>
        <v>547000</v>
      </c>
      <c r="H194" s="134">
        <f t="shared" ca="1" si="24"/>
        <v>-91000</v>
      </c>
      <c r="I194" s="134">
        <f t="shared" ca="1" si="24"/>
        <v>-228000</v>
      </c>
      <c r="J194" s="134">
        <f t="shared" ref="J194" ca="1" si="25">J181+J183+J185+J187+J189+J191</f>
        <v>-228000</v>
      </c>
      <c r="K194" s="134"/>
      <c r="L194" s="134">
        <f ca="1">SUM(F194:J194)</f>
        <v>0</v>
      </c>
    </row>
    <row r="195" spans="1:12" outlineLevel="1">
      <c r="A195" s="2"/>
      <c r="F195" s="134"/>
      <c r="G195" s="134"/>
      <c r="H195" s="134"/>
      <c r="I195" s="134"/>
      <c r="J195" s="134"/>
      <c r="K195" s="134"/>
      <c r="L195" s="134"/>
    </row>
    <row r="196" spans="1:12" outlineLevel="1">
      <c r="A196" s="32" t="str">
        <f ca="1">OFFSET(Язык!$A$445,0,LANGUAGE)</f>
        <v>Суммарный денежный поток за период</v>
      </c>
      <c r="C196" s="132" t="str">
        <f ca="1">CUR_Report</f>
        <v>$</v>
      </c>
      <c r="D196" s="1" t="s">
        <v>1316</v>
      </c>
      <c r="F196" s="134">
        <f t="shared" ref="F196:I196" ca="1" si="26">F166+F179+F194</f>
        <v>0</v>
      </c>
      <c r="G196" s="134">
        <f t="shared" ca="1" si="26"/>
        <v>149839.77265873016</v>
      </c>
      <c r="H196" s="134">
        <f t="shared" ca="1" si="26"/>
        <v>224565.61758730153</v>
      </c>
      <c r="I196" s="134">
        <f t="shared" ca="1" si="26"/>
        <v>67550.020131746132</v>
      </c>
      <c r="J196" s="134">
        <f t="shared" ref="J196" ca="1" si="27">J166+J179+J194</f>
        <v>126051.60339492065</v>
      </c>
      <c r="K196" s="134"/>
      <c r="L196" s="134">
        <f ca="1">SUM(F196:J196)</f>
        <v>568007.01377269847</v>
      </c>
    </row>
    <row r="197" spans="1:12" outlineLevel="1">
      <c r="A197" s="11" t="str">
        <f ca="1">OFFSET(Язык!$A$446,0,LANGUAGE)</f>
        <v>Денежные средства на конец периода</v>
      </c>
      <c r="C197" s="132" t="str">
        <f ca="1">CUR_Report</f>
        <v>$</v>
      </c>
      <c r="D197" s="1" t="s">
        <v>1737</v>
      </c>
      <c r="F197" s="134">
        <f t="shared" ref="F197:J197" ca="1" si="28">E197+F196</f>
        <v>0</v>
      </c>
      <c r="G197" s="134">
        <f t="shared" ca="1" si="28"/>
        <v>149839.77265873016</v>
      </c>
      <c r="H197" s="134">
        <f t="shared" ca="1" si="28"/>
        <v>374405.39024603169</v>
      </c>
      <c r="I197" s="134">
        <f t="shared" ca="1" si="28"/>
        <v>441955.41037777782</v>
      </c>
      <c r="J197" s="134">
        <f t="shared" ca="1" si="28"/>
        <v>568007.01377269847</v>
      </c>
      <c r="K197" s="134"/>
      <c r="L197" s="134"/>
    </row>
    <row r="198" spans="1:12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</row>
    <row r="199" spans="1:12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2" s="2" customFormat="1" hidden="1" outlineLevel="2">
      <c r="B200" s="76"/>
      <c r="C200" s="6"/>
    </row>
    <row r="201" spans="1:12" s="2" customFormat="1" hidden="1" outlineLevel="2">
      <c r="B201" s="76"/>
      <c r="C201" s="6"/>
    </row>
    <row r="202" spans="1:12" s="2" customFormat="1" hidden="1" outlineLevel="2">
      <c r="B202" s="76"/>
      <c r="C202" s="6"/>
    </row>
    <row r="203" spans="1:12" s="2" customFormat="1" hidden="1" outlineLevel="2">
      <c r="B203" s="76"/>
      <c r="C203" s="6"/>
    </row>
    <row r="204" spans="1:12" s="2" customFormat="1" hidden="1" outlineLevel="2">
      <c r="B204" s="76"/>
      <c r="C204" s="6"/>
    </row>
    <row r="205" spans="1:12" s="2" customFormat="1" hidden="1" outlineLevel="2">
      <c r="B205" s="76"/>
      <c r="C205" s="6"/>
    </row>
    <row r="206" spans="1:12" s="2" customFormat="1" hidden="1" outlineLevel="2">
      <c r="B206" s="76"/>
      <c r="C206" s="6"/>
    </row>
    <row r="207" spans="1:12" s="2" customFormat="1" hidden="1" outlineLevel="2">
      <c r="B207" s="76"/>
      <c r="C207" s="6"/>
    </row>
    <row r="208" spans="1:12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2" s="2" customFormat="1" hidden="1" outlineLevel="2">
      <c r="B241" s="76"/>
      <c r="C241" s="6"/>
    </row>
    <row r="242" spans="1:12" s="2" customFormat="1" hidden="1" outlineLevel="2">
      <c r="B242" s="76"/>
      <c r="C242" s="6"/>
    </row>
    <row r="243" spans="1:12" s="2" customFormat="1" hidden="1" outlineLevel="2">
      <c r="B243" s="76"/>
      <c r="C243" s="6"/>
    </row>
    <row r="244" spans="1:12" s="2" customFormat="1" hidden="1" outlineLevel="2">
      <c r="B244" s="76"/>
      <c r="C244" s="6"/>
    </row>
    <row r="245" spans="1:12" s="2" customFormat="1" hidden="1" outlineLevel="2">
      <c r="B245" s="76"/>
      <c r="C245" s="6"/>
    </row>
    <row r="246" spans="1:12" s="2" customFormat="1" hidden="1" outlineLevel="2">
      <c r="B246" s="76"/>
      <c r="C246" s="6"/>
    </row>
    <row r="247" spans="1:12" s="2" customFormat="1" hidden="1" outlineLevel="2">
      <c r="B247" s="76"/>
      <c r="C247" s="6"/>
    </row>
    <row r="248" spans="1:12" outlineLevel="1"/>
    <row r="249" spans="1:12" ht="12" outlineLevel="1" thickBot="1"/>
    <row r="250" spans="1:12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J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/>
      <c r="L250" s="23"/>
    </row>
    <row r="251" spans="1:12" ht="12" outlineLevel="1" thickTop="1"/>
    <row r="252" spans="1:12" outlineLevel="1" collapsed="1">
      <c r="A252" s="47" t="str">
        <f ca="1">OFFSET(Язык!$A$450,0,LANGUAGE)</f>
        <v>Деньги</v>
      </c>
      <c r="C252" s="132" t="str">
        <f t="shared" ref="C252:C269" ca="1" si="30">CUR_Report</f>
        <v>$</v>
      </c>
      <c r="D252" s="1" t="s">
        <v>1737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154309.67321428572</v>
      </c>
      <c r="H252" s="134">
        <f ca="1">SUMPRODUCT($B7:OFFSET($B8,-1,0),H253:OFFSET(H254,-1,0))+$B$9*Компания!H264/IF(CUR_I_Report=2,Проект!H$98,1)</f>
        <v>383372.71535714273</v>
      </c>
      <c r="I252" s="134">
        <f ca="1">SUMPRODUCT($B7:OFFSET($B8,-1,0),I253:OFFSET(I254,-1,0))+$B$9*Компания!I264/IF(CUR_I_Report=2,Проект!I$98,1)</f>
        <v>451819.46799999999</v>
      </c>
      <c r="J252" s="134">
        <f ca="1">SUMPRODUCT($B7:OFFSET($B8,-1,0),J253:OFFSET(J254,-1,0))+$B$9*Компания!J264/IF(CUR_I_Report=2,Проект!J$98,1)</f>
        <v>578857.47715714283</v>
      </c>
    </row>
    <row r="253" spans="1:12" hidden="1" outlineLevel="2">
      <c r="A253" s="13" t="str">
        <f>A7</f>
        <v xml:space="preserve">    Химчистка</v>
      </c>
      <c r="B253" s="135"/>
      <c r="C253" s="132" t="str">
        <f t="shared" ca="1" si="30"/>
        <v>$</v>
      </c>
      <c r="D253" s="135" t="s">
        <v>1318</v>
      </c>
      <c r="E253" s="135"/>
      <c r="F253" s="136">
        <f ca="1">Проект!F$942</f>
        <v>0</v>
      </c>
      <c r="G253" s="136">
        <f ca="1">Проект!G$942</f>
        <v>154309.67321428572</v>
      </c>
      <c r="H253" s="136">
        <f ca="1">Проект!H$942</f>
        <v>383372.71535714273</v>
      </c>
      <c r="I253" s="136">
        <f ca="1">Проект!I$942</f>
        <v>451819.46799999999</v>
      </c>
      <c r="J253" s="136">
        <f ca="1">Проект!J$942</f>
        <v>578857.47715714283</v>
      </c>
      <c r="K253" s="136"/>
      <c r="L253" s="134"/>
    </row>
    <row r="254" spans="1:12" outlineLevel="1" collapsed="1">
      <c r="A254" s="47" t="str">
        <f ca="1">OFFSET(Язык!$A$451,0,LANGUAGE)</f>
        <v>Дебиторская задолженность</v>
      </c>
      <c r="C254" s="132" t="str">
        <f t="shared" ca="1" si="30"/>
        <v>$</v>
      </c>
      <c r="D254" s="1" t="s">
        <v>1737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</row>
    <row r="255" spans="1:12" hidden="1" outlineLevel="2">
      <c r="A255" s="13" t="str">
        <f>A7</f>
        <v xml:space="preserve">    Химчистка</v>
      </c>
      <c r="B255" s="135"/>
      <c r="C255" s="132" t="str">
        <f t="shared" ca="1" si="30"/>
        <v>$</v>
      </c>
      <c r="D255" s="135" t="s">
        <v>1318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/>
      <c r="L255" s="134"/>
    </row>
    <row r="256" spans="1:12" outlineLevel="1" collapsed="1">
      <c r="A256" s="47" t="str">
        <f ca="1">OFFSET(Язык!$A$452,0,LANGUAGE)</f>
        <v>Авансы уплаченные</v>
      </c>
      <c r="C256" s="132" t="str">
        <f t="shared" ca="1" si="30"/>
        <v>$</v>
      </c>
      <c r="D256" s="1" t="s">
        <v>1737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</row>
    <row r="257" spans="1:12" hidden="1" outlineLevel="2">
      <c r="A257" s="13" t="str">
        <f>A7</f>
        <v xml:space="preserve">    Химчистка</v>
      </c>
      <c r="B257" s="135"/>
      <c r="C257" s="132" t="str">
        <f t="shared" ca="1" si="30"/>
        <v>$</v>
      </c>
      <c r="D257" s="135" t="s">
        <v>1318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/>
      <c r="L257" s="134"/>
    </row>
    <row r="258" spans="1:12" outlineLevel="1" collapsed="1">
      <c r="A258" s="47" t="str">
        <f ca="1">OFFSET(Язык!$A$453,0,LANGUAGE)</f>
        <v>Готовая продукция</v>
      </c>
      <c r="C258" s="132" t="str">
        <f t="shared" ca="1" si="30"/>
        <v>$</v>
      </c>
      <c r="D258" s="1" t="s">
        <v>1737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</row>
    <row r="259" spans="1:12" hidden="1" outlineLevel="2">
      <c r="A259" s="13" t="str">
        <f>A7</f>
        <v xml:space="preserve">    Химчистка</v>
      </c>
      <c r="B259" s="135"/>
      <c r="C259" s="132" t="str">
        <f t="shared" ca="1" si="30"/>
        <v>$</v>
      </c>
      <c r="D259" s="135" t="s">
        <v>1318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/>
      <c r="L259" s="134"/>
    </row>
    <row r="260" spans="1:12" outlineLevel="1" collapsed="1">
      <c r="A260" s="47" t="str">
        <f ca="1">OFFSET(Язык!$A$454,0,LANGUAGE)</f>
        <v>Незавершенное производство</v>
      </c>
      <c r="C260" s="132" t="str">
        <f t="shared" ca="1" si="30"/>
        <v>$</v>
      </c>
      <c r="D260" s="1" t="s">
        <v>1737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</row>
    <row r="261" spans="1:12" hidden="1" outlineLevel="2">
      <c r="A261" s="13" t="str">
        <f>A7</f>
        <v xml:space="preserve">    Химчистка</v>
      </c>
      <c r="B261" s="135"/>
      <c r="C261" s="132" t="str">
        <f t="shared" ca="1" si="30"/>
        <v>$</v>
      </c>
      <c r="D261" s="135" t="s">
        <v>1318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/>
      <c r="L261" s="134"/>
    </row>
    <row r="262" spans="1:12" outlineLevel="1" collapsed="1">
      <c r="A262" s="47" t="str">
        <f ca="1">OFFSET(Язык!$A$455,0,LANGUAGE)</f>
        <v>Материалы и комплектующие</v>
      </c>
      <c r="C262" s="132" t="str">
        <f t="shared" ca="1" si="30"/>
        <v>$</v>
      </c>
      <c r="D262" s="1" t="s">
        <v>1737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</row>
    <row r="263" spans="1:12" hidden="1" outlineLevel="2">
      <c r="A263" s="13" t="str">
        <f>A7</f>
        <v xml:space="preserve">    Химчистка</v>
      </c>
      <c r="B263" s="135"/>
      <c r="C263" s="132" t="str">
        <f t="shared" ca="1" si="30"/>
        <v>$</v>
      </c>
      <c r="D263" s="135" t="s">
        <v>1318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/>
      <c r="L263" s="134"/>
    </row>
    <row r="264" spans="1:12" outlineLevel="1" collapsed="1">
      <c r="A264" s="47" t="str">
        <f ca="1">OFFSET(Язык!$A$456,0,LANGUAGE)</f>
        <v>НДС на приобретенные товары</v>
      </c>
      <c r="C264" s="132" t="str">
        <f t="shared" ca="1" si="30"/>
        <v>$</v>
      </c>
      <c r="D264" s="1" t="s">
        <v>1737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58607.142857142855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</row>
    <row r="265" spans="1:12" hidden="1" outlineLevel="2">
      <c r="A265" s="13" t="str">
        <f>A7</f>
        <v xml:space="preserve">    Химчистка</v>
      </c>
      <c r="B265" s="135"/>
      <c r="C265" s="132" t="str">
        <f t="shared" ca="1" si="30"/>
        <v>$</v>
      </c>
      <c r="D265" s="135" t="s">
        <v>1318</v>
      </c>
      <c r="E265" s="135"/>
      <c r="F265" s="136">
        <f ca="1">Проект!F$948</f>
        <v>0</v>
      </c>
      <c r="G265" s="136">
        <f ca="1">Проект!G$948</f>
        <v>58607.142857142855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/>
      <c r="L265" s="134"/>
    </row>
    <row r="266" spans="1:12" outlineLevel="1" collapsed="1">
      <c r="A266" s="47" t="str">
        <f ca="1">OFFSET(Язык!$A$457,0,LANGUAGE)</f>
        <v>Расходы будущих периодов</v>
      </c>
      <c r="C266" s="132" t="str">
        <f t="shared" ca="1" si="30"/>
        <v>$</v>
      </c>
      <c r="D266" s="1" t="s">
        <v>1737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35714.28571428571</v>
      </c>
      <c r="I266" s="134">
        <f ca="1">SUMPRODUCT($B7:OFFSET($B8,-1,0),I267:OFFSET(I268,-1,0))+$B$9*Компания!I271/IF(CUR_I_Report=2,Проект!I$98,1)</f>
        <v>26785.714285714283</v>
      </c>
      <c r="J266" s="134">
        <f ca="1">SUMPRODUCT($B7:OFFSET($B8,-1,0),J267:OFFSET(J268,-1,0))+$B$9*Компания!J271/IF(CUR_I_Report=2,Проект!J$98,1)</f>
        <v>17857.142857142855</v>
      </c>
    </row>
    <row r="267" spans="1:12" hidden="1" outlineLevel="2">
      <c r="A267" s="13" t="str">
        <f>A7</f>
        <v xml:space="preserve">    Химчистка</v>
      </c>
      <c r="B267" s="135"/>
      <c r="C267" s="132" t="str">
        <f t="shared" ca="1" si="30"/>
        <v>$</v>
      </c>
      <c r="D267" s="135" t="s">
        <v>1318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35714.28571428571</v>
      </c>
      <c r="I267" s="136">
        <f ca="1">Проект!I$949</f>
        <v>26785.714285714283</v>
      </c>
      <c r="J267" s="136">
        <f ca="1">Проект!J$949</f>
        <v>17857.142857142855</v>
      </c>
      <c r="K267" s="136"/>
      <c r="L267" s="134"/>
    </row>
    <row r="268" spans="1:12" outlineLevel="1" collapsed="1">
      <c r="A268" s="47" t="str">
        <f ca="1">OFFSET(Язык!$A$458,0,LANGUAGE)</f>
        <v>Прочие оборотные активы</v>
      </c>
      <c r="C268" s="132" t="str">
        <f t="shared" ca="1" si="30"/>
        <v>$</v>
      </c>
      <c r="D268" s="1" t="s">
        <v>1737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</row>
    <row r="269" spans="1:12" hidden="1" outlineLevel="2">
      <c r="A269" s="13" t="str">
        <f>A7</f>
        <v xml:space="preserve">    Химчистка</v>
      </c>
      <c r="B269" s="135"/>
      <c r="C269" s="132" t="str">
        <f t="shared" ca="1" si="30"/>
        <v>$</v>
      </c>
      <c r="D269" s="135" t="s">
        <v>1318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/>
      <c r="L269" s="134"/>
    </row>
    <row r="270" spans="1:12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4"/>
    </row>
    <row r="271" spans="1:12" outlineLevel="1">
      <c r="A271" s="32" t="str">
        <f ca="1">OFFSET(Язык!$A$459,0,LANGUAGE)</f>
        <v>Суммарные оборотные активы</v>
      </c>
      <c r="C271" s="132" t="str">
        <f ca="1">CUR_Report</f>
        <v>$</v>
      </c>
      <c r="D271" s="1" t="s">
        <v>1737</v>
      </c>
      <c r="F271" s="225">
        <f t="shared" ref="F271:I271" ca="1" si="31">F252+F254+F256+F258+F260+F262+F264+F266+F268</f>
        <v>0</v>
      </c>
      <c r="G271" s="225">
        <f t="shared" ca="1" si="31"/>
        <v>212916.81607142859</v>
      </c>
      <c r="H271" s="225">
        <f t="shared" ca="1" si="31"/>
        <v>419087.00107142841</v>
      </c>
      <c r="I271" s="225">
        <f t="shared" ca="1" si="31"/>
        <v>478605.18228571425</v>
      </c>
      <c r="J271" s="225">
        <f t="shared" ref="J271" ca="1" si="32">J252+J254+J256+J258+J260+J262+J264+J266+J268</f>
        <v>596714.62001428567</v>
      </c>
    </row>
    <row r="272" spans="1:12" outlineLevel="1">
      <c r="A272" s="2"/>
      <c r="F272" s="134"/>
      <c r="G272" s="134"/>
      <c r="H272" s="134"/>
      <c r="I272" s="134"/>
      <c r="J272" s="134"/>
    </row>
    <row r="273" spans="1:12" outlineLevel="1" collapsed="1">
      <c r="A273" s="47" t="str">
        <f ca="1">OFFSET(Язык!$A$460,0,LANGUAGE)</f>
        <v>Постоянные активы</v>
      </c>
      <c r="C273" s="132" t="str">
        <f t="shared" ref="C273:C280" ca="1" si="33">CUR_Report</f>
        <v>$</v>
      </c>
      <c r="D273" s="1" t="s">
        <v>1737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395178.57142857142</v>
      </c>
      <c r="I273" s="134">
        <f ca="1">SUMPRODUCT($B7:OFFSET($B8,-1,0),I274:OFFSET(I275,-1,0))+$B$9*Компания!I275/IF(CUR_I_Report=2,Проект!I$98,1)</f>
        <v>346607.14285714284</v>
      </c>
      <c r="J273" s="134">
        <f ca="1">SUMPRODUCT($B7:OFFSET($B8,-1,0),J274:OFFSET(J275,-1,0))+$B$9*Компания!J275/IF(CUR_I_Report=2,Проект!J$98,1)</f>
        <v>298035.71428571426</v>
      </c>
    </row>
    <row r="274" spans="1:12" hidden="1" outlineLevel="2">
      <c r="A274" s="13" t="str">
        <f>A7</f>
        <v xml:space="preserve">    Химчистка</v>
      </c>
      <c r="B274" s="135"/>
      <c r="C274" s="132" t="str">
        <f t="shared" ca="1" si="33"/>
        <v>$</v>
      </c>
      <c r="D274" s="135" t="s">
        <v>1318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395178.57142857142</v>
      </c>
      <c r="I274" s="136">
        <f ca="1">Проект!I$953</f>
        <v>346607.14285714284</v>
      </c>
      <c r="J274" s="136">
        <f ca="1">Проект!J$953</f>
        <v>298035.71428571426</v>
      </c>
      <c r="K274" s="136"/>
      <c r="L274" s="134"/>
    </row>
    <row r="275" spans="1:12" outlineLevel="1" collapsed="1">
      <c r="A275" s="47" t="str">
        <f ca="1">OFFSET(Язык!$A$461,0,LANGUAGE)</f>
        <v xml:space="preserve">    здания и сооружения</v>
      </c>
      <c r="C275" s="132" t="str">
        <f t="shared" ca="1" si="33"/>
        <v>$</v>
      </c>
      <c r="D275" s="1" t="s">
        <v>1737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254464.28571428571</v>
      </c>
      <c r="I275" s="134">
        <f ca="1">SUMPRODUCT($B7:OFFSET($B8,-1,0),I276:OFFSET(I277,-1,0))+$B$9*Компания!I276/IF(CUR_I_Report=2,Проект!I$98,1)</f>
        <v>241071.42857142855</v>
      </c>
      <c r="J275" s="134">
        <f ca="1">SUMPRODUCT($B7:OFFSET($B8,-1,0),J276:OFFSET(J277,-1,0))+$B$9*Компания!J276/IF(CUR_I_Report=2,Проект!J$98,1)</f>
        <v>227678.57142857142</v>
      </c>
    </row>
    <row r="276" spans="1:12" hidden="1" outlineLevel="2">
      <c r="A276" s="13" t="str">
        <f>A7</f>
        <v xml:space="preserve">    Химчистка</v>
      </c>
      <c r="B276" s="135"/>
      <c r="C276" s="132" t="str">
        <f t="shared" ca="1" si="33"/>
        <v>$</v>
      </c>
      <c r="D276" s="135" t="s">
        <v>1318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254464.28571428571</v>
      </c>
      <c r="I276" s="136">
        <f ca="1">Проект!I$954</f>
        <v>241071.42857142855</v>
      </c>
      <c r="J276" s="136">
        <f ca="1">Проект!J$954</f>
        <v>227678.57142857142</v>
      </c>
      <c r="K276" s="136"/>
      <c r="L276" s="134"/>
    </row>
    <row r="277" spans="1:12" outlineLevel="1" collapsed="1">
      <c r="A277" s="47" t="str">
        <f ca="1">OFFSET(Язык!$A$462,0,LANGUAGE)</f>
        <v xml:space="preserve">    оборудование и прочие активы</v>
      </c>
      <c r="C277" s="132" t="str">
        <f t="shared" ca="1" si="33"/>
        <v>$</v>
      </c>
      <c r="D277" s="1" t="s">
        <v>1737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140714.28571428571</v>
      </c>
      <c r="I277" s="134">
        <f ca="1">SUMPRODUCT($B7:OFFSET($B8,-1,0),I278:OFFSET(I279,-1,0))+$B$9*Компания!I277/IF(CUR_I_Report=2,Проект!I$98,1)</f>
        <v>105535.71428571428</v>
      </c>
      <c r="J277" s="134">
        <f ca="1">SUMPRODUCT($B7:OFFSET($B8,-1,0),J278:OFFSET(J279,-1,0))+$B$9*Компания!J277/IF(CUR_I_Report=2,Проект!J$98,1)</f>
        <v>70357.142857142841</v>
      </c>
    </row>
    <row r="278" spans="1:12" hidden="1" outlineLevel="2">
      <c r="A278" s="13" t="str">
        <f>A7</f>
        <v xml:space="preserve">    Химчистка</v>
      </c>
      <c r="B278" s="135"/>
      <c r="C278" s="132" t="str">
        <f t="shared" ca="1" si="33"/>
        <v>$</v>
      </c>
      <c r="D278" s="135" t="s">
        <v>1318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140714.28571428571</v>
      </c>
      <c r="I278" s="136">
        <f ca="1">Проект!I$955</f>
        <v>105535.71428571428</v>
      </c>
      <c r="J278" s="136">
        <f ca="1">Проект!J$955</f>
        <v>70357.142857142841</v>
      </c>
      <c r="K278" s="136"/>
      <c r="L278" s="134"/>
    </row>
    <row r="279" spans="1:12" outlineLevel="1" collapsed="1">
      <c r="A279" s="47" t="str">
        <f ca="1">OFFSET(Язык!$A$463,0,LANGUAGE)</f>
        <v>Незавершенные капиталовложения</v>
      </c>
      <c r="C279" s="132" t="str">
        <f t="shared" ca="1" si="33"/>
        <v>$</v>
      </c>
      <c r="D279" s="1" t="s">
        <v>1737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488392.85714285716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</row>
    <row r="280" spans="1:12" hidden="1" outlineLevel="2">
      <c r="A280" s="13" t="str">
        <f>A7</f>
        <v xml:space="preserve">    Химчистка</v>
      </c>
      <c r="B280" s="135"/>
      <c r="C280" s="132" t="str">
        <f t="shared" ca="1" si="33"/>
        <v>$</v>
      </c>
      <c r="D280" s="135" t="s">
        <v>1318</v>
      </c>
      <c r="E280" s="135"/>
      <c r="F280" s="136">
        <f ca="1">Проект!F$956</f>
        <v>0</v>
      </c>
      <c r="G280" s="136">
        <f ca="1">Проект!G$956</f>
        <v>488392.85714285716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/>
      <c r="L280" s="134"/>
    </row>
    <row r="281" spans="1:12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4"/>
    </row>
    <row r="282" spans="1:12" outlineLevel="1">
      <c r="A282" s="32" t="str">
        <f ca="1">OFFSET(Язык!$A$464,0,LANGUAGE)</f>
        <v>Суммарные внеоборотные активы</v>
      </c>
      <c r="C282" s="132" t="str">
        <f ca="1">CUR_Report</f>
        <v>$</v>
      </c>
      <c r="D282" s="1" t="s">
        <v>1737</v>
      </c>
      <c r="F282" s="225">
        <f t="shared" ref="F282:I282" ca="1" si="34">F273+F279</f>
        <v>0</v>
      </c>
      <c r="G282" s="225">
        <f t="shared" ca="1" si="34"/>
        <v>488392.85714285716</v>
      </c>
      <c r="H282" s="225">
        <f t="shared" ca="1" si="34"/>
        <v>395178.57142857142</v>
      </c>
      <c r="I282" s="225">
        <f t="shared" ca="1" si="34"/>
        <v>346607.14285714284</v>
      </c>
      <c r="J282" s="225">
        <f t="shared" ref="J282" ca="1" si="35">J273+J279</f>
        <v>298035.71428571426</v>
      </c>
    </row>
    <row r="283" spans="1:12" outlineLevel="1">
      <c r="A283" s="2"/>
      <c r="F283" s="134"/>
      <c r="G283" s="134"/>
      <c r="H283" s="134"/>
      <c r="I283" s="134"/>
      <c r="J283" s="134"/>
    </row>
    <row r="284" spans="1:12" outlineLevel="1">
      <c r="A284" s="32" t="str">
        <f ca="1">OFFSET(Язык!$A$465,0,LANGUAGE)</f>
        <v xml:space="preserve"> = ИТОГО АКТИВОВ</v>
      </c>
      <c r="B284" s="29" t="str">
        <f ca="1">IF(COUNTIF(F318:J318,1)&gt;0,"Не сходится!","")</f>
        <v/>
      </c>
      <c r="C284" s="132" t="str">
        <f ca="1">CUR_Report</f>
        <v>$</v>
      </c>
      <c r="D284" s="1" t="s">
        <v>1737</v>
      </c>
      <c r="F284" s="225">
        <f t="shared" ref="F284:I284" ca="1" si="36">F271+F282</f>
        <v>0</v>
      </c>
      <c r="G284" s="225">
        <f t="shared" ca="1" si="36"/>
        <v>701309.67321428575</v>
      </c>
      <c r="H284" s="225">
        <f t="shared" ca="1" si="36"/>
        <v>814265.57249999978</v>
      </c>
      <c r="I284" s="225">
        <f t="shared" ca="1" si="36"/>
        <v>825212.32514285715</v>
      </c>
      <c r="J284" s="225">
        <f t="shared" ref="J284" ca="1" si="37">J271+J282</f>
        <v>894750.33429999999</v>
      </c>
    </row>
    <row r="285" spans="1:12" outlineLevel="1">
      <c r="A285" s="2"/>
      <c r="F285" s="134"/>
      <c r="G285" s="134"/>
      <c r="H285" s="134"/>
      <c r="I285" s="134"/>
      <c r="J285" s="134"/>
    </row>
    <row r="286" spans="1:12" outlineLevel="1" collapsed="1">
      <c r="A286" s="47" t="str">
        <f ca="1">OFFSET(Язык!$A$466,0,LANGUAGE)</f>
        <v>Кредиторская задолженность</v>
      </c>
      <c r="C286" s="132" t="str">
        <f t="shared" ref="C286:C301" ca="1" si="38">CUR_Report</f>
        <v>$</v>
      </c>
      <c r="D286" s="1" t="s">
        <v>1737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</row>
    <row r="287" spans="1:12" hidden="1" outlineLevel="2">
      <c r="A287" s="13" t="str">
        <f>A7</f>
        <v xml:space="preserve">    Химчистка</v>
      </c>
      <c r="B287" s="135"/>
      <c r="C287" s="132" t="str">
        <f t="shared" ca="1" si="38"/>
        <v>$</v>
      </c>
      <c r="D287" s="135" t="s">
        <v>1318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/>
      <c r="L287" s="134"/>
    </row>
    <row r="288" spans="1:12" outlineLevel="1" collapsed="1">
      <c r="A288" s="47" t="str">
        <f ca="1">OFFSET(Язык!$A$467,0,LANGUAGE)</f>
        <v xml:space="preserve">    за поставленные товары</v>
      </c>
      <c r="C288" s="132" t="str">
        <f t="shared" ca="1" si="38"/>
        <v>$</v>
      </c>
      <c r="D288" s="1" t="s">
        <v>1737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</row>
    <row r="289" spans="1:12" hidden="1" outlineLevel="2">
      <c r="A289" s="13" t="str">
        <f>A7</f>
        <v xml:space="preserve">    Химчистка</v>
      </c>
      <c r="B289" s="135"/>
      <c r="C289" s="132" t="str">
        <f t="shared" ca="1" si="38"/>
        <v>$</v>
      </c>
      <c r="D289" s="135" t="s">
        <v>1318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/>
      <c r="L289" s="134"/>
    </row>
    <row r="290" spans="1:12" outlineLevel="1" collapsed="1">
      <c r="A290" s="47" t="str">
        <f ca="1">OFFSET(Язык!$A$468,0,LANGUAGE)</f>
        <v xml:space="preserve">    за постоянные активы</v>
      </c>
      <c r="C290" s="132" t="str">
        <f t="shared" ca="1" si="38"/>
        <v>$</v>
      </c>
      <c r="D290" s="1" t="s">
        <v>1737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</row>
    <row r="291" spans="1:12" hidden="1" outlineLevel="2">
      <c r="A291" s="13" t="str">
        <f>A7</f>
        <v xml:space="preserve">    Химчистка</v>
      </c>
      <c r="B291" s="135"/>
      <c r="C291" s="132" t="str">
        <f t="shared" ca="1" si="38"/>
        <v>$</v>
      </c>
      <c r="D291" s="135" t="s">
        <v>1318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/>
      <c r="L291" s="134"/>
    </row>
    <row r="292" spans="1:12" outlineLevel="1" collapsed="1">
      <c r="A292" s="47" t="str">
        <f ca="1">OFFSET(Язык!$A$469,0,LANGUAGE)</f>
        <v>Расчеты с бюджетом</v>
      </c>
      <c r="C292" s="132" t="str">
        <f t="shared" ca="1" si="38"/>
        <v>$</v>
      </c>
      <c r="D292" s="1" t="s">
        <v>1737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33188.467500000006</v>
      </c>
      <c r="H292" s="134">
        <f ca="1">SUMPRODUCT($B7:OFFSET($B8,-1,0),H293:OFFSET(H294,-1,0))+$B$9*Компания!H286/IF(CUR_I_Report=2,Проект!H$98,1)</f>
        <v>49672.385642857123</v>
      </c>
      <c r="I292" s="134">
        <f ca="1">SUMPRODUCT($B7:OFFSET($B8,-1,0),I293:OFFSET(I294,-1,0))+$B$9*Компания!I286/IF(CUR_I_Report=2,Проект!I$98,1)</f>
        <v>65410.444742857158</v>
      </c>
      <c r="J292" s="134">
        <f ca="1">SUMPRODUCT($B7:OFFSET($B8,-1,0),J293:OFFSET(J294,-1,0))+$B$9*Компания!J286/IF(CUR_I_Report=2,Проект!J$98,1)</f>
        <v>80668.062431428552</v>
      </c>
    </row>
    <row r="293" spans="1:12" hidden="1" outlineLevel="2">
      <c r="A293" s="13" t="str">
        <f>A7</f>
        <v xml:space="preserve">    Химчистка</v>
      </c>
      <c r="B293" s="135"/>
      <c r="C293" s="132" t="str">
        <f t="shared" ca="1" si="38"/>
        <v>$</v>
      </c>
      <c r="D293" s="135" t="s">
        <v>1318</v>
      </c>
      <c r="E293" s="135"/>
      <c r="F293" s="136">
        <f>Проект!F$964</f>
        <v>0</v>
      </c>
      <c r="G293" s="136">
        <f ca="1">Проект!G$964</f>
        <v>33188.467500000006</v>
      </c>
      <c r="H293" s="136">
        <f ca="1">Проект!H$964</f>
        <v>49672.385642857123</v>
      </c>
      <c r="I293" s="136">
        <f ca="1">Проект!I$964</f>
        <v>65410.444742857158</v>
      </c>
      <c r="J293" s="136">
        <f ca="1">Проект!J$964</f>
        <v>80668.062431428552</v>
      </c>
      <c r="K293" s="136"/>
      <c r="L293" s="134"/>
    </row>
    <row r="294" spans="1:12" outlineLevel="1" collapsed="1">
      <c r="A294" s="47" t="str">
        <f ca="1">OFFSET(Язык!$A$470,0,LANGUAGE)</f>
        <v>Расчеты с персоналом</v>
      </c>
      <c r="C294" s="132" t="str">
        <f t="shared" ca="1" si="38"/>
        <v>$</v>
      </c>
      <c r="D294" s="1" t="s">
        <v>1737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2490</v>
      </c>
      <c r="H294" s="134">
        <f ca="1">SUMPRODUCT($B7:OFFSET($B8,-1,0),H295:OFFSET(H296,-1,0))+$B$9*Компания!H287/IF(CUR_I_Report=2,Проект!H$98,1)</f>
        <v>3965.5</v>
      </c>
      <c r="I294" s="134">
        <f ca="1">SUMPRODUCT($B7:OFFSET($B8,-1,0),I295:OFFSET(I296,-1,0))+$B$9*Компания!I287/IF(CUR_I_Report=2,Проект!I$98,1)</f>
        <v>4362.05</v>
      </c>
      <c r="J294" s="134">
        <f ca="1">SUMPRODUCT($B7:OFFSET($B8,-1,0),J295:OFFSET(J296,-1,0))+$B$9*Компания!J287/IF(CUR_I_Report=2,Проект!J$98,1)</f>
        <v>4798.2549999999992</v>
      </c>
    </row>
    <row r="295" spans="1:12" hidden="1" outlineLevel="2">
      <c r="A295" s="13" t="str">
        <f>A7</f>
        <v xml:space="preserve">    Химчистка</v>
      </c>
      <c r="B295" s="135"/>
      <c r="C295" s="132" t="str">
        <f t="shared" ca="1" si="38"/>
        <v>$</v>
      </c>
      <c r="D295" s="135" t="s">
        <v>1318</v>
      </c>
      <c r="E295" s="135"/>
      <c r="F295" s="136">
        <f>Проект!F$965</f>
        <v>0</v>
      </c>
      <c r="G295" s="136">
        <f ca="1">Проект!G$965</f>
        <v>2490</v>
      </c>
      <c r="H295" s="136">
        <f>Проект!H$965</f>
        <v>3965.5</v>
      </c>
      <c r="I295" s="136">
        <f ca="1">Проект!I$965</f>
        <v>4362.05</v>
      </c>
      <c r="J295" s="136">
        <f ca="1">Проект!J$965</f>
        <v>4798.2549999999992</v>
      </c>
      <c r="K295" s="136"/>
      <c r="L295" s="134"/>
    </row>
    <row r="296" spans="1:12" outlineLevel="1" collapsed="1">
      <c r="A296" s="47" t="str">
        <f ca="1">OFFSET(Язык!$A$471,0,LANGUAGE)</f>
        <v>Авансы покупателей</v>
      </c>
      <c r="C296" s="132" t="str">
        <f t="shared" ca="1" si="38"/>
        <v>$</v>
      </c>
      <c r="D296" s="1" t="s">
        <v>1737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</row>
    <row r="297" spans="1:12" hidden="1" outlineLevel="2">
      <c r="A297" s="13" t="str">
        <f>A7</f>
        <v xml:space="preserve">    Химчистка</v>
      </c>
      <c r="B297" s="135"/>
      <c r="C297" s="132" t="str">
        <f t="shared" ca="1" si="38"/>
        <v>$</v>
      </c>
      <c r="D297" s="135" t="s">
        <v>1318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/>
      <c r="L297" s="134"/>
    </row>
    <row r="298" spans="1:12" outlineLevel="1" collapsed="1">
      <c r="A298" s="47" t="str">
        <f ca="1">OFFSET(Язык!$A$472,0,LANGUAGE)</f>
        <v>Краткосрочные кредиты</v>
      </c>
      <c r="C298" s="132" t="str">
        <f t="shared" ca="1" si="38"/>
        <v>$</v>
      </c>
      <c r="D298" s="1" t="s">
        <v>1737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</row>
    <row r="299" spans="1:12" hidden="1" outlineLevel="2">
      <c r="A299" s="13" t="str">
        <f>A7</f>
        <v xml:space="preserve">    Химчистка</v>
      </c>
      <c r="B299" s="135"/>
      <c r="C299" s="132" t="str">
        <f t="shared" ca="1" si="38"/>
        <v>$</v>
      </c>
      <c r="D299" s="135" t="s">
        <v>1318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/>
      <c r="L299" s="134"/>
    </row>
    <row r="300" spans="1:12" outlineLevel="1" collapsed="1">
      <c r="A300" s="47" t="str">
        <f ca="1">OFFSET(Язык!$A$473,0,LANGUAGE)</f>
        <v>Прочие краткосрочные обязательства</v>
      </c>
      <c r="B300" s="135"/>
      <c r="C300" s="132" t="str">
        <f t="shared" ca="1" si="38"/>
        <v>$</v>
      </c>
      <c r="D300" s="1" t="s">
        <v>1737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6"/>
      <c r="L300" s="134"/>
    </row>
    <row r="301" spans="1:12" hidden="1" outlineLevel="2">
      <c r="A301" s="13" t="str">
        <f>A7</f>
        <v xml:space="preserve">    Химчистка</v>
      </c>
      <c r="B301" s="135"/>
      <c r="C301" s="132" t="str">
        <f t="shared" ca="1" si="38"/>
        <v>$</v>
      </c>
      <c r="D301" s="135" t="s">
        <v>1318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/>
      <c r="L301" s="134"/>
    </row>
    <row r="302" spans="1:12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4"/>
    </row>
    <row r="303" spans="1:12" outlineLevel="1">
      <c r="A303" s="32" t="str">
        <f ca="1">OFFSET(Язык!$A$474,0,LANGUAGE)</f>
        <v>Суммарные краткосрочные обязательства</v>
      </c>
      <c r="C303" s="132" t="str">
        <f ca="1">CUR_Report</f>
        <v>$</v>
      </c>
      <c r="D303" s="1" t="s">
        <v>1737</v>
      </c>
      <c r="F303" s="225">
        <f t="shared" ref="F303:I303" ca="1" si="39">F286+F292+F294+F296+F298+F300</f>
        <v>0</v>
      </c>
      <c r="G303" s="225">
        <f t="shared" ca="1" si="39"/>
        <v>35678.467500000006</v>
      </c>
      <c r="H303" s="225">
        <f t="shared" ca="1" si="39"/>
        <v>53637.885642857123</v>
      </c>
      <c r="I303" s="225">
        <f t="shared" ca="1" si="39"/>
        <v>69772.494742857161</v>
      </c>
      <c r="J303" s="225">
        <f t="shared" ref="J303" ca="1" si="40">J286+J292+J294+J296+J298+J300</f>
        <v>85466.317431428557</v>
      </c>
    </row>
    <row r="304" spans="1:12" outlineLevel="1">
      <c r="A304" s="2"/>
      <c r="F304" s="134"/>
      <c r="G304" s="134"/>
      <c r="H304" s="134"/>
      <c r="I304" s="134"/>
      <c r="J304" s="134"/>
    </row>
    <row r="305" spans="1:12" outlineLevel="1" collapsed="1">
      <c r="A305" s="32" t="str">
        <f ca="1">OFFSET(Язык!$A$475,0,LANGUAGE)</f>
        <v>Долгосрочные обязательства</v>
      </c>
      <c r="C305" s="132" t="str">
        <f ca="1">CUR_Report</f>
        <v>$</v>
      </c>
      <c r="D305" s="1" t="s">
        <v>1737</v>
      </c>
      <c r="F305" s="225">
        <f ca="1">SUMPRODUCT($B7:OFFSET($B8,-1,0),F306:OFFSET(F307,-1,0))+$B$9*Компания!F293/IF(CUR_I_Report=2,Проект!F$98,1)</f>
        <v>0</v>
      </c>
      <c r="G305" s="225">
        <f ca="1">SUMPRODUCT($B7:OFFSET($B8,-1,0),G306:OFFSET(G307,-1,0))+$B$9*Компания!G293/IF(CUR_I_Report=2,Проект!G$98,1)</f>
        <v>547000</v>
      </c>
      <c r="H305" s="225">
        <f ca="1">SUMPRODUCT($B7:OFFSET($B8,-1,0),H306:OFFSET(H307,-1,0))+$B$9*Компания!H293/IF(CUR_I_Report=2,Проект!H$98,1)</f>
        <v>456000</v>
      </c>
      <c r="I305" s="225">
        <f ca="1">SUMPRODUCT($B7:OFFSET($B8,-1,0),I306:OFFSET(I307,-1,0))+$B$9*Компания!I293/IF(CUR_I_Report=2,Проект!I$98,1)</f>
        <v>228000</v>
      </c>
      <c r="J305" s="225">
        <f ca="1">SUMPRODUCT($B7:OFFSET($B8,-1,0),J306:OFFSET(J307,-1,0))+$B$9*Компания!J293/IF(CUR_I_Report=2,Проект!J$98,1)</f>
        <v>0</v>
      </c>
    </row>
    <row r="306" spans="1:12" hidden="1" outlineLevel="2">
      <c r="A306" s="13" t="str">
        <f>A7</f>
        <v xml:space="preserve">    Химчистка</v>
      </c>
      <c r="B306" s="135"/>
      <c r="C306" s="132" t="str">
        <f ca="1">CUR_Report</f>
        <v>$</v>
      </c>
      <c r="D306" s="135" t="s">
        <v>1318</v>
      </c>
      <c r="E306" s="135"/>
      <c r="F306" s="136">
        <f>Проект!F$971</f>
        <v>0</v>
      </c>
      <c r="G306" s="136">
        <f>Проект!G$971</f>
        <v>547000</v>
      </c>
      <c r="H306" s="136">
        <f>Проект!H$971</f>
        <v>456000</v>
      </c>
      <c r="I306" s="136">
        <f>Проект!I$971</f>
        <v>228000</v>
      </c>
      <c r="J306" s="136">
        <f>Проект!J$971</f>
        <v>0</v>
      </c>
      <c r="K306" s="136"/>
      <c r="L306" s="134"/>
    </row>
    <row r="307" spans="1:12" outlineLevel="1">
      <c r="A307" s="2"/>
      <c r="F307" s="134"/>
      <c r="G307" s="134"/>
      <c r="H307" s="134"/>
      <c r="I307" s="134"/>
      <c r="J307" s="134"/>
    </row>
    <row r="308" spans="1:12" outlineLevel="1" collapsed="1">
      <c r="A308" s="47" t="str">
        <f ca="1">OFFSET(Язык!$A$476,0,LANGUAGE)</f>
        <v>Акционерный капитал</v>
      </c>
      <c r="C308" s="132" t="str">
        <f t="shared" ref="C308:C313" ca="1" si="41">CUR_Report</f>
        <v>$</v>
      </c>
      <c r="D308" s="1" t="s">
        <v>1737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</row>
    <row r="309" spans="1:12" hidden="1" outlineLevel="2">
      <c r="A309" s="13" t="str">
        <f>A7</f>
        <v xml:space="preserve">    Химчистка</v>
      </c>
      <c r="B309" s="135"/>
      <c r="C309" s="132" t="str">
        <f t="shared" ca="1" si="41"/>
        <v>$</v>
      </c>
      <c r="D309" s="135" t="s">
        <v>1318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/>
      <c r="L309" s="134"/>
    </row>
    <row r="310" spans="1:12" outlineLevel="1" collapsed="1">
      <c r="A310" s="47" t="str">
        <f ca="1">OFFSET(Язык!$A$477,0,LANGUAGE)</f>
        <v>Нераспределенная прибыль</v>
      </c>
      <c r="C310" s="132" t="str">
        <f t="shared" ca="1" si="41"/>
        <v>$</v>
      </c>
      <c r="D310" s="1" t="s">
        <v>1737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118631.20571428572</v>
      </c>
      <c r="H310" s="134">
        <f ca="1">SUMPRODUCT($B7:OFFSET($B8,-1,0),H311:OFFSET(H312,-1,0))+$B$9*Компания!H296/IF(CUR_I_Report=2,Проект!H$98,1)</f>
        <v>304627.68685714278</v>
      </c>
      <c r="I310" s="134">
        <f ca="1">SUMPRODUCT($B7:OFFSET($B8,-1,0),I311:OFFSET(I312,-1,0))+$B$9*Компания!I296/IF(CUR_I_Report=2,Проект!I$98,1)</f>
        <v>527439.83039999998</v>
      </c>
      <c r="J310" s="134">
        <f ca="1">SUMPRODUCT($B7:OFFSET($B8,-1,0),J311:OFFSET(J312,-1,0))+$B$9*Компания!J296/IF(CUR_I_Report=2,Проект!J$98,1)</f>
        <v>809284.01686857129</v>
      </c>
    </row>
    <row r="311" spans="1:12" hidden="1" outlineLevel="2">
      <c r="A311" s="13" t="str">
        <f>A7</f>
        <v xml:space="preserve">    Химчистка</v>
      </c>
      <c r="B311" s="135"/>
      <c r="C311" s="132" t="str">
        <f t="shared" ca="1" si="41"/>
        <v>$</v>
      </c>
      <c r="D311" s="135" t="s">
        <v>1318</v>
      </c>
      <c r="E311" s="135"/>
      <c r="F311" s="136">
        <f>Проект!F$974</f>
        <v>0</v>
      </c>
      <c r="G311" s="136">
        <f ca="1">Проект!G$974</f>
        <v>118631.20571428572</v>
      </c>
      <c r="H311" s="136">
        <f ca="1">Проект!H$974</f>
        <v>304627.68685714278</v>
      </c>
      <c r="I311" s="136">
        <f ca="1">Проект!I$974</f>
        <v>527439.83039999998</v>
      </c>
      <c r="J311" s="136">
        <f ca="1">Проект!J$974</f>
        <v>809284.01686857129</v>
      </c>
      <c r="K311" s="136"/>
      <c r="L311" s="134"/>
    </row>
    <row r="312" spans="1:12" outlineLevel="1" collapsed="1">
      <c r="A312" s="47" t="str">
        <f ca="1">OFFSET(Язык!$A$478,0,LANGUAGE)</f>
        <v>Прочие источники финансирования</v>
      </c>
      <c r="B312" s="135"/>
      <c r="C312" s="132" t="str">
        <f t="shared" ca="1" si="41"/>
        <v>$</v>
      </c>
      <c r="D312" s="1" t="s">
        <v>1737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6"/>
      <c r="L312" s="134"/>
    </row>
    <row r="313" spans="1:12" hidden="1" outlineLevel="2">
      <c r="A313" s="13" t="str">
        <f>A7</f>
        <v xml:space="preserve">    Химчистка</v>
      </c>
      <c r="B313" s="135"/>
      <c r="C313" s="132" t="str">
        <f t="shared" ca="1" si="41"/>
        <v>$</v>
      </c>
      <c r="D313" s="135" t="s">
        <v>1318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/>
      <c r="L313" s="134"/>
    </row>
    <row r="314" spans="1:12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4"/>
    </row>
    <row r="315" spans="1:12" outlineLevel="1">
      <c r="A315" s="32" t="str">
        <f ca="1">OFFSET(Язык!$A$479,0,LANGUAGE)</f>
        <v>Суммарный собственный капитал</v>
      </c>
      <c r="C315" s="132" t="str">
        <f ca="1">CUR_Report</f>
        <v>$</v>
      </c>
      <c r="D315" s="1" t="s">
        <v>1737</v>
      </c>
      <c r="F315" s="225">
        <f t="shared" ref="F315:I315" ca="1" si="42">F308+F310+F312</f>
        <v>0</v>
      </c>
      <c r="G315" s="225">
        <f t="shared" ca="1" si="42"/>
        <v>118631.20571428572</v>
      </c>
      <c r="H315" s="225">
        <f t="shared" ca="1" si="42"/>
        <v>304627.68685714278</v>
      </c>
      <c r="I315" s="225">
        <f t="shared" ca="1" si="42"/>
        <v>527439.83039999998</v>
      </c>
      <c r="J315" s="225">
        <f t="shared" ref="J315" ca="1" si="43">J308+J310+J312</f>
        <v>809284.01686857129</v>
      </c>
    </row>
    <row r="316" spans="1:12" outlineLevel="1">
      <c r="A316" s="47"/>
      <c r="F316" s="134"/>
      <c r="G316" s="134"/>
      <c r="H316" s="134"/>
      <c r="I316" s="134"/>
      <c r="J316" s="134"/>
    </row>
    <row r="317" spans="1:12" outlineLevel="1">
      <c r="A317" s="133" t="str">
        <f ca="1">OFFSET(Язык!$A$480,0,LANGUAGE)</f>
        <v xml:space="preserve"> = ИТОГО ПАССИВОВ</v>
      </c>
      <c r="B317" s="154" t="str">
        <f ca="1">IF(COUNTIF(F318:J318,1)&gt;0,"Не сходится!","")</f>
        <v/>
      </c>
      <c r="C317" s="132" t="str">
        <f ca="1">CUR_Report</f>
        <v>$</v>
      </c>
      <c r="D317" s="1" t="s">
        <v>1737</v>
      </c>
      <c r="E317" s="166"/>
      <c r="F317" s="226">
        <f t="shared" ref="F317:I317" ca="1" si="44">F303+F305+F315</f>
        <v>0</v>
      </c>
      <c r="G317" s="226">
        <f t="shared" ca="1" si="44"/>
        <v>701309.67321428575</v>
      </c>
      <c r="H317" s="226">
        <f t="shared" ca="1" si="44"/>
        <v>814265.57249999989</v>
      </c>
      <c r="I317" s="226">
        <f t="shared" ca="1" si="44"/>
        <v>825212.32514285715</v>
      </c>
      <c r="J317" s="226">
        <f t="shared" ref="J317" ca="1" si="45">J303+J305+J315</f>
        <v>894750.33429999987</v>
      </c>
    </row>
    <row r="318" spans="1:12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1737</v>
      </c>
      <c r="E318" s="165"/>
      <c r="F318" s="69">
        <f t="shared" ref="F318:I318" ca="1" si="46">IF(ABS(F317-F284)&gt;1,1,0)</f>
        <v>0</v>
      </c>
      <c r="G318" s="69">
        <f t="shared" ca="1" si="46"/>
        <v>0</v>
      </c>
      <c r="H318" s="69">
        <f t="shared" ca="1" si="46"/>
        <v>0</v>
      </c>
      <c r="I318" s="69">
        <f t="shared" ca="1" si="46"/>
        <v>0</v>
      </c>
      <c r="J318" s="69">
        <f t="shared" ref="J318" ca="1" si="47">IF(ABS(J317-J284)&gt;1,1,0)</f>
        <v>0</v>
      </c>
      <c r="K318" s="165"/>
    </row>
    <row r="319" spans="1:12" outlineLevel="1"/>
    <row r="320" spans="1:12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2" s="2" customFormat="1" hidden="1" outlineLevel="2">
      <c r="B337" s="76"/>
      <c r="C337" s="6"/>
    </row>
    <row r="338" spans="1:12" s="2" customFormat="1" hidden="1" outlineLevel="2">
      <c r="B338" s="76"/>
      <c r="C338" s="6"/>
    </row>
    <row r="339" spans="1:12" s="2" customFormat="1" hidden="1" outlineLevel="2">
      <c r="B339" s="76"/>
      <c r="C339" s="6"/>
    </row>
    <row r="340" spans="1:12" s="2" customFormat="1" hidden="1" outlineLevel="2">
      <c r="B340" s="76"/>
      <c r="C340" s="6"/>
    </row>
    <row r="341" spans="1:12" s="2" customFormat="1" hidden="1" outlineLevel="2">
      <c r="B341" s="76"/>
      <c r="C341" s="6"/>
    </row>
    <row r="342" spans="1:12" s="2" customFormat="1" hidden="1" outlineLevel="2">
      <c r="B342" s="76"/>
      <c r="C342" s="6"/>
    </row>
    <row r="343" spans="1:12" s="2" customFormat="1" hidden="1" outlineLevel="2">
      <c r="B343" s="76"/>
      <c r="C343" s="6"/>
    </row>
    <row r="344" spans="1:12" s="2" customFormat="1" hidden="1" outlineLevel="2">
      <c r="B344" s="76"/>
      <c r="C344" s="6"/>
    </row>
    <row r="345" spans="1:12" ht="12" outlineLevel="1" thickBot="1"/>
    <row r="346" spans="1:12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J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/>
      <c r="L346" s="23"/>
    </row>
    <row r="347" spans="1:12" ht="12" outlineLevel="1" thickTop="1"/>
    <row r="348" spans="1:12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1747</v>
      </c>
      <c r="G348" s="93">
        <f ca="1">IF(G284&gt;0,G87/IF(Проект!G$27=1,G284,(F284+G284)/2)*360/PRJ_Step,"-")</f>
        <v>0.16915666537232812</v>
      </c>
      <c r="H348" s="93">
        <f ca="1">IF(H284&gt;0,H87/IF(Проект!H$27=1,H284,(G284+H284)/2)*360/PRJ_Step,"-")</f>
        <v>0.24544671294785836</v>
      </c>
      <c r="I348" s="93">
        <f ca="1">IF(I284&gt;0,I87/IF(Проект!I$27=1,I284,(H284+I284)/2)*360/PRJ_Step,"-")</f>
        <v>0.27180865794312098</v>
      </c>
      <c r="J348" s="93">
        <f ca="1">IF(J284&gt;0,J87/IF(Проект!J$27=1,J284,(I284+J284)/2)*360/PRJ_Step,"-")</f>
        <v>0.32773291317832259</v>
      </c>
    </row>
    <row r="349" spans="1:12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1747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0.87887807867601309</v>
      </c>
      <c r="I349" s="93">
        <f ca="1">IF(I315&gt;0,I87/IF(Проект!I$27=1,I315,(H315+I315)/2)*360/PRJ_Step,"-")</f>
        <v>0.53556265308215167</v>
      </c>
      <c r="J349" s="93">
        <f ca="1">IF(J315&gt;0,J87/IF(Проект!J$27=1,J315,(I315+J315)/2)*360/PRJ_Step,"-")</f>
        <v>0.42169396026634048</v>
      </c>
    </row>
    <row r="350" spans="1:12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1747</v>
      </c>
      <c r="G350" s="93">
        <f ca="1">IF(G282&gt;0,G87/IF(Проект!G$27=1,G282,(F282+G282)/2)*360/PRJ_Step,"-")</f>
        <v>0.24290118903107863</v>
      </c>
      <c r="H350" s="93">
        <f ca="1">IF(H282&gt;0,H87/IF(Проект!H$27=1,H282,(G282+H282)/2)*360/PRJ_Step,"-")</f>
        <v>0.42101062829426011</v>
      </c>
      <c r="I350" s="93">
        <f ca="1">IF(I282&gt;0,I87/IF(Проект!I$27=1,I282,(H282+I282)/2)*360/PRJ_Step,"-")</f>
        <v>0.60074530757823796</v>
      </c>
      <c r="J350" s="93">
        <f ca="1">IF(J282&gt;0,J87/IF(Проект!J$27=1,J282,(I282+J282)/2)*360/PRJ_Step,"-")</f>
        <v>0.87441963668919664</v>
      </c>
    </row>
    <row r="351" spans="1:12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1747</v>
      </c>
      <c r="G351" s="93">
        <f t="shared" ref="G351:I351" ca="1" si="49">IF(G49&gt;0,G51/G49,"-")</f>
        <v>0.58991681975308641</v>
      </c>
      <c r="H351" s="93">
        <f t="shared" ca="1" si="49"/>
        <v>0.60602326195286205</v>
      </c>
      <c r="I351" s="93">
        <f t="shared" ca="1" si="49"/>
        <v>0.59945250386695226</v>
      </c>
      <c r="J351" s="93">
        <f t="shared" ref="J351" ca="1" si="50">IF(J49&gt;0,J51/J49,"-")</f>
        <v>0.59347908742521649</v>
      </c>
    </row>
    <row r="352" spans="1:12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1747</v>
      </c>
      <c r="G352" s="93">
        <f t="shared" ref="G352:I352" ca="1" si="51">IF(G49&gt;0,G87/G49,"-")</f>
        <v>0.3280665441975309</v>
      </c>
      <c r="H352" s="93">
        <f t="shared" ca="1" si="51"/>
        <v>0.23380029054994381</v>
      </c>
      <c r="I352" s="93">
        <f t="shared" ca="1" si="51"/>
        <v>0.25461646849097036</v>
      </c>
      <c r="J352" s="93">
        <f t="shared" ref="J352" ca="1" si="52">IF(J49&gt;0,J87/J49,"-")</f>
        <v>0.29279525173201243</v>
      </c>
    </row>
    <row r="353" spans="1:10" outlineLevel="1">
      <c r="A353" s="2"/>
      <c r="B353" s="6"/>
      <c r="C353" s="6"/>
      <c r="G353" s="6"/>
    </row>
    <row r="354" spans="1:10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1747</v>
      </c>
      <c r="G354" s="70">
        <f t="shared" ref="G354:I354" ca="1" si="53">IF(G51&gt;0,G83/G51,"-")</f>
        <v>0.69515424296353623</v>
      </c>
      <c r="H354" s="70">
        <f t="shared" ca="1" si="53"/>
        <v>0.4822428139898064</v>
      </c>
      <c r="I354" s="70">
        <f t="shared" ca="1" si="53"/>
        <v>0.53093545120023844</v>
      </c>
      <c r="J354" s="70">
        <f t="shared" ref="J354" ca="1" si="54">IF(J51&gt;0,J83/J51,"-")</f>
        <v>0.61669243688579678</v>
      </c>
    </row>
    <row r="355" spans="1:10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1747</v>
      </c>
      <c r="G355" s="70">
        <f t="shared" ref="G355:I355" ca="1" si="55">IF(G51&gt;0,G87/G51,"-")</f>
        <v>0.55612339437082903</v>
      </c>
      <c r="H355" s="70">
        <f t="shared" ca="1" si="55"/>
        <v>0.38579425119184507</v>
      </c>
      <c r="I355" s="70">
        <f t="shared" ca="1" si="55"/>
        <v>0.42474836096019075</v>
      </c>
      <c r="J355" s="70">
        <f t="shared" ref="J355" ca="1" si="56">IF(J51&gt;0,J87/J51,"-")</f>
        <v>0.49335394950863737</v>
      </c>
    </row>
    <row r="356" spans="1:10" outlineLevel="1">
      <c r="A356" s="2"/>
      <c r="B356" s="6"/>
      <c r="C356" s="6"/>
      <c r="D356" s="1" t="s">
        <v>1747</v>
      </c>
      <c r="G356" s="6"/>
    </row>
    <row r="357" spans="1:10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1747</v>
      </c>
      <c r="G357" s="94">
        <f ca="1">IF(AND(G284&gt;0,G49&gt;0),G49/IF(Проект!G$27=1,G284,(F284+G284)/2)*360/PRJ_Step,"-")</f>
        <v>0.51561693310146817</v>
      </c>
      <c r="H357" s="94">
        <f ca="1">IF(AND(H284&gt;0,H49&gt;0),H49/IF(Проект!H$27=1,H284,(G284+H284)/2)*360/PRJ_Step,"-")</f>
        <v>1.049813549720233</v>
      </c>
      <c r="I357" s="94">
        <f ca="1">IF(AND(I284&gt;0,I49&gt;0),I49/IF(Проект!I$27=1,I284,(H284+I284)/2)*360/PRJ_Step,"-")</f>
        <v>1.0675219067880533</v>
      </c>
      <c r="J357" s="94">
        <f ca="1">IF(AND(J284&gt;0,J49&gt;0),J49/IF(Проект!J$27=1,J284,(I284+J284)/2)*360/PRJ_Step,"-")</f>
        <v>1.1193245492870481</v>
      </c>
    </row>
    <row r="358" spans="1:10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1747</v>
      </c>
      <c r="G358" s="94">
        <f ca="1">IF(AND(G315&gt;0,G49&gt;0),G49/IF(Проект!G$27=1,G315,(F315+G315)/2)*360/PRJ_Step,"-")</f>
        <v>3.0481620807938699</v>
      </c>
      <c r="H358" s="94">
        <f ca="1">IF(AND(H315&gt;0,H49&gt;0),H49/IF(Проект!H$27=1,H315,(G315+H315)/2)*360/PRJ_Step,"-")</f>
        <v>3.7590974613792003</v>
      </c>
      <c r="I358" s="94">
        <f ca="1">IF(AND(I315&gt;0,I49&gt;0),I49/IF(Проект!I$27=1,I315,(H315+I315)/2)*360/PRJ_Step,"-")</f>
        <v>2.1034093209141522</v>
      </c>
      <c r="J358" s="94">
        <f ca="1">IF(AND(J315&gt;0,J49&gt;0),J49/IF(Проект!J$27=1,J315,(I315+J315)/2)*360/PRJ_Step,"-")</f>
        <v>1.4402349688795693</v>
      </c>
    </row>
    <row r="359" spans="1:10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1747</v>
      </c>
      <c r="G359" s="94">
        <f ca="1">IF(AND(G282&gt;0,G49&gt;0),G49/IF(Проект!G$27=1,G282,(F282+G282)/2)*360/PRJ_Step,"-")</f>
        <v>0.74040219378427785</v>
      </c>
      <c r="H359" s="94">
        <f ca="1">IF(AND(H282&gt;0,H49&gt;0),H49/IF(Проект!H$27=1,H282,(G282+H282)/2)*360/PRJ_Step,"-")</f>
        <v>1.8007275666936133</v>
      </c>
      <c r="I359" s="94">
        <f ca="1">IF(AND(I282&gt;0,I49&gt;0),I49/IF(Проект!I$27=1,I282,(H282+I282)/2)*360/PRJ_Step,"-")</f>
        <v>2.3594126143476166</v>
      </c>
      <c r="J359" s="94">
        <f ca="1">IF(AND(J282&gt;0,J49&gt;0),J49/IF(Проект!J$27=1,J282,(I282+J282)/2)*360/PRJ_Step,"-")</f>
        <v>2.9864542936288099</v>
      </c>
    </row>
    <row r="360" spans="1:10" outlineLevel="1">
      <c r="A360" s="2"/>
      <c r="B360" s="6"/>
      <c r="C360" s="6"/>
      <c r="G360" s="6"/>
    </row>
    <row r="361" spans="1:10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1747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</row>
    <row r="362" spans="1:10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1747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</row>
    <row r="363" spans="1:10" outlineLevel="1">
      <c r="A363" s="2"/>
      <c r="B363" s="6"/>
      <c r="C363" s="6"/>
      <c r="G363" s="6"/>
    </row>
    <row r="364" spans="1:10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1747</v>
      </c>
      <c r="G364" s="94">
        <f t="shared" ref="G364:I364" ca="1" si="57">IF(G303&gt;0,G271/G303,"-")</f>
        <v>5.9676558717503365</v>
      </c>
      <c r="H364" s="94">
        <f t="shared" ca="1" si="57"/>
        <v>7.8132647483884856</v>
      </c>
      <c r="I364" s="94">
        <f t="shared" ca="1" si="57"/>
        <v>6.8595108151082789</v>
      </c>
      <c r="J364" s="94">
        <f t="shared" ref="J364" ca="1" si="58">IF(J303&gt;0,J271/J303,"-")</f>
        <v>6.9818688572026337</v>
      </c>
    </row>
    <row r="365" spans="1:10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1747</v>
      </c>
      <c r="G365" s="94">
        <f t="shared" ref="G365:I365" ca="1" si="59">IF(G303&gt;0,(G252+G254+G258)/G303,"-")</f>
        <v>4.325008444218791</v>
      </c>
      <c r="H365" s="94">
        <f t="shared" ca="1" si="59"/>
        <v>7.1474240783798662</v>
      </c>
      <c r="I365" s="94">
        <f t="shared" ca="1" si="59"/>
        <v>6.4756100475575185</v>
      </c>
      <c r="J365" s="94">
        <f t="shared" ref="J365" ca="1" si="60">IF(J303&gt;0,(J252+J254+J258)/J303,"-")</f>
        <v>6.7729310745320515</v>
      </c>
    </row>
    <row r="366" spans="1:10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1747</v>
      </c>
      <c r="G366" s="94">
        <f t="shared" ref="G366:I366" ca="1" si="61">IF(G303&gt;0,G252/G303,"-")</f>
        <v>4.325008444218791</v>
      </c>
      <c r="H366" s="94">
        <f t="shared" ca="1" si="61"/>
        <v>7.1474240783798662</v>
      </c>
      <c r="I366" s="94">
        <f t="shared" ca="1" si="61"/>
        <v>6.4756100475575185</v>
      </c>
      <c r="J366" s="94">
        <f t="shared" ref="J366" ca="1" si="62">IF(J303&gt;0,J252/J303,"-")</f>
        <v>6.7729310745320515</v>
      </c>
    </row>
    <row r="367" spans="1:10" outlineLevel="1">
      <c r="A367" s="2" t="str">
        <f ca="1">OFFSET(Язык!$A$499,0,LANGUAGE)</f>
        <v>Чистый оборотный капитал</v>
      </c>
      <c r="B367" s="6"/>
      <c r="C367" s="6" t="str">
        <f ca="1">CUR_Report</f>
        <v>$</v>
      </c>
      <c r="D367" s="1" t="s">
        <v>1747</v>
      </c>
      <c r="G367" s="95">
        <f t="shared" ref="G367:I367" ca="1" si="63">G271-G303</f>
        <v>177238.34857142859</v>
      </c>
      <c r="H367" s="95">
        <f t="shared" ca="1" si="63"/>
        <v>365449.1154285713</v>
      </c>
      <c r="I367" s="95">
        <f t="shared" ca="1" si="63"/>
        <v>408832.68754285708</v>
      </c>
      <c r="J367" s="95">
        <f t="shared" ref="J367" ca="1" si="64">J271-J303</f>
        <v>511248.30258285708</v>
      </c>
    </row>
    <row r="368" spans="1:10" outlineLevel="1">
      <c r="A368" s="2"/>
      <c r="B368" s="6"/>
      <c r="C368" s="6"/>
      <c r="G368" s="6"/>
    </row>
    <row r="369" spans="1:11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1747</v>
      </c>
      <c r="G369" s="94">
        <f t="shared" ref="G369:I369" ca="1" si="65">IF(G317&gt;0,G315/G317,"-")</f>
        <v>0.16915666537232812</v>
      </c>
      <c r="H369" s="94">
        <f t="shared" ca="1" si="65"/>
        <v>0.37411343073471626</v>
      </c>
      <c r="I369" s="94">
        <f t="shared" ca="1" si="65"/>
        <v>0.63915651079095537</v>
      </c>
      <c r="J369" s="94">
        <f t="shared" ref="J369" ca="1" si="66">IF(J317&gt;0,J315/J317,"-")</f>
        <v>0.9044802620852973</v>
      </c>
    </row>
    <row r="370" spans="1:11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1747</v>
      </c>
      <c r="G370" s="94">
        <f t="shared" ref="G370:I370" ca="1" si="67">IF((G303+G305)&gt;0,G315/(G303+G305),"-")</f>
        <v>0.20359634400645793</v>
      </c>
      <c r="H370" s="94">
        <f t="shared" ca="1" si="67"/>
        <v>0.59773359759721445</v>
      </c>
      <c r="I370" s="94">
        <f t="shared" ca="1" si="67"/>
        <v>1.7712845870988625</v>
      </c>
      <c r="J370" s="94">
        <f t="shared" ref="J370" ca="1" si="68">IF((J303+J305)&gt;0,J315/(J303+J305),"-")</f>
        <v>9.4690404499746581</v>
      </c>
    </row>
    <row r="371" spans="1:11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1747</v>
      </c>
      <c r="G371" s="70">
        <f t="shared" ref="G371:I371" ca="1" si="69">IF(G317&gt;0,G305/G317,"-")</f>
        <v>0.7799692787537863</v>
      </c>
      <c r="H371" s="70">
        <f t="shared" ca="1" si="69"/>
        <v>0.56001385223737932</v>
      </c>
      <c r="I371" s="70">
        <f t="shared" ca="1" si="69"/>
        <v>0.27629252866591592</v>
      </c>
      <c r="J371" s="70">
        <f t="shared" ref="J371" ca="1" si="70">IF(J317&gt;0,J305/J317,"-")</f>
        <v>0</v>
      </c>
    </row>
    <row r="372" spans="1:11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1747</v>
      </c>
      <c r="G372" s="94" t="str">
        <f t="shared" ref="G372:I372" ca="1" si="71">IF((-G187-G159)&gt;0,(G196-G187-G159)/(-G187-G159),"-")</f>
        <v>-</v>
      </c>
      <c r="H372" s="94">
        <f t="shared" ca="1" si="71"/>
        <v>2.3400502302619737</v>
      </c>
      <c r="I372" s="94">
        <f t="shared" ca="1" si="71"/>
        <v>1.231462514157573</v>
      </c>
      <c r="J372" s="94">
        <f t="shared" ref="J372" ca="1" si="72">IF((-J187-J159)&gt;0,(J196-J187-J159)/(-J187-J159),"-")</f>
        <v>1.4849630786200394</v>
      </c>
    </row>
    <row r="373" spans="1:11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1747</v>
      </c>
      <c r="E373" s="166"/>
      <c r="F373" s="166"/>
      <c r="G373" s="168" t="str">
        <f t="shared" ref="G373:I373" ca="1" si="73">IF(G75&gt;0,(G83+G75)/G75,"-")</f>
        <v>-</v>
      </c>
      <c r="H373" s="168">
        <f t="shared" ca="1" si="73"/>
        <v>4.0359833041077469</v>
      </c>
      <c r="I373" s="168">
        <f t="shared" ca="1" si="73"/>
        <v>5.3627064446831367</v>
      </c>
      <c r="J373" s="168">
        <f t="shared" ref="J373" ca="1" si="74">IF(J75&gt;0,(J83+J75)/J75,"-")</f>
        <v>12.037131362334405</v>
      </c>
    </row>
    <row r="374" spans="1:11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</row>
    <row r="375" spans="1:11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1" s="2" customFormat="1" hidden="1" outlineLevel="2">
      <c r="B376" s="76"/>
      <c r="C376" s="6"/>
    </row>
    <row r="377" spans="1:11" s="2" customFormat="1" hidden="1" outlineLevel="2">
      <c r="B377" s="76"/>
      <c r="C377" s="6"/>
    </row>
    <row r="378" spans="1:11" s="2" customFormat="1" hidden="1" outlineLevel="2">
      <c r="B378" s="76"/>
      <c r="C378" s="6"/>
    </row>
    <row r="379" spans="1:11" s="2" customFormat="1" hidden="1" outlineLevel="2">
      <c r="B379" s="76"/>
      <c r="C379" s="6"/>
    </row>
    <row r="380" spans="1:11" s="2" customFormat="1" hidden="1" outlineLevel="2">
      <c r="B380" s="76"/>
      <c r="C380" s="6"/>
    </row>
    <row r="381" spans="1:11" s="2" customFormat="1" hidden="1" outlineLevel="2">
      <c r="B381" s="76"/>
      <c r="C381" s="6"/>
    </row>
    <row r="382" spans="1:11" s="2" customFormat="1" hidden="1" outlineLevel="2">
      <c r="B382" s="76"/>
      <c r="C382" s="6"/>
    </row>
    <row r="383" spans="1:11" s="2" customFormat="1" hidden="1" outlineLevel="2">
      <c r="B383" s="76"/>
      <c r="C383" s="6"/>
    </row>
    <row r="384" spans="1:11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2" outlineLevel="1"/>
    <row r="450" spans="1:12" ht="12" outlineLevel="1" thickBot="1"/>
    <row r="451" spans="1:12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J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/>
      <c r="L451" s="23" t="str">
        <f ca="1">OFFSET(Язык!$A$77,0,LANGUAGE)</f>
        <v>ИТОГО</v>
      </c>
    </row>
    <row r="452" spans="1:12" ht="12" outlineLevel="1" thickTop="1"/>
    <row r="453" spans="1:12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2" outlineLevel="1">
      <c r="A454" s="47" t="str">
        <f ca="1">OFFSET(Язык!$A$850,0,LANGUAGE)</f>
        <v>Учитывать остаточную стоимость проекта</v>
      </c>
      <c r="B454" s="218">
        <v>0</v>
      </c>
      <c r="C454" s="91" t="str">
        <f ca="1">OFFSET(Язык!$A$671,B454,LANGUAGE)</f>
        <v>нет</v>
      </c>
    </row>
    <row r="455" spans="1:12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2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J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</row>
    <row r="457" spans="1:12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I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ref="J457" si="78">POWER(1+J456,PRJ_Step/360)-1</f>
        <v>0.19999999999999996</v>
      </c>
    </row>
    <row r="458" spans="1:12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1747</v>
      </c>
      <c r="F458" s="140">
        <v>1</v>
      </c>
      <c r="G458" s="140">
        <f t="shared" ref="G458:J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</row>
    <row r="459" spans="1:12" outlineLevel="1">
      <c r="A459" s="2"/>
      <c r="B459" s="6"/>
      <c r="C459" s="6"/>
    </row>
    <row r="460" spans="1:12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2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1316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118631.20571428572</v>
      </c>
      <c r="H461" s="26">
        <f ca="1">IF($E461=1,H166*IF(CUR_I_Report&lt;&gt;$B$455,IF(CUR_I_Report=2,Проект!H$98,1/Проект!H$98),1),"")</f>
        <v>302103.62399999995</v>
      </c>
      <c r="I461" s="26">
        <f ca="1">IF($E461=1,I166*IF(CUR_I_Report&lt;&gt;$B$455,IF(CUR_I_Report=2,Проект!I$98,1/Проект!I$98),1),"")</f>
        <v>280312.1435428572</v>
      </c>
      <c r="J461" s="26">
        <f ca="1">IF($E461=1,J166*IF(CUR_I_Report&lt;&gt;$B$455,IF(CUR_I_Report=2,Проект!J$98,1/Проект!J$98),1),"")</f>
        <v>339344.18646857148</v>
      </c>
    </row>
    <row r="462" spans="1:12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1316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76580.000000000015</v>
      </c>
      <c r="I462" s="26">
        <f ca="1">IF($E462=1,-I159*IF(CUR_I_Report&lt;&gt;$B$455,IF(CUR_I_Report=2,Проект!I$98,1/Проект!I$98),1),"")</f>
        <v>63840.000000000007</v>
      </c>
      <c r="J462" s="26">
        <f ca="1">IF($E462=1,-J159*IF(CUR_I_Report&lt;&gt;$B$455,IF(CUR_I_Report=2,Проект!J$98,1/Проект!J$98),1),"")</f>
        <v>31920.000000000004</v>
      </c>
    </row>
    <row r="463" spans="1:12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1316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-515791.43305555556</v>
      </c>
      <c r="H463" s="26">
        <f ca="1">IF($E463=1,H179*IF(CUR_I_Report&lt;&gt;$B$455,IF(CUR_I_Report=2,Проект!H$98,1/Проект!H$98),1),"")</f>
        <v>13461.993587301564</v>
      </c>
      <c r="I463" s="26">
        <f ca="1">IF($E463=1,I179*IF(CUR_I_Report&lt;&gt;$B$455,IF(CUR_I_Report=2,Проект!I$98,1/Проект!I$98),1),"")</f>
        <v>15237.876588888925</v>
      </c>
      <c r="J463" s="26">
        <f ca="1">IF($E463=1,J179*IF(CUR_I_Report&lt;&gt;$B$455,IF(CUR_I_Report=2,Проект!J$98,1/Проект!J$98),1),"")</f>
        <v>14707.416926349171</v>
      </c>
    </row>
    <row r="464" spans="1:12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1316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</row>
    <row r="465" spans="1:12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1316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</row>
    <row r="466" spans="1:12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1316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</row>
    <row r="467" spans="1:12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1316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</row>
    <row r="468" spans="1:12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1316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</row>
    <row r="469" spans="1:12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170"/>
      <c r="L469" s="170"/>
    </row>
    <row r="470" spans="1:12" outlineLevel="1">
      <c r="A470" s="2"/>
      <c r="B470" s="6"/>
      <c r="C470" s="6"/>
    </row>
    <row r="471" spans="1:12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1316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-397160.22734126984</v>
      </c>
      <c r="H471" s="26">
        <f ca="1">SUMIF($E461:$E468,1,H461:H468)*IF(CalcMethod=1,IF($B$455=1,Проект!H$93,Проект!H$103),1)</f>
        <v>392145.61758730153</v>
      </c>
      <c r="I471" s="26">
        <f ca="1">SUMIF($E461:$E468,1,I461:I468)*IF(CalcMethod=1,IF($B$455=1,Проект!I$93,Проект!I$103),1)</f>
        <v>359390.02013174613</v>
      </c>
      <c r="J471" s="26">
        <f ca="1">SUMIF($E461:$E468,1,J461:J468)*IF(CalcMethod=1,IF($B$455=1,Проект!J$93,Проект!J$103),1)</f>
        <v>385971.60339492065</v>
      </c>
    </row>
    <row r="472" spans="1:12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1316</v>
      </c>
      <c r="F472" s="26">
        <f t="shared" ref="F472:I472" ca="1" si="80">F471/F458</f>
        <v>0</v>
      </c>
      <c r="G472" s="26">
        <f t="shared" ca="1" si="80"/>
        <v>-330966.85611772491</v>
      </c>
      <c r="H472" s="26">
        <f t="shared" ca="1" si="80"/>
        <v>272323.3455467372</v>
      </c>
      <c r="I472" s="26">
        <f t="shared" ca="1" si="80"/>
        <v>207980.33572439011</v>
      </c>
      <c r="J472" s="26">
        <f t="shared" ref="J472" ca="1" si="81">J471/J458</f>
        <v>186135.99700758135</v>
      </c>
      <c r="L472" s="134">
        <f ca="1">SUM(F472:J472)</f>
        <v>335472.82216098375</v>
      </c>
    </row>
    <row r="473" spans="1:12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1737</v>
      </c>
      <c r="F473" s="26">
        <f t="shared" ref="F473:J473" ca="1" si="82">E473+F472</f>
        <v>0</v>
      </c>
      <c r="G473" s="26">
        <f t="shared" ca="1" si="82"/>
        <v>-330966.85611772491</v>
      </c>
      <c r="H473" s="26">
        <f t="shared" ca="1" si="82"/>
        <v>-58643.51057098771</v>
      </c>
      <c r="I473" s="26">
        <f t="shared" ca="1" si="82"/>
        <v>149336.8251534024</v>
      </c>
      <c r="J473" s="26">
        <f t="shared" ca="1" si="82"/>
        <v>335472.82216098375</v>
      </c>
    </row>
    <row r="474" spans="1:12" outlineLevel="1">
      <c r="A474" s="2"/>
      <c r="B474" s="6"/>
      <c r="C474" s="6"/>
    </row>
    <row r="475" spans="1:12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0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2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J476" ca="1" si="83">E476+F471</f>
        <v>0</v>
      </c>
      <c r="G476" s="134">
        <f t="shared" ca="1" si="83"/>
        <v>-397160.22734126984</v>
      </c>
      <c r="H476" s="134">
        <f t="shared" ca="1" si="83"/>
        <v>-5014.6097539683105</v>
      </c>
      <c r="I476" s="134">
        <f t="shared" ca="1" si="83"/>
        <v>354375.41037777782</v>
      </c>
      <c r="J476" s="134">
        <f t="shared" ca="1" si="83"/>
        <v>740347.01377269847</v>
      </c>
    </row>
    <row r="477" spans="1:12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1737</v>
      </c>
      <c r="E477" s="2">
        <f ca="1">(MATCH(1,F477:J477,0)-1)</f>
        <v>1</v>
      </c>
      <c r="F477" s="2">
        <f t="shared" ref="F477:I477" ca="1" si="84">SIGN(F197)</f>
        <v>0</v>
      </c>
      <c r="G477" s="2">
        <f t="shared" ca="1" si="84"/>
        <v>1</v>
      </c>
      <c r="H477" s="2">
        <f t="shared" ca="1" si="84"/>
        <v>1</v>
      </c>
      <c r="I477" s="2">
        <f t="shared" ca="1" si="84"/>
        <v>1</v>
      </c>
      <c r="J477" s="2">
        <f t="shared" ref="J477" ca="1" si="85">SIGN(J197)</f>
        <v>1</v>
      </c>
    </row>
    <row r="478" spans="1:12" outlineLevel="1">
      <c r="A478" s="2"/>
      <c r="B478" s="6"/>
      <c r="C478" s="6"/>
    </row>
    <row r="479" spans="1:12" outlineLevel="1">
      <c r="A479" s="32" t="str">
        <f ca="1">OFFSET(Язык!$A$529,0,LANGUAGE)</f>
        <v>Чистая приведенная стоимость (NPV)</v>
      </c>
      <c r="B479" s="53">
        <f ca="1">L472</f>
        <v>335472.82216098375</v>
      </c>
      <c r="C479" s="63" t="str">
        <f ca="1">C455</f>
        <v>$</v>
      </c>
    </row>
    <row r="480" spans="1:12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2.2819666117315078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2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1737</v>
      </c>
      <c r="E481" s="2">
        <f ca="1">(MATCH(1,F481:J481,0)-1)</f>
        <v>3</v>
      </c>
      <c r="F481" s="2">
        <f t="shared" ref="F481:I481" ca="1" si="86">SIGN(F473)</f>
        <v>0</v>
      </c>
      <c r="G481" s="2">
        <f t="shared" ca="1" si="86"/>
        <v>-1</v>
      </c>
      <c r="H481" s="2">
        <f t="shared" ca="1" si="86"/>
        <v>-1</v>
      </c>
      <c r="I481" s="2">
        <f t="shared" ca="1" si="86"/>
        <v>1</v>
      </c>
      <c r="J481" s="2">
        <f t="shared" ref="J481" ca="1" si="87">SIGN(J473)</f>
        <v>1</v>
      </c>
    </row>
    <row r="482" spans="1:12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0.79383544016304741</v>
      </c>
      <c r="C482" s="6"/>
      <c r="E482" s="2">
        <f ca="1">(POWER(1+IRR(F471:J471,0.2*PRJ_Step/360),360/PRJ_Step)-1)</f>
        <v>0.79383544016304741</v>
      </c>
    </row>
    <row r="483" spans="1:12" outlineLevel="1">
      <c r="A483" s="2"/>
      <c r="B483" s="6"/>
      <c r="C483" s="6"/>
    </row>
    <row r="484" spans="1:12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IF(L486&gt;0,B479/L486,OFFSET(Язык!$A$549,0,LANGUAGE))</f>
        <v>0.82921516554574137</v>
      </c>
      <c r="C484" s="6"/>
    </row>
    <row r="485" spans="1:12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1316</v>
      </c>
      <c r="F485" s="26">
        <f t="shared" ref="F485:I485" ca="1" si="88">-(F168+F170+F172+F174)</f>
        <v>0</v>
      </c>
      <c r="G485" s="26">
        <f t="shared" ca="1" si="88"/>
        <v>515791.43305555556</v>
      </c>
      <c r="H485" s="26">
        <f t="shared" ca="1" si="88"/>
        <v>-13461.993587301564</v>
      </c>
      <c r="I485" s="26">
        <f t="shared" ca="1" si="88"/>
        <v>-15237.876588888925</v>
      </c>
      <c r="J485" s="26">
        <f t="shared" ref="J485" ca="1" si="89">-(J168+J170+J172+J174)</f>
        <v>-14707.416926349171</v>
      </c>
    </row>
    <row r="486" spans="1:12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1316</v>
      </c>
      <c r="F486" s="26">
        <f t="shared" ref="F486:I486" ca="1" si="90">F485/F458</f>
        <v>0</v>
      </c>
      <c r="G486" s="26">
        <f t="shared" ca="1" si="90"/>
        <v>429826.19421296299</v>
      </c>
      <c r="H486" s="26">
        <f t="shared" ca="1" si="90"/>
        <v>-9348.6066578483078</v>
      </c>
      <c r="I486" s="26">
        <f t="shared" ca="1" si="90"/>
        <v>-8818.2156185699805</v>
      </c>
      <c r="J486" s="26">
        <f t="shared" ref="J486" ca="1" si="91">J485/J458</f>
        <v>-7092.6972059940063</v>
      </c>
      <c r="L486" s="134">
        <f ca="1">SUM(F486:J486)</f>
        <v>404566.67473055073</v>
      </c>
    </row>
    <row r="487" spans="1:12" outlineLevel="1">
      <c r="A487" s="2"/>
      <c r="B487" s="6"/>
      <c r="C487" s="6"/>
    </row>
    <row r="488" spans="1:12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0.42947094162697197</v>
      </c>
      <c r="C488" s="6"/>
      <c r="E488" s="74">
        <f ca="1">(POWER(1+MIRR(F471:J471,POWER(1+B490,PRJ_Step/360)-1,POWER(1+B489,PRJ_Step/360)-1),360/PRJ_Step)-1)</f>
        <v>0.42947094162697197</v>
      </c>
    </row>
    <row r="489" spans="1:12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2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</row>
    <row r="491" spans="1:12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</row>
    <row r="492" spans="1:12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2" s="2" customFormat="1" hidden="1" outlineLevel="2">
      <c r="B493" s="76"/>
      <c r="C493" s="6"/>
    </row>
    <row r="494" spans="1:12" s="2" customFormat="1" hidden="1" outlineLevel="2">
      <c r="B494" s="76"/>
      <c r="C494" s="6"/>
    </row>
    <row r="495" spans="1:12" s="2" customFormat="1" hidden="1" outlineLevel="2">
      <c r="B495" s="76"/>
      <c r="C495" s="6"/>
    </row>
    <row r="496" spans="1:12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2" s="2" customFormat="1" hidden="1" outlineLevel="2">
      <c r="B513" s="76"/>
      <c r="C513" s="6"/>
    </row>
    <row r="514" spans="1:12" s="2" customFormat="1" hidden="1" outlineLevel="2">
      <c r="B514" s="76"/>
      <c r="C514" s="6"/>
    </row>
    <row r="515" spans="1:12" s="2" customFormat="1" hidden="1" outlineLevel="2">
      <c r="B515" s="76"/>
      <c r="C515" s="6"/>
    </row>
    <row r="516" spans="1:12" outlineLevel="1"/>
    <row r="517" spans="1:12" ht="12" outlineLevel="1" thickBot="1"/>
    <row r="518" spans="1:12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J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/>
      <c r="L518" s="23"/>
    </row>
    <row r="519" spans="1:12" ht="12" outlineLevel="1" thickTop="1"/>
    <row r="520" spans="1:12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2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J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</row>
    <row r="522" spans="1:12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I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ref="J522" si="95">POWER(1+J521,PRJ_Step/360)-1</f>
        <v>0.19999999999999996</v>
      </c>
    </row>
    <row r="523" spans="1:12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1747</v>
      </c>
      <c r="F523" s="100">
        <v>1</v>
      </c>
      <c r="G523" s="100">
        <f t="shared" ref="G523:J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</row>
    <row r="524" spans="1:12" outlineLevel="1">
      <c r="A524" s="2"/>
      <c r="B524" s="6"/>
      <c r="C524" s="6"/>
    </row>
    <row r="525" spans="1:12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2" outlineLevel="1">
      <c r="A526" s="2"/>
      <c r="B526" s="6"/>
      <c r="C526" s="6"/>
    </row>
    <row r="527" spans="1:12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1316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124866.47721560847</v>
      </c>
      <c r="H527" s="26">
        <f ca="1">(H166+H179+H185+H187+H189)*IF(CUR_I_Report&lt;&gt;$B$520,IF(CUR_I_Report=2,Проект!H$98,1/Проект!H$98),1)/H523*IF(CalcMethod=1,IF($B$520=1,Проект!H$93,Проект!H$103),1)</f>
        <v>155948.34554673717</v>
      </c>
      <c r="I527" s="26">
        <f ca="1">(I166+I179+I185+I187+I189)*IF(CUR_I_Report&lt;&gt;$B$520,IF(CUR_I_Report=2,Проект!I$98,1/Проект!I$98),1)/I523*IF(CalcMethod=1,IF($B$520=1,Проект!I$93,Проект!I$103),1)</f>
        <v>39091.446835501236</v>
      </c>
      <c r="J527" s="26">
        <f ca="1">(J166+J179+J185+J187+J189)*IF(CUR_I_Report&lt;&gt;$B$520,IF(CUR_I_Report=2,Проект!J$98,1/Проект!J$98),1)/J523*IF(CalcMethod=1,IF($B$520=1,Проект!J$93,Проект!J$103),1)</f>
        <v>60788.774785359114</v>
      </c>
      <c r="L527" s="134">
        <f ca="1">SUM(F527:J527)</f>
        <v>380695.044383206</v>
      </c>
    </row>
    <row r="528" spans="1:12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1316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L528" s="134">
        <f ca="1">SUM(F528:J528)</f>
        <v>0</v>
      </c>
    </row>
    <row r="529" spans="1:12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1737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-29732.056250000001</v>
      </c>
      <c r="H529" s="26">
        <f ca="1">(H315-H252)*IF(CUR_I_Report&lt;&gt;$B$520,IF(CUR_I_Report=2,Проект!H$98,1/Проект!H$98),1)/H523*IF(CalcMethod=1,IF($B$520=1,Проект!H$93,Проект!H$103),1)</f>
        <v>-54684.047569444418</v>
      </c>
      <c r="I529" s="26">
        <f ca="1">(I315-I252)*IF(CUR_I_Report&lt;&gt;$B$520,IF(CUR_I_Report=2,Проект!I$98,1/Проект!I$98),1)/I523*IF(CalcMethod=1,IF($B$520=1,Проект!I$93,Проект!I$103),1)</f>
        <v>43761.783796296288</v>
      </c>
      <c r="J529" s="26">
        <f ca="1">(J315-J252)*IF(CUR_I_Report&lt;&gt;$B$520,IF(CUR_I_Report=2,Проект!J$98,1/Проект!J$98),1)/J523*IF(CalcMethod=1,IF($B$520=1,Проект!J$93,Проект!J$103),1)</f>
        <v>111123.90996886019</v>
      </c>
    </row>
    <row r="530" spans="1:12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1316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98859.338095238112</v>
      </c>
      <c r="H530" s="26">
        <f ca="1">H71*(1-ProfitTax)*IF(CUR_I_Report&lt;&gt;$B$520,IF(CUR_I_Report=2,Проект!H$98,1/Проект!H$98),1)/H523*IF(CalcMethod=1,IF($B$520=1,Проект!H$93,Проект!H$103),1)</f>
        <v>174123.64761904755</v>
      </c>
      <c r="I530" s="26">
        <f ca="1">I71*(1-ProfitTax)*IF(CUR_I_Report&lt;&gt;$B$520,IF(CUR_I_Report=2,Проект!I$98,1/Проект!I$98),1)/I523*IF(CalcMethod=1,IF($B$520=1,Проект!I$93,Проект!I$103),1)</f>
        <v>162275.38068783071</v>
      </c>
      <c r="J530" s="26">
        <f ca="1">J71*(1-ProfitTax)*IF(CUR_I_Report&lt;&gt;$B$520,IF(CUR_I_Report=2,Проект!J$98,1/Проект!J$98),1)/J523*IF(CalcMethod=1,IF($B$520=1,Проект!J$93,Проект!J$103),1)</f>
        <v>150970.79649470898</v>
      </c>
    </row>
    <row r="531" spans="1:12" outlineLevel="1">
      <c r="A531" s="2"/>
      <c r="B531" s="6"/>
      <c r="C531" s="6"/>
    </row>
    <row r="532" spans="1:12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2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2" outlineLevel="1">
      <c r="A534" s="2" t="str">
        <f ca="1">OFFSET(Язык!$A$561,0,LANGUAGE)</f>
        <v>Оценка по NPV с учетом стоимости чистых активов</v>
      </c>
      <c r="B534" s="95">
        <f ca="1">L527+OFFSET(F529,0,PRJ_Len)</f>
        <v>491818.95435206615</v>
      </c>
      <c r="C534" s="24">
        <v>0.5</v>
      </c>
    </row>
    <row r="535" spans="1:12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2" outlineLevel="1">
      <c r="A536" s="2" t="str">
        <f ca="1">OFFSET(Язык!$A$563,0,LANGUAGE)</f>
        <v xml:space="preserve">    рассчитанной на основе ДД</v>
      </c>
      <c r="B536" s="95">
        <f ca="1">L527+OFFSET(F528,0,PRJ_Len)/(OFFSET(F522,0,PRJ_Len)-IF($B$520=1,OFFSET(Проект!F92,0,PRJ_Len),OFFSET(Проект!F102,0,PRJ_Len)))</f>
        <v>380695.044383206</v>
      </c>
      <c r="C536" s="24">
        <v>0</v>
      </c>
    </row>
    <row r="537" spans="1:12" outlineLevel="1">
      <c r="A537" s="2" t="str">
        <f ca="1">OFFSET(Язык!$A$564,0,LANGUAGE)</f>
        <v xml:space="preserve">    рассчитанной на основе NOPLAT</v>
      </c>
      <c r="B537" s="95">
        <f ca="1">L527+OFFSET(F530,0,PRJ_Len)/(OFFSET(F522,0,PRJ_Len)-IF($B$520=1,OFFSET(Проект!F92,0,PRJ_Len),OFFSET(Проект!F102,0,PRJ_Len)))</f>
        <v>1890403.0093302978</v>
      </c>
      <c r="C537" s="24">
        <v>0.5</v>
      </c>
    </row>
    <row r="538" spans="1:12" outlineLevel="1">
      <c r="A538" s="2" t="str">
        <f ca="1">OFFSET(Язык!$A$565,0,LANGUAGE)</f>
        <v>Оценка на основе ДД с учетом продленной стоимости</v>
      </c>
      <c r="B538" s="95">
        <f ca="1">L528+OFFSET(F528,0,PRJ_Len)/(OFFSET(F522,0,PRJ_Len)-IF($B$520=1,OFFSET(Проект!F92,0,PRJ_Len),OFFSET(Проект!F102,0,PRJ_Len)))</f>
        <v>0</v>
      </c>
      <c r="C538" s="24">
        <v>0</v>
      </c>
    </row>
    <row r="539" spans="1:12" outlineLevel="1">
      <c r="A539" s="2"/>
      <c r="B539" s="26"/>
      <c r="C539" s="2"/>
    </row>
    <row r="540" spans="1:12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1191110.9818411819</v>
      </c>
      <c r="C540" s="6" t="str">
        <f ca="1">C520</f>
        <v>$</v>
      </c>
    </row>
    <row r="541" spans="1:12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</row>
    <row r="542" spans="1:12" ht="12" outlineLevel="1" thickBot="1"/>
    <row r="543" spans="1:12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J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/>
      <c r="L543" s="23" t="str">
        <f ca="1">OFFSET(Язык!$A$77,0,LANGUAGE)</f>
        <v>ИТОГО</v>
      </c>
    </row>
    <row r="544" spans="1:12" ht="12" outlineLevel="1" thickTop="1"/>
    <row r="545" spans="1:12" outlineLevel="1">
      <c r="A545" s="2" t="str">
        <f ca="1">OFFSET(Язык!$A$571,0,LANGUAGE)</f>
        <v>Выручка от реализации (без НДС)</v>
      </c>
      <c r="B545" s="6"/>
      <c r="C545" s="6" t="str">
        <f ca="1">CUR_Report</f>
        <v>$</v>
      </c>
      <c r="D545" s="1" t="s">
        <v>1316</v>
      </c>
      <c r="G545" s="134">
        <f t="shared" ref="G545:I545" ca="1" si="98">G49</f>
        <v>361607.14285714284</v>
      </c>
      <c r="H545" s="134">
        <f t="shared" ca="1" si="98"/>
        <v>795535.7142857142</v>
      </c>
      <c r="I545" s="134">
        <f t="shared" ca="1" si="98"/>
        <v>875089.28571428568</v>
      </c>
      <c r="J545" s="134">
        <f t="shared" ref="J545" ca="1" si="99">J49</f>
        <v>962598.21428571432</v>
      </c>
      <c r="K545" s="134"/>
      <c r="L545" s="136">
        <f ca="1">SUM(F545:J545)</f>
        <v>2994830.3571428573</v>
      </c>
    </row>
    <row r="546" spans="1:12" outlineLevel="1">
      <c r="A546" s="2" t="str">
        <f ca="1">OFFSET(Язык!$A$572,0,LANGUAGE)</f>
        <v>Прибыль до налога, процентов и амортизации (EBITDA)</v>
      </c>
      <c r="B546" s="6"/>
      <c r="C546" s="6" t="str">
        <f ca="1">CUR_Report</f>
        <v>$</v>
      </c>
      <c r="D546" s="1" t="s">
        <v>1316</v>
      </c>
      <c r="G546" s="134">
        <f t="shared" ref="G546:I546" ca="1" si="100">G83+G75+G63</f>
        <v>148289.00714285715</v>
      </c>
      <c r="H546" s="134">
        <f t="shared" ca="1" si="100"/>
        <v>366575.60142857133</v>
      </c>
      <c r="I546" s="134">
        <f t="shared" ca="1" si="100"/>
        <v>399855.17942857149</v>
      </c>
      <c r="J546" s="134">
        <f t="shared" ref="J546" ca="1" si="101">J83+J75+J63</f>
        <v>441725.23308571422</v>
      </c>
      <c r="K546" s="134"/>
      <c r="L546" s="136">
        <f ca="1">SUM(F546:J546)</f>
        <v>1356445.0210857142</v>
      </c>
    </row>
    <row r="547" spans="1:12" outlineLevel="1">
      <c r="A547" s="2" t="str">
        <f ca="1">OFFSET(Язык!$A$573,0,LANGUAGE)</f>
        <v>Прибыль до налога и процентов по кредитам (EBIT)</v>
      </c>
      <c r="B547" s="6"/>
      <c r="C547" s="6" t="str">
        <f ca="1">CUR_Report</f>
        <v>$</v>
      </c>
      <c r="D547" s="1" t="s">
        <v>1316</v>
      </c>
      <c r="G547" s="134">
        <f t="shared" ref="G547:I547" ca="1" si="102">G83+G75</f>
        <v>148289.00714285715</v>
      </c>
      <c r="H547" s="134">
        <f t="shared" ca="1" si="102"/>
        <v>309075.60142857133</v>
      </c>
      <c r="I547" s="134">
        <f t="shared" ca="1" si="102"/>
        <v>342355.17942857149</v>
      </c>
      <c r="J547" s="134">
        <f t="shared" ref="J547" ca="1" si="103">J83+J75</f>
        <v>384225.23308571422</v>
      </c>
      <c r="K547" s="134"/>
      <c r="L547" s="136">
        <f ca="1">SUM(F547:J547)</f>
        <v>1183945.0210857142</v>
      </c>
    </row>
    <row r="548" spans="1:12" outlineLevel="1">
      <c r="A548" s="2" t="str">
        <f ca="1">OFFSET(Язык!$A$574,0,LANGUAGE)</f>
        <v>Чистая прибыль</v>
      </c>
      <c r="B548" s="6"/>
      <c r="C548" s="6" t="str">
        <f ca="1">CUR_Report</f>
        <v>$</v>
      </c>
      <c r="D548" s="1" t="s">
        <v>1316</v>
      </c>
      <c r="G548" s="134">
        <f t="shared" ref="G548:I548" ca="1" si="104">G87</f>
        <v>118631.20571428572</v>
      </c>
      <c r="H548" s="134">
        <f t="shared" ca="1" si="104"/>
        <v>185996.48114285705</v>
      </c>
      <c r="I548" s="134">
        <f t="shared" ca="1" si="104"/>
        <v>222812.1435428572</v>
      </c>
      <c r="J548" s="134">
        <f t="shared" ref="J548" ca="1" si="105">J87</f>
        <v>281844.18646857137</v>
      </c>
      <c r="K548" s="134"/>
      <c r="L548" s="136">
        <f ca="1">SUM(F548:J548)</f>
        <v>809284.01686857129</v>
      </c>
    </row>
    <row r="549" spans="1:12" outlineLevel="1">
      <c r="A549" s="2" t="str">
        <f ca="1">OFFSET(Язык!$A$575,0,LANGUAGE)</f>
        <v>Дивиденды</v>
      </c>
      <c r="B549" s="6"/>
      <c r="C549" s="6" t="str">
        <f ca="1">CUR_Report</f>
        <v>$</v>
      </c>
      <c r="D549" s="1" t="s">
        <v>1316</v>
      </c>
      <c r="G549" s="134">
        <f t="shared" ref="G549:I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ref="J549" ca="1" si="107">J89</f>
        <v>0</v>
      </c>
      <c r="K549" s="134"/>
      <c r="L549" s="136">
        <f ca="1">SUM(F549:J549)</f>
        <v>0</v>
      </c>
    </row>
    <row r="550" spans="1:12" outlineLevel="1">
      <c r="A550" s="43"/>
      <c r="B550" s="41"/>
      <c r="C550" s="41"/>
    </row>
    <row r="551" spans="1:12" outlineLevel="1">
      <c r="A551" s="2"/>
      <c r="B551" s="6"/>
      <c r="C551" s="6"/>
    </row>
    <row r="552" spans="1:12" outlineLevel="1">
      <c r="A552" s="2" t="str">
        <f ca="1">OFFSET(Язык!$A$576,0,LANGUAGE)</f>
        <v>Инвестиции в постоянные активы</v>
      </c>
      <c r="B552" s="6"/>
      <c r="C552" s="6" t="str">
        <f ca="1">CUR_Report</f>
        <v>$</v>
      </c>
      <c r="D552" s="1" t="s">
        <v>1316</v>
      </c>
      <c r="F552" s="134">
        <f t="shared" ref="F552:I552" ca="1" si="108">F168+F170+F172</f>
        <v>0</v>
      </c>
      <c r="G552" s="134">
        <f t="shared" ca="1" si="108"/>
        <v>-547000</v>
      </c>
      <c r="H552" s="134">
        <f t="shared" ca="1" si="108"/>
        <v>0</v>
      </c>
      <c r="I552" s="134">
        <f t="shared" ca="1" si="108"/>
        <v>0</v>
      </c>
      <c r="J552" s="134">
        <f t="shared" ref="J552" ca="1" si="109">J168+J170+J172</f>
        <v>0</v>
      </c>
      <c r="K552" s="134"/>
      <c r="L552" s="136">
        <f ca="1">SUM(F552:J552)</f>
        <v>-547000</v>
      </c>
    </row>
    <row r="553" spans="1:12" outlineLevel="1">
      <c r="A553" s="2" t="str">
        <f ca="1">OFFSET(Язык!$A$577,0,LANGUAGE)</f>
        <v>Инвестиции в чистый оборотный капитал</v>
      </c>
      <c r="B553" s="6"/>
      <c r="C553" s="6" t="str">
        <f ca="1">CUR_Report</f>
        <v>$</v>
      </c>
      <c r="D553" s="1" t="s">
        <v>1316</v>
      </c>
      <c r="F553" s="134">
        <f t="shared" ref="F553:I553" ca="1" si="110">F174</f>
        <v>0</v>
      </c>
      <c r="G553" s="134">
        <f t="shared" ca="1" si="110"/>
        <v>31208.56694444445</v>
      </c>
      <c r="H553" s="134">
        <f t="shared" ca="1" si="110"/>
        <v>13461.993587301564</v>
      </c>
      <c r="I553" s="134">
        <f t="shared" ca="1" si="110"/>
        <v>15237.876588888925</v>
      </c>
      <c r="J553" s="134">
        <f t="shared" ref="J553" ca="1" si="111">J174</f>
        <v>14707.416926349171</v>
      </c>
      <c r="K553" s="134"/>
      <c r="L553" s="136">
        <f ca="1">SUM(F553:J553)</f>
        <v>74615.85404698411</v>
      </c>
    </row>
    <row r="554" spans="1:12" outlineLevel="1">
      <c r="A554" s="43"/>
      <c r="B554" s="41"/>
      <c r="C554" s="41"/>
    </row>
    <row r="555" spans="1:12" outlineLevel="1">
      <c r="A555" s="2"/>
      <c r="B555" s="6"/>
      <c r="C555" s="6"/>
    </row>
    <row r="556" spans="1:12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2" outlineLevel="1">
      <c r="A557" s="2" t="str">
        <f ca="1">OFFSET(Язык!$A$579,0,LANGUAGE)</f>
        <v>NPV</v>
      </c>
      <c r="B557" s="95">
        <f ca="1">B479</f>
        <v>335472.82216098375</v>
      </c>
      <c r="C557" s="6">
        <f>C407</f>
        <v>0</v>
      </c>
    </row>
    <row r="558" spans="1:12" outlineLevel="1">
      <c r="A558" s="2" t="str">
        <f ca="1">OFFSET(Язык!$A$580,0,LANGUAGE)</f>
        <v>IRR</v>
      </c>
      <c r="B558" s="103">
        <f ca="1">B482</f>
        <v>0.79383544016304741</v>
      </c>
      <c r="C558" s="6"/>
    </row>
    <row r="559" spans="1:12" outlineLevel="1">
      <c r="A559" s="2" t="str">
        <f ca="1">OFFSET(Язык!$A$581,0,LANGUAGE)</f>
        <v>Дисконтированный срок окупаемости</v>
      </c>
      <c r="B559" s="94">
        <f ca="1">B480</f>
        <v>2.2819666117315078</v>
      </c>
      <c r="C559" s="6">
        <f>C430</f>
        <v>0</v>
      </c>
    </row>
    <row r="560" spans="1:12" outlineLevel="1">
      <c r="A560" s="43"/>
      <c r="B560" s="41"/>
      <c r="C560" s="41"/>
    </row>
    <row r="561" spans="1:12" outlineLevel="1">
      <c r="A561" s="2"/>
      <c r="B561" s="6"/>
      <c r="C561" s="6"/>
    </row>
    <row r="562" spans="1:12" outlineLevel="1">
      <c r="A562" s="2" t="str">
        <f ca="1">OFFSET(Язык!$A$582,0,LANGUAGE)</f>
        <v>Собственные средства и целевое финансирование</v>
      </c>
      <c r="B562" s="6"/>
      <c r="C562" s="6" t="str">
        <f ca="1">CUR_Report</f>
        <v>$</v>
      </c>
      <c r="D562" s="1" t="s">
        <v>1316</v>
      </c>
      <c r="F562" s="134">
        <f t="shared" ref="F562:I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ref="J562" ca="1" si="113">J181+J183</f>
        <v>0</v>
      </c>
      <c r="K562" s="134"/>
      <c r="L562" s="136">
        <f ca="1">SUM(F562:J562)</f>
        <v>0</v>
      </c>
    </row>
    <row r="563" spans="1:12" outlineLevel="1">
      <c r="A563" s="2"/>
      <c r="B563" s="6"/>
      <c r="C563" s="6"/>
    </row>
    <row r="564" spans="1:12" outlineLevel="1">
      <c r="A564" s="2" t="str">
        <f ca="1">OFFSET(Язык!$A$583,0,LANGUAGE)</f>
        <v>Привлечение кредитов</v>
      </c>
      <c r="B564" s="6"/>
      <c r="C564" s="6" t="str">
        <f ca="1">CUR_Report</f>
        <v>$</v>
      </c>
      <c r="D564" s="1" t="s">
        <v>1316</v>
      </c>
      <c r="F564" s="134">
        <f t="shared" ref="F564:I564" ca="1" si="114">F185</f>
        <v>0</v>
      </c>
      <c r="G564" s="134">
        <f t="shared" ca="1" si="114"/>
        <v>547000</v>
      </c>
      <c r="H564" s="134">
        <f t="shared" ca="1" si="114"/>
        <v>0</v>
      </c>
      <c r="I564" s="134">
        <f t="shared" ca="1" si="114"/>
        <v>0</v>
      </c>
      <c r="J564" s="134">
        <f t="shared" ref="J564" ca="1" si="115">J185</f>
        <v>0</v>
      </c>
      <c r="K564" s="134"/>
      <c r="L564" s="136">
        <f ca="1">SUM(F564:J564)</f>
        <v>547000</v>
      </c>
    </row>
    <row r="565" spans="1:12" outlineLevel="1">
      <c r="A565" s="2" t="str">
        <f ca="1">OFFSET(Язык!$A$584,0,LANGUAGE)</f>
        <v>Погашение задолженности</v>
      </c>
      <c r="B565" s="6"/>
      <c r="C565" s="6" t="str">
        <f ca="1">CUR_Report</f>
        <v>$</v>
      </c>
      <c r="D565" s="1" t="s">
        <v>1316</v>
      </c>
      <c r="F565" s="134">
        <f t="shared" ref="F565:I565" ca="1" si="116">F187</f>
        <v>0</v>
      </c>
      <c r="G565" s="134">
        <f t="shared" ca="1" si="116"/>
        <v>0</v>
      </c>
      <c r="H565" s="134">
        <f t="shared" ca="1" si="116"/>
        <v>-91000</v>
      </c>
      <c r="I565" s="134">
        <f t="shared" ca="1" si="116"/>
        <v>-228000</v>
      </c>
      <c r="J565" s="134">
        <f t="shared" ref="J565" ca="1" si="117">J187</f>
        <v>-228000</v>
      </c>
      <c r="K565" s="134"/>
      <c r="L565" s="136">
        <f ca="1">SUM(F565:J565)</f>
        <v>-547000</v>
      </c>
    </row>
    <row r="566" spans="1:12" outlineLevel="1">
      <c r="A566" s="2" t="str">
        <f ca="1">OFFSET(Язык!$A$585,0,LANGUAGE)</f>
        <v>Выплаты процентов по кредитам</v>
      </c>
      <c r="B566" s="6"/>
      <c r="C566" s="6" t="str">
        <f ca="1">CUR_Report</f>
        <v>$</v>
      </c>
      <c r="D566" s="1" t="s">
        <v>1316</v>
      </c>
      <c r="F566" s="134">
        <f t="shared" ref="F566:I566" ca="1" si="118">F159</f>
        <v>0</v>
      </c>
      <c r="G566" s="134">
        <f t="shared" ca="1" si="118"/>
        <v>0</v>
      </c>
      <c r="H566" s="134">
        <f t="shared" ca="1" si="118"/>
        <v>-76580.000000000015</v>
      </c>
      <c r="I566" s="134">
        <f t="shared" ca="1" si="118"/>
        <v>-63840.000000000007</v>
      </c>
      <c r="J566" s="134">
        <f t="shared" ref="J566" ca="1" si="119">J159</f>
        <v>-31920.000000000004</v>
      </c>
      <c r="K566" s="134"/>
      <c r="L566" s="136">
        <f ca="1">SUM(F566:J566)</f>
        <v>-172340.00000000003</v>
      </c>
    </row>
    <row r="567" spans="1:12" outlineLevel="1">
      <c r="A567" s="2"/>
      <c r="B567" s="6"/>
      <c r="C567" s="6"/>
    </row>
    <row r="568" spans="1:12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1747</v>
      </c>
      <c r="E568" s="170"/>
      <c r="F568" s="170"/>
      <c r="G568" s="171" t="str">
        <f t="shared" ref="G568:I568" ca="1" si="120">G372</f>
        <v>-</v>
      </c>
      <c r="H568" s="171">
        <f t="shared" ca="1" si="120"/>
        <v>2.3400502302619737</v>
      </c>
      <c r="I568" s="171">
        <f t="shared" ca="1" si="120"/>
        <v>1.231462514157573</v>
      </c>
      <c r="J568" s="171">
        <f t="shared" ref="J568" ca="1" si="121">J372</f>
        <v>1.4849630786200394</v>
      </c>
      <c r="K568" s="170"/>
      <c r="L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Химчистка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3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6">
        <f>B9</f>
        <v>0.85</v>
      </c>
      <c r="G9" s="206">
        <f t="shared" ref="G9:L9" si="0">F9+$C9</f>
        <v>0.9</v>
      </c>
      <c r="H9" s="206">
        <f t="shared" si="0"/>
        <v>0.95000000000000007</v>
      </c>
      <c r="I9" s="206">
        <f t="shared" si="0"/>
        <v>1</v>
      </c>
      <c r="J9" s="206">
        <f t="shared" si="0"/>
        <v>1.05</v>
      </c>
      <c r="K9" s="206">
        <f t="shared" si="0"/>
        <v>1.1000000000000001</v>
      </c>
      <c r="L9" s="206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705</v>
      </c>
      <c r="F13" s="208">
        <v>-199685.18873572949</v>
      </c>
      <c r="G13" s="208">
        <v>-109279.86664304936</v>
      </c>
      <c r="H13" s="208">
        <v>-23231.699093764459</v>
      </c>
      <c r="I13" s="208">
        <v>61910.270299061114</v>
      </c>
      <c r="J13" s="208">
        <v>146585.67669976616</v>
      </c>
      <c r="K13" s="208">
        <v>231057.94735432602</v>
      </c>
      <c r="L13" s="208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2173</v>
      </c>
      <c r="F14" s="209">
        <v>7.6698161590088354E-2</v>
      </c>
      <c r="G14" s="209">
        <v>8.7549734041597826E-2</v>
      </c>
      <c r="H14" s="209">
        <v>9.7401620399570898E-2</v>
      </c>
      <c r="I14" s="209">
        <v>0.1068043533027967</v>
      </c>
      <c r="J14" s="209">
        <v>0.11584257941077936</v>
      </c>
      <c r="K14" s="209">
        <v>0.12457593549307688</v>
      </c>
      <c r="L14" s="209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437</v>
      </c>
      <c r="F15" s="211" t="s">
        <v>1074</v>
      </c>
      <c r="G15" s="211" t="s">
        <v>1074</v>
      </c>
      <c r="H15" s="211" t="s">
        <v>1074</v>
      </c>
      <c r="I15" s="211">
        <v>14.339094637191257</v>
      </c>
      <c r="J15" s="211">
        <v>13.52950090782152</v>
      </c>
      <c r="K15" s="211">
        <v>12.813865127502662</v>
      </c>
      <c r="L15" s="211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438</v>
      </c>
      <c r="F16" s="208">
        <v>-0.15062066130328539</v>
      </c>
      <c r="G16" s="208">
        <v>-8.2858990963950052E-2</v>
      </c>
      <c r="H16" s="208">
        <v>-1.7656575630236971E-2</v>
      </c>
      <c r="I16" s="208">
        <v>4.7157362556414999E-2</v>
      </c>
      <c r="J16" s="208">
        <v>0.11190699844700271</v>
      </c>
      <c r="K16" s="208">
        <v>0.17679683548936626</v>
      </c>
      <c r="L16" s="208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439</v>
      </c>
      <c r="F17" s="208">
        <v>-1042235.5856650893</v>
      </c>
      <c r="G17" s="208">
        <v>-979905.07737499988</v>
      </c>
      <c r="H17" s="208">
        <v>-917574.56908491044</v>
      </c>
      <c r="I17" s="208">
        <v>-856288.83456232131</v>
      </c>
      <c r="J17" s="208">
        <v>-795788.26825973205</v>
      </c>
      <c r="K17" s="208">
        <v>-735287.70195714268</v>
      </c>
      <c r="L17" s="208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440</v>
      </c>
      <c r="F18" s="208">
        <v>1083671.0310041155</v>
      </c>
      <c r="G18" s="208">
        <v>1278742.8555672001</v>
      </c>
      <c r="H18" s="208">
        <v>1473187.5759956879</v>
      </c>
      <c r="I18" s="208">
        <v>1667632.2964241756</v>
      </c>
      <c r="J18" s="208">
        <v>1862077.0168526634</v>
      </c>
      <c r="K18" s="208">
        <v>2056521.7372811513</v>
      </c>
      <c r="L18" s="208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441</v>
      </c>
      <c r="F19" s="210">
        <v>1427809.1455423129</v>
      </c>
      <c r="G19" s="210">
        <v>1402536.5748707487</v>
      </c>
      <c r="H19" s="210">
        <v>1394837.8159048453</v>
      </c>
      <c r="I19" s="210">
        <v>1388365.4546787108</v>
      </c>
      <c r="J19" s="210">
        <v>1381893.0934525765</v>
      </c>
      <c r="K19" s="210">
        <v>1375420.7322264421</v>
      </c>
      <c r="L19" s="210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671</v>
      </c>
      <c r="F20" s="214" t="e">
        <v>#DIV/0!</v>
      </c>
      <c r="G20" s="214" t="e">
        <v>#DIV/0!</v>
      </c>
      <c r="H20" s="214" t="e">
        <v>#DIV/0!</v>
      </c>
      <c r="I20" s="214" t="e">
        <v>#DIV/0!</v>
      </c>
      <c r="J20" s="214" t="e">
        <v>#DIV/0!</v>
      </c>
      <c r="K20" s="214" t="e">
        <v>#DIV/0!</v>
      </c>
      <c r="L20" s="214" t="e">
        <v>#DIV/0!</v>
      </c>
    </row>
    <row r="21" spans="1:12">
      <c r="F21" s="208"/>
      <c r="G21" s="208"/>
      <c r="H21" s="208"/>
      <c r="I21" s="208"/>
      <c r="J21" s="208"/>
      <c r="K21" s="208"/>
      <c r="L21" s="208"/>
    </row>
    <row r="22" spans="1:12">
      <c r="A22" s="135" t="str">
        <f ca="1">OFFSET(Язык!$A$651,0,LANGUAGE)</f>
        <v>График чувствительности проекта</v>
      </c>
      <c r="F22" s="208"/>
      <c r="G22" s="208"/>
      <c r="H22" s="208"/>
      <c r="I22" s="208"/>
      <c r="J22" s="208"/>
      <c r="K22" s="208"/>
      <c r="L22" s="208"/>
    </row>
    <row r="23" spans="1:12" ht="17.25" customHeight="1">
      <c r="A23" s="212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2">
        <f ca="1">OFFSET(F13,$E23-1,0)</f>
        <v>-199685.18873572949</v>
      </c>
      <c r="G23" s="212">
        <f t="shared" ref="G23:L23" ca="1" si="1">OFFSET(G13,$E23-1,0)</f>
        <v>-109279.86664304936</v>
      </c>
      <c r="H23" s="212">
        <f t="shared" ca="1" si="1"/>
        <v>-23231.699093764459</v>
      </c>
      <c r="I23" s="212">
        <f t="shared" ca="1" si="1"/>
        <v>61910.270299061114</v>
      </c>
      <c r="J23" s="212">
        <f t="shared" ca="1" si="1"/>
        <v>146585.67669976616</v>
      </c>
      <c r="K23" s="212">
        <f t="shared" ca="1" si="1"/>
        <v>231057.94735432602</v>
      </c>
      <c r="L23" s="212">
        <f t="shared" ca="1" si="1"/>
        <v>315046.54707789992</v>
      </c>
    </row>
    <row r="24" spans="1:12">
      <c r="F24" s="208"/>
      <c r="G24" s="208"/>
      <c r="H24" s="208"/>
      <c r="I24" s="208"/>
      <c r="J24" s="208"/>
      <c r="K24" s="208"/>
      <c r="L24" s="208"/>
    </row>
    <row r="25" spans="1:12">
      <c r="F25" s="208"/>
      <c r="G25" s="208"/>
      <c r="H25" s="208"/>
      <c r="I25" s="208"/>
      <c r="J25" s="208"/>
      <c r="K25" s="208"/>
      <c r="L25" s="208"/>
    </row>
    <row r="26" spans="1:12">
      <c r="F26" s="208"/>
      <c r="G26" s="208"/>
      <c r="H26" s="208"/>
      <c r="I26" s="208"/>
      <c r="J26" s="208"/>
      <c r="K26" s="208"/>
      <c r="L26" s="208"/>
    </row>
    <row r="27" spans="1:12">
      <c r="F27" s="208"/>
      <c r="G27" s="208"/>
      <c r="H27" s="208"/>
      <c r="I27" s="208"/>
      <c r="J27" s="208"/>
      <c r="K27" s="208"/>
      <c r="L27" s="208"/>
    </row>
    <row r="28" spans="1:12">
      <c r="F28" s="208"/>
      <c r="G28" s="208"/>
      <c r="H28" s="208"/>
      <c r="I28" s="208"/>
      <c r="J28" s="208"/>
      <c r="K28" s="208"/>
      <c r="L28" s="208"/>
    </row>
    <row r="29" spans="1:12">
      <c r="F29" s="208"/>
      <c r="G29" s="208"/>
      <c r="H29" s="208"/>
      <c r="I29" s="208"/>
      <c r="J29" s="208"/>
      <c r="K29" s="208"/>
      <c r="L29" s="208"/>
    </row>
    <row r="30" spans="1:12">
      <c r="F30" s="208"/>
      <c r="G30" s="208"/>
      <c r="H30" s="208"/>
      <c r="I30" s="208"/>
      <c r="J30" s="208"/>
      <c r="K30" s="208"/>
      <c r="L30" s="208"/>
    </row>
    <row r="31" spans="1:12">
      <c r="F31" s="208"/>
      <c r="G31" s="208"/>
      <c r="H31" s="208"/>
      <c r="I31" s="208"/>
      <c r="J31" s="208"/>
      <c r="K31" s="208"/>
      <c r="L31" s="208"/>
    </row>
    <row r="32" spans="1:12">
      <c r="F32" s="208"/>
      <c r="G32" s="208"/>
      <c r="H32" s="208"/>
      <c r="I32" s="208"/>
      <c r="J32" s="208"/>
      <c r="K32" s="208"/>
      <c r="L32" s="208"/>
    </row>
    <row r="33" spans="1:12">
      <c r="F33" s="208"/>
      <c r="G33" s="208"/>
      <c r="H33" s="208"/>
      <c r="I33" s="208"/>
      <c r="J33" s="208"/>
      <c r="K33" s="208"/>
      <c r="L33" s="208"/>
    </row>
    <row r="34" spans="1:12">
      <c r="F34" s="208"/>
      <c r="G34" s="208"/>
      <c r="H34" s="208"/>
      <c r="I34" s="208"/>
      <c r="J34" s="208"/>
      <c r="K34" s="208"/>
      <c r="L34" s="208"/>
    </row>
    <row r="35" spans="1:12">
      <c r="F35" s="208"/>
      <c r="G35" s="208"/>
      <c r="H35" s="208"/>
      <c r="I35" s="208"/>
      <c r="J35" s="208"/>
      <c r="K35" s="208"/>
      <c r="L35" s="208"/>
    </row>
    <row r="36" spans="1:12">
      <c r="F36" s="208"/>
      <c r="G36" s="208"/>
      <c r="H36" s="208"/>
      <c r="I36" s="208"/>
      <c r="J36" s="208"/>
      <c r="K36" s="208"/>
      <c r="L36" s="208"/>
    </row>
    <row r="37" spans="1:12">
      <c r="F37" s="208"/>
      <c r="G37" s="208"/>
      <c r="H37" s="208"/>
      <c r="I37" s="208"/>
      <c r="J37" s="208"/>
      <c r="K37" s="208"/>
      <c r="L37" s="208"/>
    </row>
    <row r="38" spans="1:12">
      <c r="F38" s="208"/>
      <c r="G38" s="208"/>
      <c r="H38" s="208"/>
      <c r="I38" s="208"/>
      <c r="J38" s="208"/>
      <c r="K38" s="208"/>
      <c r="L38" s="208"/>
    </row>
    <row r="39" spans="1:12">
      <c r="F39" s="208"/>
      <c r="G39" s="208"/>
      <c r="H39" s="208"/>
      <c r="I39" s="208"/>
      <c r="J39" s="208"/>
      <c r="K39" s="208"/>
      <c r="L39" s="208"/>
    </row>
    <row r="40" spans="1:12">
      <c r="F40" s="208"/>
      <c r="G40" s="208"/>
      <c r="H40" s="208"/>
      <c r="I40" s="208"/>
      <c r="J40" s="208"/>
      <c r="K40" s="208"/>
      <c r="L40" s="208"/>
    </row>
    <row r="41" spans="1:12">
      <c r="F41" s="208"/>
      <c r="G41" s="208"/>
      <c r="H41" s="208"/>
      <c r="I41" s="208"/>
      <c r="J41" s="208"/>
      <c r="K41" s="208"/>
      <c r="L41" s="208"/>
    </row>
    <row r="42" spans="1:12">
      <c r="F42" s="208"/>
      <c r="G42" s="208"/>
      <c r="H42" s="208"/>
      <c r="I42" s="208"/>
      <c r="J42" s="208"/>
      <c r="K42" s="208"/>
      <c r="L42" s="208"/>
    </row>
    <row r="43" spans="1:12">
      <c r="F43" s="208"/>
      <c r="G43" s="208"/>
      <c r="H43" s="208"/>
      <c r="I43" s="208"/>
      <c r="J43" s="208"/>
      <c r="K43" s="208"/>
      <c r="L43" s="208"/>
    </row>
    <row r="44" spans="1:12">
      <c r="F44" s="208"/>
      <c r="G44" s="208"/>
      <c r="H44" s="208"/>
      <c r="I44" s="208"/>
      <c r="J44" s="208"/>
      <c r="K44" s="208"/>
      <c r="L44" s="208"/>
    </row>
    <row r="45" spans="1:12">
      <c r="F45" s="208"/>
      <c r="G45" s="208"/>
      <c r="H45" s="208"/>
      <c r="I45" s="208"/>
      <c r="J45" s="208"/>
      <c r="K45" s="208"/>
      <c r="L45" s="208"/>
    </row>
    <row r="46" spans="1:12">
      <c r="F46" s="208"/>
      <c r="G46" s="208"/>
      <c r="H46" s="208"/>
      <c r="I46" s="208"/>
      <c r="J46" s="208"/>
      <c r="K46" s="208"/>
      <c r="L46" s="208"/>
    </row>
    <row r="47" spans="1:12">
      <c r="F47" s="208"/>
      <c r="G47" s="208"/>
      <c r="H47" s="208"/>
      <c r="I47" s="208"/>
      <c r="J47" s="208"/>
      <c r="K47" s="208"/>
      <c r="L47" s="208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705</v>
      </c>
      <c r="F52" s="208">
        <v>-642175.35603261599</v>
      </c>
      <c r="G52" s="208">
        <v>-597153.55125404394</v>
      </c>
      <c r="H52" s="208">
        <v>-553313.08550015942</v>
      </c>
      <c r="I52" s="208">
        <v>-509953.07668749278</v>
      </c>
      <c r="J52" s="208">
        <v>-466907.38845642802</v>
      </c>
      <c r="K52" s="208">
        <v>-423983.01723230619</v>
      </c>
      <c r="L52" s="208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2173</v>
      </c>
      <c r="F53" s="209">
        <v>7.6698161590088354E-2</v>
      </c>
      <c r="G53" s="209">
        <v>8.7549734041597826E-2</v>
      </c>
      <c r="H53" s="209">
        <v>9.7401620399570898E-2</v>
      </c>
      <c r="I53" s="209">
        <v>0.1068043533027967</v>
      </c>
      <c r="J53" s="209">
        <v>0.11584257941077936</v>
      </c>
      <c r="K53" s="209">
        <v>0.12457593549307688</v>
      </c>
      <c r="L53" s="209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437</v>
      </c>
      <c r="F54" s="211" t="s">
        <v>1074</v>
      </c>
      <c r="G54" s="211" t="s">
        <v>1074</v>
      </c>
      <c r="H54" s="211" t="s">
        <v>1074</v>
      </c>
      <c r="I54" s="211" t="s">
        <v>1074</v>
      </c>
      <c r="J54" s="211" t="s">
        <v>1074</v>
      </c>
      <c r="K54" s="211" t="s">
        <v>1074</v>
      </c>
      <c r="L54" s="211" t="s">
        <v>1074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438</v>
      </c>
      <c r="F55" s="208">
        <v>-0.52399031213379388</v>
      </c>
      <c r="G55" s="208">
        <v>-0.48816242614016009</v>
      </c>
      <c r="H55" s="208">
        <v>-0.4528328551322125</v>
      </c>
      <c r="I55" s="208">
        <v>-0.41782294149592003</v>
      </c>
      <c r="J55" s="208">
        <v>-0.38301064993023637</v>
      </c>
      <c r="K55" s="208">
        <v>-0.34822173559096214</v>
      </c>
      <c r="L55" s="208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440</v>
      </c>
      <c r="F56" s="208">
        <v>1083671.0310041155</v>
      </c>
      <c r="G56" s="208">
        <v>1278742.8555672001</v>
      </c>
      <c r="H56" s="208">
        <v>1473187.5759956879</v>
      </c>
      <c r="I56" s="208">
        <v>1667632.2964241756</v>
      </c>
      <c r="J56" s="208">
        <v>1862077.0168526634</v>
      </c>
      <c r="K56" s="208">
        <v>2056521.7372811513</v>
      </c>
      <c r="L56" s="208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671</v>
      </c>
      <c r="F57" s="214">
        <v>-114723.66888428891</v>
      </c>
      <c r="G57" s="214">
        <v>-62520.282311821589</v>
      </c>
      <c r="H57" s="214">
        <v>-10927.916496471626</v>
      </c>
      <c r="I57" s="214">
        <v>40223.792339445507</v>
      </c>
      <c r="J57" s="214">
        <v>91061.18059376051</v>
      </c>
      <c r="K57" s="214">
        <v>141777.25184113259</v>
      </c>
      <c r="L57" s="214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8"/>
      <c r="G59" s="208"/>
      <c r="H59" s="208"/>
      <c r="I59" s="208"/>
      <c r="J59" s="208"/>
      <c r="K59" s="208"/>
      <c r="L59" s="208"/>
    </row>
    <row r="60" spans="1:12" ht="17.25" customHeight="1">
      <c r="A60" s="212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2">
        <f ca="1">OFFSET(F52,$E60-1,0)</f>
        <v>-642175.35603261599</v>
      </c>
      <c r="G60" s="212">
        <f t="shared" ref="G60:L60" ca="1" si="2">OFFSET(G52,$E60-1,0)</f>
        <v>-597153.55125404394</v>
      </c>
      <c r="H60" s="212">
        <f t="shared" ca="1" si="2"/>
        <v>-553313.08550015942</v>
      </c>
      <c r="I60" s="212">
        <f t="shared" ca="1" si="2"/>
        <v>-509953.07668749278</v>
      </c>
      <c r="J60" s="212">
        <f t="shared" ca="1" si="2"/>
        <v>-466907.38845642802</v>
      </c>
      <c r="K60" s="212">
        <f t="shared" ca="1" si="2"/>
        <v>-423983.01723230619</v>
      </c>
      <c r="L60" s="212">
        <f t="shared" ca="1" si="2"/>
        <v>-381404.29209457297</v>
      </c>
    </row>
    <row r="61" spans="1:12">
      <c r="F61" s="208"/>
      <c r="G61" s="208"/>
      <c r="H61" s="208"/>
      <c r="I61" s="208"/>
      <c r="J61" s="208"/>
      <c r="K61" s="208"/>
      <c r="L61" s="208"/>
    </row>
    <row r="62" spans="1:12">
      <c r="F62" s="208"/>
      <c r="G62" s="208"/>
      <c r="H62" s="208"/>
      <c r="I62" s="208"/>
      <c r="J62" s="208"/>
      <c r="K62" s="208"/>
      <c r="L62" s="208"/>
    </row>
    <row r="63" spans="1:12">
      <c r="F63" s="208"/>
      <c r="G63" s="208"/>
      <c r="H63" s="208"/>
      <c r="I63" s="208"/>
      <c r="J63" s="208"/>
      <c r="K63" s="208"/>
      <c r="L63" s="208"/>
    </row>
    <row r="64" spans="1:12">
      <c r="F64" s="208"/>
      <c r="G64" s="208"/>
      <c r="H64" s="208"/>
      <c r="I64" s="208"/>
      <c r="J64" s="208"/>
      <c r="K64" s="208"/>
      <c r="L64" s="208"/>
    </row>
    <row r="65" spans="6:12">
      <c r="F65" s="208"/>
      <c r="G65" s="208"/>
      <c r="H65" s="208"/>
      <c r="I65" s="208"/>
      <c r="J65" s="208"/>
      <c r="K65" s="208"/>
      <c r="L65" s="208"/>
    </row>
    <row r="66" spans="6:12">
      <c r="F66" s="208"/>
      <c r="G66" s="208"/>
      <c r="H66" s="208"/>
      <c r="I66" s="208"/>
      <c r="J66" s="208"/>
      <c r="K66" s="208"/>
      <c r="L66" s="208"/>
    </row>
    <row r="67" spans="6:12">
      <c r="F67" s="208"/>
      <c r="G67" s="208"/>
      <c r="H67" s="208"/>
      <c r="I67" s="208"/>
      <c r="J67" s="208"/>
      <c r="K67" s="208"/>
      <c r="L67" s="208"/>
    </row>
    <row r="68" spans="6:12">
      <c r="F68" s="208"/>
      <c r="G68" s="208"/>
      <c r="H68" s="208"/>
      <c r="I68" s="208"/>
      <c r="J68" s="208"/>
      <c r="K68" s="208"/>
      <c r="L68" s="208"/>
    </row>
    <row r="69" spans="6:12">
      <c r="F69" s="208"/>
      <c r="G69" s="208"/>
      <c r="H69" s="208"/>
      <c r="I69" s="208"/>
      <c r="J69" s="208"/>
      <c r="K69" s="208"/>
      <c r="L69" s="208"/>
    </row>
    <row r="70" spans="6:12">
      <c r="F70" s="208"/>
      <c r="G70" s="208"/>
      <c r="H70" s="208"/>
      <c r="I70" s="208"/>
      <c r="J70" s="208"/>
      <c r="K70" s="208"/>
      <c r="L70" s="208"/>
    </row>
    <row r="71" spans="6:12">
      <c r="F71" s="208"/>
      <c r="G71" s="208"/>
      <c r="H71" s="208"/>
      <c r="I71" s="208"/>
      <c r="J71" s="208"/>
      <c r="K71" s="208"/>
      <c r="L71" s="208"/>
    </row>
    <row r="72" spans="6:12">
      <c r="F72" s="208"/>
      <c r="G72" s="208"/>
      <c r="H72" s="208"/>
      <c r="I72" s="208"/>
      <c r="J72" s="208"/>
      <c r="K72" s="208"/>
      <c r="L72" s="208"/>
    </row>
    <row r="73" spans="6:12">
      <c r="F73" s="208"/>
      <c r="G73" s="208"/>
      <c r="H73" s="208"/>
      <c r="I73" s="208"/>
      <c r="J73" s="208"/>
      <c r="K73" s="208"/>
      <c r="L73" s="208"/>
    </row>
    <row r="74" spans="6:12">
      <c r="F74" s="208"/>
      <c r="G74" s="208"/>
      <c r="H74" s="208"/>
      <c r="I74" s="208"/>
      <c r="J74" s="208"/>
      <c r="K74" s="208"/>
      <c r="L74" s="208"/>
    </row>
    <row r="75" spans="6:12">
      <c r="F75" s="208"/>
      <c r="G75" s="208"/>
      <c r="H75" s="208"/>
      <c r="I75" s="208"/>
      <c r="J75" s="208"/>
      <c r="K75" s="208"/>
      <c r="L75" s="208"/>
    </row>
    <row r="76" spans="6:12">
      <c r="F76" s="208"/>
      <c r="G76" s="208"/>
      <c r="H76" s="208"/>
      <c r="I76" s="208"/>
      <c r="J76" s="208"/>
      <c r="K76" s="208"/>
      <c r="L76" s="208"/>
    </row>
    <row r="77" spans="6:12">
      <c r="F77" s="208"/>
      <c r="G77" s="208"/>
      <c r="H77" s="208"/>
      <c r="I77" s="208"/>
      <c r="J77" s="208"/>
      <c r="K77" s="208"/>
      <c r="L77" s="208"/>
    </row>
    <row r="78" spans="6:12">
      <c r="F78" s="208"/>
      <c r="G78" s="208"/>
      <c r="H78" s="208"/>
      <c r="I78" s="208"/>
      <c r="J78" s="208"/>
      <c r="K78" s="208"/>
      <c r="L78" s="208"/>
    </row>
    <row r="79" spans="6:12">
      <c r="F79" s="208"/>
      <c r="G79" s="208"/>
      <c r="H79" s="208"/>
      <c r="I79" s="208"/>
      <c r="J79" s="208"/>
      <c r="K79" s="208"/>
      <c r="L79" s="208"/>
    </row>
    <row r="80" spans="6:12">
      <c r="F80" s="208"/>
      <c r="G80" s="208"/>
      <c r="H80" s="208"/>
      <c r="I80" s="208"/>
      <c r="J80" s="208"/>
      <c r="K80" s="208"/>
      <c r="L80" s="208"/>
    </row>
    <row r="81" spans="1:12">
      <c r="F81" s="208"/>
      <c r="G81" s="208"/>
      <c r="H81" s="208"/>
      <c r="I81" s="208"/>
      <c r="J81" s="208"/>
      <c r="K81" s="208"/>
      <c r="L81" s="208"/>
    </row>
    <row r="82" spans="1:12">
      <c r="F82" s="208"/>
      <c r="G82" s="208"/>
      <c r="H82" s="208"/>
      <c r="I82" s="208"/>
      <c r="J82" s="208"/>
      <c r="K82" s="208"/>
      <c r="L82" s="208"/>
    </row>
    <row r="83" spans="1:12">
      <c r="F83" s="208"/>
      <c r="G83" s="208"/>
      <c r="H83" s="208"/>
      <c r="I83" s="208"/>
      <c r="J83" s="208"/>
      <c r="K83" s="208"/>
      <c r="L83" s="208"/>
    </row>
    <row r="84" spans="1:12">
      <c r="F84" s="208"/>
      <c r="G84" s="208"/>
      <c r="H84" s="208"/>
      <c r="I84" s="208"/>
      <c r="J84" s="208"/>
      <c r="K84" s="208"/>
      <c r="L84" s="208"/>
    </row>
    <row r="85" spans="1:12">
      <c r="F85" s="208"/>
      <c r="G85" s="208"/>
      <c r="H85" s="208"/>
      <c r="I85" s="208"/>
      <c r="J85" s="208"/>
      <c r="K85" s="208"/>
      <c r="L85" s="208"/>
    </row>
    <row r="87" spans="1:12" collapsed="1">
      <c r="A87" s="215" t="str">
        <f ca="1">OFFSET(Язык!$A$665,0,LANGUAGE)</f>
        <v>Параметры анализа чувствительности</v>
      </c>
    </row>
    <row r="88" spans="1:12" hidden="1" outlineLevel="1">
      <c r="A88" s="201" t="s">
        <v>248</v>
      </c>
      <c r="B88" s="202"/>
      <c r="C88" s="202"/>
      <c r="D88" s="202"/>
      <c r="E88" s="202"/>
      <c r="F88" s="202"/>
      <c r="G88" s="203"/>
    </row>
    <row r="89" spans="1:12" hidden="1" outlineLevel="1">
      <c r="A89" s="204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5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1560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1561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1562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1563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1564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1565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2030</v>
      </c>
    </row>
    <row r="4" spans="1:2">
      <c r="A4" s="138" t="s">
        <v>2031</v>
      </c>
    </row>
    <row r="5" spans="1:2">
      <c r="A5" s="1" t="s">
        <v>1823</v>
      </c>
      <c r="B5" s="235" t="s">
        <v>2083</v>
      </c>
    </row>
    <row r="6" spans="1:2">
      <c r="A6" s="1" t="s">
        <v>1536</v>
      </c>
      <c r="B6" s="118">
        <v>38665</v>
      </c>
    </row>
    <row r="7" spans="1:2">
      <c r="A7" s="1" t="s">
        <v>556</v>
      </c>
      <c r="B7" s="118">
        <v>38752</v>
      </c>
    </row>
    <row r="8" spans="1:2">
      <c r="A8" t="s">
        <v>2046</v>
      </c>
      <c r="B8" t="b">
        <v>0</v>
      </c>
    </row>
    <row r="9" spans="1:2">
      <c r="A9" t="s">
        <v>1064</v>
      </c>
      <c r="B9" t="b">
        <v>1</v>
      </c>
    </row>
    <row r="10" spans="1:2">
      <c r="A10" t="s">
        <v>1529</v>
      </c>
      <c r="B10" t="b">
        <v>1</v>
      </c>
    </row>
    <row r="11" spans="1:2">
      <c r="A11" t="s">
        <v>1530</v>
      </c>
      <c r="B11" t="b">
        <v>0</v>
      </c>
    </row>
    <row r="12" spans="1:2">
      <c r="A12" t="s">
        <v>1531</v>
      </c>
      <c r="B12" t="b">
        <v>0</v>
      </c>
    </row>
    <row r="13" spans="1:2">
      <c r="A13" t="s">
        <v>740</v>
      </c>
      <c r="B13" t="b">
        <v>1</v>
      </c>
    </row>
    <row r="15" spans="1:2">
      <c r="A15" t="s">
        <v>1532</v>
      </c>
      <c r="B15" t="b">
        <v>0</v>
      </c>
    </row>
    <row r="16" spans="1:2">
      <c r="A16" t="s">
        <v>1533</v>
      </c>
      <c r="B16" s="35">
        <v>777</v>
      </c>
    </row>
    <row r="17" spans="1:8">
      <c r="A17" t="s">
        <v>1534</v>
      </c>
      <c r="B17" s="48" t="s">
        <v>503</v>
      </c>
    </row>
    <row r="18" spans="1:8">
      <c r="A18" t="s">
        <v>1535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1822</v>
      </c>
      <c r="C1" s="35" t="s">
        <v>1978</v>
      </c>
      <c r="D1" s="35" t="s">
        <v>1820</v>
      </c>
    </row>
    <row r="2" spans="1:4">
      <c r="A2" t="s">
        <v>375</v>
      </c>
      <c r="B2" t="s">
        <v>1824</v>
      </c>
      <c r="C2" t="s">
        <v>1979</v>
      </c>
      <c r="D2" t="s">
        <v>375</v>
      </c>
    </row>
    <row r="3" spans="1:4">
      <c r="A3" t="s">
        <v>1821</v>
      </c>
      <c r="B3" t="s">
        <v>1825</v>
      </c>
      <c r="C3" t="s">
        <v>1980</v>
      </c>
      <c r="D3" t="s">
        <v>1821</v>
      </c>
    </row>
    <row r="4" spans="1:4">
      <c r="A4" t="s">
        <v>1826</v>
      </c>
      <c r="B4" t="s">
        <v>1827</v>
      </c>
      <c r="C4" t="s">
        <v>1981</v>
      </c>
      <c r="D4" t="s">
        <v>1826</v>
      </c>
    </row>
    <row r="5" spans="1:4">
      <c r="A5" t="s">
        <v>382</v>
      </c>
      <c r="B5" t="s">
        <v>1828</v>
      </c>
      <c r="C5" t="s">
        <v>1982</v>
      </c>
      <c r="D5" t="s">
        <v>382</v>
      </c>
    </row>
    <row r="6" spans="1:4">
      <c r="A6" t="s">
        <v>2032</v>
      </c>
      <c r="B6" t="s">
        <v>2033</v>
      </c>
      <c r="C6" t="s">
        <v>1983</v>
      </c>
      <c r="D6" t="s">
        <v>2032</v>
      </c>
    </row>
    <row r="7" spans="1:4">
      <c r="A7" t="s">
        <v>366</v>
      </c>
      <c r="B7" t="s">
        <v>2034</v>
      </c>
      <c r="C7" t="s">
        <v>1984</v>
      </c>
      <c r="D7" t="s">
        <v>366</v>
      </c>
    </row>
    <row r="8" spans="1:4">
      <c r="A8" t="s">
        <v>1692</v>
      </c>
      <c r="B8" t="s">
        <v>1693</v>
      </c>
      <c r="C8" t="s">
        <v>1693</v>
      </c>
      <c r="D8" t="s">
        <v>1692</v>
      </c>
    </row>
    <row r="9" spans="1:4">
      <c r="A9" t="s">
        <v>2283</v>
      </c>
      <c r="B9" t="s">
        <v>2284</v>
      </c>
      <c r="C9" t="s">
        <v>1985</v>
      </c>
      <c r="D9" t="s">
        <v>2283</v>
      </c>
    </row>
    <row r="10" spans="1:4">
      <c r="A10" t="s">
        <v>2285</v>
      </c>
      <c r="B10" t="s">
        <v>2285</v>
      </c>
      <c r="C10" t="s">
        <v>2285</v>
      </c>
      <c r="D10" t="s">
        <v>2285</v>
      </c>
    </row>
    <row r="11" spans="1:4">
      <c r="A11" t="s">
        <v>2286</v>
      </c>
      <c r="B11" t="s">
        <v>2286</v>
      </c>
      <c r="C11" t="s">
        <v>2286</v>
      </c>
      <c r="D11" t="s">
        <v>2286</v>
      </c>
    </row>
    <row r="12" spans="1:4">
      <c r="A12" t="s">
        <v>2287</v>
      </c>
      <c r="B12" t="s">
        <v>2287</v>
      </c>
      <c r="C12" t="s">
        <v>2287</v>
      </c>
      <c r="D12" t="s">
        <v>2287</v>
      </c>
    </row>
    <row r="13" spans="1:4">
      <c r="A13" t="s">
        <v>2288</v>
      </c>
      <c r="B13" t="s">
        <v>2289</v>
      </c>
      <c r="C13" t="s">
        <v>1986</v>
      </c>
      <c r="D13" t="s">
        <v>2288</v>
      </c>
    </row>
    <row r="14" spans="1:4">
      <c r="A14" t="s">
        <v>2290</v>
      </c>
      <c r="B14" t="s">
        <v>2291</v>
      </c>
      <c r="C14" t="s">
        <v>1987</v>
      </c>
      <c r="D14" t="s">
        <v>2290</v>
      </c>
    </row>
    <row r="15" spans="1:4">
      <c r="A15" t="s">
        <v>2292</v>
      </c>
      <c r="B15" t="s">
        <v>2293</v>
      </c>
      <c r="C15" t="s">
        <v>1988</v>
      </c>
      <c r="D15" t="s">
        <v>2292</v>
      </c>
    </row>
    <row r="16" spans="1:4">
      <c r="A16" t="s">
        <v>2294</v>
      </c>
      <c r="B16" t="s">
        <v>2295</v>
      </c>
      <c r="C16" t="s">
        <v>1989</v>
      </c>
      <c r="D16" t="s">
        <v>2294</v>
      </c>
    </row>
    <row r="17" spans="1:4">
      <c r="A17" t="s">
        <v>2296</v>
      </c>
      <c r="B17" t="s">
        <v>2297</v>
      </c>
      <c r="C17" t="s">
        <v>1990</v>
      </c>
      <c r="D17" t="s">
        <v>2296</v>
      </c>
    </row>
    <row r="18" spans="1:4">
      <c r="A18" t="s">
        <v>2298</v>
      </c>
      <c r="B18" t="s">
        <v>2299</v>
      </c>
      <c r="C18" t="s">
        <v>2339</v>
      </c>
      <c r="D18" t="s">
        <v>2298</v>
      </c>
    </row>
    <row r="19" spans="1:4">
      <c r="A19" t="s">
        <v>2300</v>
      </c>
      <c r="B19" t="s">
        <v>2305</v>
      </c>
      <c r="C19" t="s">
        <v>2340</v>
      </c>
      <c r="D19" t="s">
        <v>2300</v>
      </c>
    </row>
    <row r="20" spans="1:4">
      <c r="A20" t="s">
        <v>2301</v>
      </c>
      <c r="B20" t="s">
        <v>2306</v>
      </c>
      <c r="C20" t="s">
        <v>2341</v>
      </c>
      <c r="D20" t="s">
        <v>2301</v>
      </c>
    </row>
    <row r="21" spans="1:4">
      <c r="A21" t="s">
        <v>2302</v>
      </c>
      <c r="B21" t="s">
        <v>2307</v>
      </c>
      <c r="C21" t="s">
        <v>2342</v>
      </c>
      <c r="D21" t="s">
        <v>2302</v>
      </c>
    </row>
    <row r="22" spans="1:4">
      <c r="A22" t="s">
        <v>2303</v>
      </c>
      <c r="B22" t="s">
        <v>2308</v>
      </c>
      <c r="C22" t="s">
        <v>2343</v>
      </c>
      <c r="D22" t="s">
        <v>2303</v>
      </c>
    </row>
    <row r="23" spans="1:4">
      <c r="A23" t="s">
        <v>2304</v>
      </c>
      <c r="B23" t="s">
        <v>2309</v>
      </c>
      <c r="C23" t="s">
        <v>2344</v>
      </c>
      <c r="D23" t="s">
        <v>2304</v>
      </c>
    </row>
    <row r="24" spans="1:4">
      <c r="A24" t="s">
        <v>2009</v>
      </c>
      <c r="B24" t="s">
        <v>2013</v>
      </c>
      <c r="C24" t="s">
        <v>2340</v>
      </c>
      <c r="D24" t="s">
        <v>2009</v>
      </c>
    </row>
    <row r="25" spans="1:4">
      <c r="A25" t="s">
        <v>2010</v>
      </c>
      <c r="B25" t="s">
        <v>2014</v>
      </c>
      <c r="C25" t="s">
        <v>2345</v>
      </c>
      <c r="D25" t="s">
        <v>2010</v>
      </c>
    </row>
    <row r="26" spans="1:4">
      <c r="A26" t="s">
        <v>2011</v>
      </c>
      <c r="B26" t="s">
        <v>2015</v>
      </c>
      <c r="C26" t="s">
        <v>2346</v>
      </c>
      <c r="D26" t="s">
        <v>2011</v>
      </c>
    </row>
    <row r="27" spans="1:4">
      <c r="A27" t="s">
        <v>2012</v>
      </c>
      <c r="B27" t="s">
        <v>2016</v>
      </c>
      <c r="C27" t="s">
        <v>2347</v>
      </c>
      <c r="D27" t="s">
        <v>2012</v>
      </c>
    </row>
    <row r="28" spans="1:4">
      <c r="A28" t="s">
        <v>2022</v>
      </c>
      <c r="B28" t="s">
        <v>1422</v>
      </c>
      <c r="C28" t="s">
        <v>2348</v>
      </c>
      <c r="D28" t="s">
        <v>2022</v>
      </c>
    </row>
    <row r="29" spans="1:4">
      <c r="A29" t="s">
        <v>2021</v>
      </c>
      <c r="B29" t="s">
        <v>1423</v>
      </c>
      <c r="C29" t="s">
        <v>2349</v>
      </c>
      <c r="D29" t="s">
        <v>2021</v>
      </c>
    </row>
    <row r="30" spans="1:4">
      <c r="A30" t="s">
        <v>2023</v>
      </c>
      <c r="B30" t="s">
        <v>1424</v>
      </c>
      <c r="C30" t="s">
        <v>2350</v>
      </c>
      <c r="D30" t="s">
        <v>2023</v>
      </c>
    </row>
    <row r="31" spans="1:4">
      <c r="A31" t="s">
        <v>2024</v>
      </c>
      <c r="B31" t="s">
        <v>1425</v>
      </c>
      <c r="C31" t="s">
        <v>2351</v>
      </c>
      <c r="D31" t="s">
        <v>2024</v>
      </c>
    </row>
    <row r="32" spans="1:4">
      <c r="A32" t="s">
        <v>370</v>
      </c>
      <c r="B32" t="s">
        <v>451</v>
      </c>
      <c r="C32" t="s">
        <v>2352</v>
      </c>
      <c r="D32" t="s">
        <v>370</v>
      </c>
    </row>
    <row r="33" spans="1:4">
      <c r="A33" t="s">
        <v>371</v>
      </c>
      <c r="B33" t="s">
        <v>452</v>
      </c>
      <c r="C33" t="s">
        <v>2353</v>
      </c>
      <c r="D33" t="s">
        <v>371</v>
      </c>
    </row>
    <row r="34" spans="1:4">
      <c r="A34" t="s">
        <v>364</v>
      </c>
      <c r="B34" t="s">
        <v>453</v>
      </c>
      <c r="C34" t="s">
        <v>2354</v>
      </c>
      <c r="D34" t="s">
        <v>364</v>
      </c>
    </row>
    <row r="35" spans="1:4">
      <c r="A35" t="s">
        <v>367</v>
      </c>
      <c r="B35" t="s">
        <v>454</v>
      </c>
      <c r="C35" t="s">
        <v>2355</v>
      </c>
      <c r="D35" t="s">
        <v>367</v>
      </c>
    </row>
    <row r="36" spans="1:4">
      <c r="A36" t="s">
        <v>368</v>
      </c>
      <c r="B36" t="s">
        <v>455</v>
      </c>
      <c r="C36" t="s">
        <v>2356</v>
      </c>
      <c r="D36" t="s">
        <v>368</v>
      </c>
    </row>
    <row r="37" spans="1:4">
      <c r="A37" t="s">
        <v>383</v>
      </c>
      <c r="B37" t="s">
        <v>456</v>
      </c>
      <c r="C37" t="s">
        <v>2357</v>
      </c>
      <c r="D37" t="s">
        <v>383</v>
      </c>
    </row>
    <row r="38" spans="1:4">
      <c r="A38" t="s">
        <v>365</v>
      </c>
      <c r="B38" t="s">
        <v>2033</v>
      </c>
      <c r="C38" t="s">
        <v>2358</v>
      </c>
      <c r="D38" t="s">
        <v>365</v>
      </c>
    </row>
    <row r="39" spans="1:4">
      <c r="A39" t="s">
        <v>366</v>
      </c>
      <c r="B39" t="s">
        <v>2034</v>
      </c>
      <c r="C39" t="s">
        <v>1984</v>
      </c>
      <c r="D39" t="s">
        <v>366</v>
      </c>
    </row>
    <row r="40" spans="1:4">
      <c r="A40" t="s">
        <v>372</v>
      </c>
      <c r="B40" t="s">
        <v>457</v>
      </c>
      <c r="C40" t="s">
        <v>2359</v>
      </c>
      <c r="D40" t="s">
        <v>372</v>
      </c>
    </row>
    <row r="41" spans="1:4">
      <c r="A41" t="s">
        <v>374</v>
      </c>
      <c r="B41" t="s">
        <v>458</v>
      </c>
      <c r="C41" t="s">
        <v>2360</v>
      </c>
      <c r="D41" t="s">
        <v>374</v>
      </c>
    </row>
    <row r="42" spans="1:4">
      <c r="A42" t="s">
        <v>369</v>
      </c>
      <c r="B42" t="s">
        <v>459</v>
      </c>
      <c r="C42" t="s">
        <v>2361</v>
      </c>
      <c r="D42" t="s">
        <v>369</v>
      </c>
    </row>
    <row r="43" spans="1:4">
      <c r="A43" t="s">
        <v>1819</v>
      </c>
      <c r="B43" t="s">
        <v>460</v>
      </c>
      <c r="C43" t="s">
        <v>2362</v>
      </c>
      <c r="D43" t="s">
        <v>1819</v>
      </c>
    </row>
    <row r="44" spans="1:4">
      <c r="A44" s="2" t="s">
        <v>2044</v>
      </c>
      <c r="B44" t="s">
        <v>461</v>
      </c>
      <c r="C44" t="s">
        <v>2363</v>
      </c>
      <c r="D44" s="2" t="s">
        <v>2044</v>
      </c>
    </row>
    <row r="45" spans="1:4">
      <c r="A45" s="2" t="s">
        <v>2045</v>
      </c>
      <c r="B45" t="s">
        <v>462</v>
      </c>
      <c r="C45" t="s">
        <v>2364</v>
      </c>
      <c r="D45" s="2" t="s">
        <v>2045</v>
      </c>
    </row>
    <row r="46" spans="1:4">
      <c r="A46" s="2" t="s">
        <v>377</v>
      </c>
      <c r="B46" t="s">
        <v>463</v>
      </c>
      <c r="C46" t="s">
        <v>2365</v>
      </c>
      <c r="D46" s="2" t="s">
        <v>377</v>
      </c>
    </row>
    <row r="47" spans="1:4">
      <c r="A47" s="2" t="s">
        <v>379</v>
      </c>
      <c r="B47" t="s">
        <v>464</v>
      </c>
      <c r="C47" t="s">
        <v>2366</v>
      </c>
      <c r="D47" s="2" t="s">
        <v>379</v>
      </c>
    </row>
    <row r="48" spans="1:4">
      <c r="A48" s="2" t="s">
        <v>378</v>
      </c>
      <c r="B48" t="s">
        <v>465</v>
      </c>
      <c r="C48" t="s">
        <v>2367</v>
      </c>
      <c r="D48" s="2" t="s">
        <v>378</v>
      </c>
    </row>
    <row r="49" spans="1:4">
      <c r="A49" s="2" t="s">
        <v>380</v>
      </c>
      <c r="B49" t="s">
        <v>466</v>
      </c>
      <c r="C49" t="s">
        <v>2368</v>
      </c>
      <c r="D49" s="2" t="s">
        <v>380</v>
      </c>
    </row>
    <row r="50" spans="1:4">
      <c r="A50" t="s">
        <v>376</v>
      </c>
      <c r="B50" t="s">
        <v>2184</v>
      </c>
      <c r="C50" t="s">
        <v>2369</v>
      </c>
      <c r="D50" t="s">
        <v>376</v>
      </c>
    </row>
    <row r="51" spans="1:4">
      <c r="A51" t="s">
        <v>2042</v>
      </c>
      <c r="B51" t="s">
        <v>1421</v>
      </c>
      <c r="C51" t="s">
        <v>2370</v>
      </c>
      <c r="D51" t="s">
        <v>2042</v>
      </c>
    </row>
    <row r="52" spans="1:4">
      <c r="A52" t="s">
        <v>109</v>
      </c>
      <c r="B52" t="s">
        <v>2185</v>
      </c>
      <c r="C52" t="s">
        <v>2371</v>
      </c>
      <c r="D52" t="s">
        <v>109</v>
      </c>
    </row>
    <row r="53" spans="1:4">
      <c r="A53" t="s">
        <v>111</v>
      </c>
      <c r="B53" t="s">
        <v>1166</v>
      </c>
      <c r="C53" t="s">
        <v>2372</v>
      </c>
      <c r="D53" t="s">
        <v>111</v>
      </c>
    </row>
    <row r="54" spans="1:4">
      <c r="A54" t="s">
        <v>384</v>
      </c>
      <c r="B54" t="s">
        <v>2230</v>
      </c>
      <c r="C54" t="s">
        <v>2373</v>
      </c>
      <c r="D54" t="s">
        <v>384</v>
      </c>
    </row>
    <row r="55" spans="1:4">
      <c r="A55" t="s">
        <v>44</v>
      </c>
      <c r="B55" t="s">
        <v>2231</v>
      </c>
      <c r="C55" t="s">
        <v>2374</v>
      </c>
      <c r="D55" t="s">
        <v>44</v>
      </c>
    </row>
    <row r="56" spans="1:4">
      <c r="A56" t="s">
        <v>139</v>
      </c>
      <c r="B56" t="s">
        <v>2232</v>
      </c>
      <c r="C56" t="s">
        <v>2375</v>
      </c>
      <c r="D56" t="s">
        <v>139</v>
      </c>
    </row>
    <row r="57" spans="1:4">
      <c r="A57" t="s">
        <v>386</v>
      </c>
      <c r="B57" t="s">
        <v>2233</v>
      </c>
      <c r="C57" t="s">
        <v>2376</v>
      </c>
      <c r="D57" t="s">
        <v>386</v>
      </c>
    </row>
    <row r="58" spans="1:4">
      <c r="A58" t="s">
        <v>1519</v>
      </c>
      <c r="B58" t="s">
        <v>1148</v>
      </c>
      <c r="C58" t="s">
        <v>2377</v>
      </c>
      <c r="D58" t="s">
        <v>1519</v>
      </c>
    </row>
    <row r="59" spans="1:4">
      <c r="A59" t="s">
        <v>109</v>
      </c>
      <c r="B59" t="s">
        <v>1149</v>
      </c>
      <c r="C59" t="s">
        <v>612</v>
      </c>
      <c r="D59" t="s">
        <v>109</v>
      </c>
    </row>
    <row r="60" spans="1:4">
      <c r="A60" t="s">
        <v>110</v>
      </c>
      <c r="B60" t="s">
        <v>1167</v>
      </c>
      <c r="C60" t="s">
        <v>613</v>
      </c>
      <c r="D60" t="s">
        <v>110</v>
      </c>
    </row>
    <row r="61" spans="1:4">
      <c r="A61" t="s">
        <v>384</v>
      </c>
      <c r="B61" t="s">
        <v>2230</v>
      </c>
      <c r="C61" t="s">
        <v>614</v>
      </c>
      <c r="D61" t="s">
        <v>384</v>
      </c>
    </row>
    <row r="62" spans="1:4">
      <c r="A62" t="s">
        <v>45</v>
      </c>
      <c r="B62" t="s">
        <v>1168</v>
      </c>
      <c r="C62" t="s">
        <v>615</v>
      </c>
      <c r="D62" t="s">
        <v>45</v>
      </c>
    </row>
    <row r="63" spans="1:4">
      <c r="A63" t="s">
        <v>387</v>
      </c>
      <c r="B63" t="s">
        <v>1169</v>
      </c>
      <c r="C63" t="s">
        <v>616</v>
      </c>
      <c r="D63" t="s">
        <v>387</v>
      </c>
    </row>
    <row r="64" spans="1:4">
      <c r="A64" t="s">
        <v>2038</v>
      </c>
      <c r="C64" t="s">
        <v>617</v>
      </c>
      <c r="D64" t="s">
        <v>2038</v>
      </c>
    </row>
    <row r="65" spans="1:4">
      <c r="A65" t="s">
        <v>2039</v>
      </c>
      <c r="B65" t="s">
        <v>1170</v>
      </c>
      <c r="C65" t="s">
        <v>618</v>
      </c>
      <c r="D65" t="s">
        <v>2039</v>
      </c>
    </row>
    <row r="66" spans="1:4">
      <c r="A66" t="s">
        <v>2040</v>
      </c>
      <c r="B66" t="s">
        <v>1171</v>
      </c>
      <c r="C66" t="s">
        <v>619</v>
      </c>
      <c r="D66" t="s">
        <v>2040</v>
      </c>
    </row>
    <row r="67" spans="1:4">
      <c r="A67" t="s">
        <v>2041</v>
      </c>
      <c r="B67" t="s">
        <v>1172</v>
      </c>
      <c r="C67" t="s">
        <v>620</v>
      </c>
      <c r="D67" t="s">
        <v>2041</v>
      </c>
    </row>
    <row r="68" spans="1:4">
      <c r="A68" t="s">
        <v>2180</v>
      </c>
      <c r="B68" t="s">
        <v>1173</v>
      </c>
      <c r="C68" t="s">
        <v>621</v>
      </c>
      <c r="D68" t="s">
        <v>2180</v>
      </c>
    </row>
    <row r="69" spans="1:4">
      <c r="A69" t="s">
        <v>2181</v>
      </c>
      <c r="B69" t="s">
        <v>1174</v>
      </c>
      <c r="C69" t="s">
        <v>622</v>
      </c>
      <c r="D69" t="s">
        <v>2181</v>
      </c>
    </row>
    <row r="70" spans="1:4">
      <c r="A70" t="s">
        <v>2182</v>
      </c>
      <c r="B70" t="s">
        <v>1419</v>
      </c>
      <c r="C70" t="s">
        <v>623</v>
      </c>
      <c r="D70" t="s">
        <v>2182</v>
      </c>
    </row>
    <row r="71" spans="1:4">
      <c r="A71" t="s">
        <v>2183</v>
      </c>
      <c r="B71" t="s">
        <v>1420</v>
      </c>
      <c r="C71" t="s">
        <v>624</v>
      </c>
      <c r="D71" t="s">
        <v>2183</v>
      </c>
    </row>
    <row r="72" spans="1:4">
      <c r="A72" t="s">
        <v>2049</v>
      </c>
      <c r="B72" t="s">
        <v>1080</v>
      </c>
      <c r="C72" t="s">
        <v>625</v>
      </c>
      <c r="D72" t="s">
        <v>2049</v>
      </c>
    </row>
    <row r="73" spans="1:4">
      <c r="A73" t="s">
        <v>2314</v>
      </c>
      <c r="B73" t="s">
        <v>1082</v>
      </c>
      <c r="C73" t="s">
        <v>626</v>
      </c>
      <c r="D73" t="s">
        <v>2314</v>
      </c>
    </row>
    <row r="74" spans="1:4">
      <c r="A74" t="s">
        <v>2047</v>
      </c>
      <c r="B74" t="s">
        <v>1081</v>
      </c>
      <c r="C74" t="s">
        <v>627</v>
      </c>
      <c r="D74" t="s">
        <v>2047</v>
      </c>
    </row>
    <row r="75" spans="1:4">
      <c r="A75" t="s">
        <v>2271</v>
      </c>
      <c r="B75" t="s">
        <v>1083</v>
      </c>
      <c r="C75" t="s">
        <v>628</v>
      </c>
      <c r="D75" t="s">
        <v>2271</v>
      </c>
    </row>
    <row r="76" spans="1:4">
      <c r="A76" t="s">
        <v>2270</v>
      </c>
      <c r="B76" t="s">
        <v>1084</v>
      </c>
      <c r="C76" t="s">
        <v>2332</v>
      </c>
      <c r="D76" t="s">
        <v>2270</v>
      </c>
    </row>
    <row r="77" spans="1:4">
      <c r="A77" t="s">
        <v>2048</v>
      </c>
      <c r="B77" t="s">
        <v>1085</v>
      </c>
      <c r="C77" t="s">
        <v>1085</v>
      </c>
      <c r="D77" t="s">
        <v>2048</v>
      </c>
    </row>
    <row r="78" spans="1:4">
      <c r="A78" t="s">
        <v>2036</v>
      </c>
      <c r="B78" t="s">
        <v>1086</v>
      </c>
      <c r="C78" t="s">
        <v>2333</v>
      </c>
      <c r="D78" t="s">
        <v>2036</v>
      </c>
    </row>
    <row r="79" spans="1:4">
      <c r="A79" t="s">
        <v>2053</v>
      </c>
      <c r="B79" t="s">
        <v>1087</v>
      </c>
      <c r="C79" t="s">
        <v>2334</v>
      </c>
      <c r="D79" t="s">
        <v>2053</v>
      </c>
    </row>
    <row r="80" spans="1:4">
      <c r="A80" t="s">
        <v>1812</v>
      </c>
      <c r="B80" t="s">
        <v>1088</v>
      </c>
      <c r="C80" t="s">
        <v>2335</v>
      </c>
      <c r="D80" t="s">
        <v>1812</v>
      </c>
    </row>
    <row r="81" spans="1:4">
      <c r="A81" t="s">
        <v>2035</v>
      </c>
      <c r="B81" t="s">
        <v>1089</v>
      </c>
      <c r="C81" t="s">
        <v>2336</v>
      </c>
      <c r="D81" t="s">
        <v>2035</v>
      </c>
    </row>
    <row r="82" spans="1:4">
      <c r="A82" t="s">
        <v>2054</v>
      </c>
      <c r="B82" t="s">
        <v>1090</v>
      </c>
      <c r="C82" t="s">
        <v>2337</v>
      </c>
      <c r="D82" t="s">
        <v>2054</v>
      </c>
    </row>
    <row r="83" spans="1:4">
      <c r="A83" t="s">
        <v>1813</v>
      </c>
      <c r="B83" t="s">
        <v>1091</v>
      </c>
      <c r="C83" t="s">
        <v>2338</v>
      </c>
      <c r="D83" t="s">
        <v>1813</v>
      </c>
    </row>
    <row r="84" spans="1:4">
      <c r="A84" t="s">
        <v>1814</v>
      </c>
      <c r="B84" t="s">
        <v>1092</v>
      </c>
      <c r="C84" t="s">
        <v>2084</v>
      </c>
      <c r="D84" t="s">
        <v>1814</v>
      </c>
    </row>
    <row r="85" spans="1:4">
      <c r="A85" t="s">
        <v>2050</v>
      </c>
      <c r="B85" t="s">
        <v>1093</v>
      </c>
      <c r="C85" t="s">
        <v>2085</v>
      </c>
      <c r="D85" t="s">
        <v>2050</v>
      </c>
    </row>
    <row r="86" spans="1:4">
      <c r="A86" t="s">
        <v>1815</v>
      </c>
      <c r="B86" t="s">
        <v>1094</v>
      </c>
      <c r="C86" t="s">
        <v>2086</v>
      </c>
      <c r="D86" t="s">
        <v>1815</v>
      </c>
    </row>
    <row r="87" spans="1:4">
      <c r="A87" t="s">
        <v>1578</v>
      </c>
      <c r="B87" t="s">
        <v>1095</v>
      </c>
      <c r="C87" t="s">
        <v>2087</v>
      </c>
      <c r="D87" t="s">
        <v>1578</v>
      </c>
    </row>
    <row r="88" spans="1:4">
      <c r="A88" t="s">
        <v>1579</v>
      </c>
      <c r="B88" t="s">
        <v>1096</v>
      </c>
      <c r="C88" t="s">
        <v>2088</v>
      </c>
      <c r="D88" t="s">
        <v>1579</v>
      </c>
    </row>
    <row r="89" spans="1:4">
      <c r="A89" t="s">
        <v>1816</v>
      </c>
      <c r="B89" t="s">
        <v>1097</v>
      </c>
      <c r="C89" t="s">
        <v>2089</v>
      </c>
      <c r="D89" t="s">
        <v>1816</v>
      </c>
    </row>
    <row r="90" spans="1:4">
      <c r="A90" t="s">
        <v>1817</v>
      </c>
      <c r="B90" t="s">
        <v>1098</v>
      </c>
      <c r="C90" t="s">
        <v>2090</v>
      </c>
      <c r="D90" t="s">
        <v>1817</v>
      </c>
    </row>
    <row r="91" spans="1:4">
      <c r="A91" t="s">
        <v>1818</v>
      </c>
      <c r="B91" t="s">
        <v>1099</v>
      </c>
      <c r="C91" t="s">
        <v>2091</v>
      </c>
      <c r="D91" t="s">
        <v>1818</v>
      </c>
    </row>
    <row r="92" spans="1:4">
      <c r="A92" t="s">
        <v>1577</v>
      </c>
      <c r="B92" t="s">
        <v>1100</v>
      </c>
      <c r="C92" t="s">
        <v>2092</v>
      </c>
      <c r="D92" t="s">
        <v>1577</v>
      </c>
    </row>
    <row r="93" spans="1:4">
      <c r="A93" t="s">
        <v>2055</v>
      </c>
      <c r="B93" t="s">
        <v>1101</v>
      </c>
      <c r="C93" t="s">
        <v>2093</v>
      </c>
      <c r="D93" t="s">
        <v>2055</v>
      </c>
    </row>
    <row r="94" spans="1:4">
      <c r="A94" t="s">
        <v>1580</v>
      </c>
      <c r="B94" t="s">
        <v>1102</v>
      </c>
      <c r="C94" t="s">
        <v>2094</v>
      </c>
      <c r="D94" t="s">
        <v>1580</v>
      </c>
    </row>
    <row r="95" spans="1:4">
      <c r="A95" t="s">
        <v>1777</v>
      </c>
      <c r="B95" t="s">
        <v>1103</v>
      </c>
      <c r="C95" t="s">
        <v>2095</v>
      </c>
      <c r="D95" t="s">
        <v>1777</v>
      </c>
    </row>
    <row r="96" spans="1:4">
      <c r="A96" t="s">
        <v>1776</v>
      </c>
      <c r="B96" t="s">
        <v>1104</v>
      </c>
      <c r="C96" t="s">
        <v>2096</v>
      </c>
      <c r="D96" t="s">
        <v>1776</v>
      </c>
    </row>
    <row r="97" spans="1:4">
      <c r="A97" t="s">
        <v>1778</v>
      </c>
      <c r="B97" t="s">
        <v>89</v>
      </c>
      <c r="C97" t="s">
        <v>2097</v>
      </c>
      <c r="D97" t="s">
        <v>1778</v>
      </c>
    </row>
    <row r="98" spans="1:4">
      <c r="A98" t="s">
        <v>1811</v>
      </c>
      <c r="B98" t="s">
        <v>90</v>
      </c>
      <c r="C98" t="s">
        <v>90</v>
      </c>
      <c r="D98" t="s">
        <v>1811</v>
      </c>
    </row>
    <row r="99" spans="1:4">
      <c r="A99" t="s">
        <v>2052</v>
      </c>
      <c r="B99" t="s">
        <v>91</v>
      </c>
      <c r="C99" t="s">
        <v>2098</v>
      </c>
      <c r="D99" t="s">
        <v>2052</v>
      </c>
    </row>
    <row r="100" spans="1:4">
      <c r="A100" t="s">
        <v>1805</v>
      </c>
      <c r="B100" t="s">
        <v>92</v>
      </c>
      <c r="C100" t="s">
        <v>2099</v>
      </c>
      <c r="D100" t="s">
        <v>1805</v>
      </c>
    </row>
    <row r="101" spans="1:4">
      <c r="A101" t="s">
        <v>2037</v>
      </c>
      <c r="B101" t="s">
        <v>93</v>
      </c>
      <c r="C101" t="s">
        <v>2100</v>
      </c>
      <c r="D101" t="s">
        <v>2037</v>
      </c>
    </row>
    <row r="102" spans="1:4">
      <c r="A102" t="s">
        <v>1553</v>
      </c>
      <c r="B102" t="s">
        <v>95</v>
      </c>
      <c r="C102" t="s">
        <v>2101</v>
      </c>
      <c r="D102" t="s">
        <v>1553</v>
      </c>
    </row>
    <row r="103" spans="1:4">
      <c r="A103" t="s">
        <v>1806</v>
      </c>
      <c r="B103" t="s">
        <v>94</v>
      </c>
      <c r="C103" t="s">
        <v>2102</v>
      </c>
      <c r="D103" t="s">
        <v>1806</v>
      </c>
    </row>
    <row r="104" spans="1:4">
      <c r="A104" t="s">
        <v>1552</v>
      </c>
      <c r="B104" t="s">
        <v>96</v>
      </c>
      <c r="C104" t="s">
        <v>2103</v>
      </c>
      <c r="D104" t="s">
        <v>1552</v>
      </c>
    </row>
    <row r="105" spans="1:4">
      <c r="A105" t="s">
        <v>1550</v>
      </c>
      <c r="B105" t="s">
        <v>97</v>
      </c>
      <c r="C105" t="s">
        <v>2104</v>
      </c>
      <c r="D105" t="s">
        <v>1550</v>
      </c>
    </row>
    <row r="106" spans="1:4">
      <c r="A106" t="s">
        <v>1807</v>
      </c>
      <c r="B106" t="s">
        <v>98</v>
      </c>
      <c r="C106" t="s">
        <v>2105</v>
      </c>
      <c r="D106" t="s">
        <v>1807</v>
      </c>
    </row>
    <row r="107" spans="1:4">
      <c r="A107" t="s">
        <v>1779</v>
      </c>
      <c r="B107" t="s">
        <v>99</v>
      </c>
      <c r="C107" t="s">
        <v>2106</v>
      </c>
      <c r="D107" t="s">
        <v>1779</v>
      </c>
    </row>
    <row r="108" spans="1:4">
      <c r="A108" t="s">
        <v>51</v>
      </c>
      <c r="B108" t="s">
        <v>100</v>
      </c>
      <c r="C108" t="s">
        <v>2107</v>
      </c>
      <c r="D108" t="s">
        <v>51</v>
      </c>
    </row>
    <row r="109" spans="1:4">
      <c r="A109" t="s">
        <v>59</v>
      </c>
      <c r="B109" t="s">
        <v>101</v>
      </c>
      <c r="C109" t="s">
        <v>2108</v>
      </c>
      <c r="D109" t="s">
        <v>59</v>
      </c>
    </row>
    <row r="110" spans="1:4">
      <c r="A110" t="s">
        <v>53</v>
      </c>
      <c r="B110" t="s">
        <v>102</v>
      </c>
      <c r="C110" t="s">
        <v>2109</v>
      </c>
      <c r="D110" t="s">
        <v>53</v>
      </c>
    </row>
    <row r="111" spans="1:4">
      <c r="A111" t="s">
        <v>52</v>
      </c>
      <c r="B111" t="s">
        <v>103</v>
      </c>
      <c r="C111" t="s">
        <v>2110</v>
      </c>
      <c r="D111" t="s">
        <v>52</v>
      </c>
    </row>
    <row r="112" spans="1:4">
      <c r="A112" t="s">
        <v>54</v>
      </c>
      <c r="B112" t="s">
        <v>104</v>
      </c>
      <c r="C112" t="s">
        <v>2378</v>
      </c>
      <c r="D112" t="s">
        <v>54</v>
      </c>
    </row>
    <row r="113" spans="1:4">
      <c r="A113" t="s">
        <v>55</v>
      </c>
      <c r="B113" t="s">
        <v>105</v>
      </c>
      <c r="C113" t="s">
        <v>2379</v>
      </c>
      <c r="D113" t="s">
        <v>55</v>
      </c>
    </row>
    <row r="114" spans="1:4">
      <c r="A114" t="s">
        <v>56</v>
      </c>
      <c r="B114" t="s">
        <v>106</v>
      </c>
      <c r="C114" t="s">
        <v>2380</v>
      </c>
      <c r="D114" t="s">
        <v>56</v>
      </c>
    </row>
    <row r="115" spans="1:4">
      <c r="A115" t="s">
        <v>57</v>
      </c>
      <c r="B115" t="s">
        <v>112</v>
      </c>
      <c r="C115" t="s">
        <v>2381</v>
      </c>
      <c r="D115" t="s">
        <v>57</v>
      </c>
    </row>
    <row r="116" spans="1:4">
      <c r="A116" t="s">
        <v>58</v>
      </c>
      <c r="B116" t="s">
        <v>113</v>
      </c>
      <c r="C116" t="s">
        <v>2382</v>
      </c>
      <c r="D116" t="s">
        <v>58</v>
      </c>
    </row>
    <row r="117" spans="1:4">
      <c r="A117" t="s">
        <v>1551</v>
      </c>
      <c r="B117" t="s">
        <v>114</v>
      </c>
      <c r="C117" t="s">
        <v>2383</v>
      </c>
      <c r="D117" t="s">
        <v>1551</v>
      </c>
    </row>
    <row r="118" spans="1:4">
      <c r="A118" t="s">
        <v>2272</v>
      </c>
      <c r="B118" t="s">
        <v>115</v>
      </c>
      <c r="C118" t="s">
        <v>2384</v>
      </c>
      <c r="D118" t="s">
        <v>2272</v>
      </c>
    </row>
    <row r="119" spans="1:4">
      <c r="A119" t="s">
        <v>2051</v>
      </c>
      <c r="B119" t="s">
        <v>1125</v>
      </c>
      <c r="C119" t="s">
        <v>2385</v>
      </c>
      <c r="D119" t="s">
        <v>2051</v>
      </c>
    </row>
    <row r="120" spans="1:4">
      <c r="A120" t="s">
        <v>1808</v>
      </c>
      <c r="B120" t="s">
        <v>117</v>
      </c>
      <c r="C120" t="s">
        <v>2386</v>
      </c>
      <c r="D120" t="s">
        <v>1808</v>
      </c>
    </row>
    <row r="121" spans="1:4">
      <c r="A121" t="s">
        <v>1809</v>
      </c>
      <c r="B121" t="s">
        <v>116</v>
      </c>
      <c r="C121" t="s">
        <v>2387</v>
      </c>
      <c r="D121" t="s">
        <v>1809</v>
      </c>
    </row>
    <row r="122" spans="1:4">
      <c r="A122" t="s">
        <v>1554</v>
      </c>
      <c r="B122" t="s">
        <v>1657</v>
      </c>
      <c r="C122" t="s">
        <v>2388</v>
      </c>
      <c r="D122" t="s">
        <v>1554</v>
      </c>
    </row>
    <row r="123" spans="1:4">
      <c r="A123" t="s">
        <v>1810</v>
      </c>
      <c r="B123" t="s">
        <v>1658</v>
      </c>
      <c r="C123" t="s">
        <v>2389</v>
      </c>
      <c r="D123" t="s">
        <v>1810</v>
      </c>
    </row>
    <row r="124" spans="1:4">
      <c r="A124" t="s">
        <v>1580</v>
      </c>
      <c r="B124" t="s">
        <v>1102</v>
      </c>
      <c r="C124" t="s">
        <v>2390</v>
      </c>
      <c r="D124" t="s">
        <v>1580</v>
      </c>
    </row>
    <row r="125" spans="1:4">
      <c r="A125" t="s">
        <v>1777</v>
      </c>
      <c r="B125" t="s">
        <v>1103</v>
      </c>
      <c r="C125" t="s">
        <v>2391</v>
      </c>
      <c r="D125" t="s">
        <v>1777</v>
      </c>
    </row>
    <row r="126" spans="1:4">
      <c r="A126" t="s">
        <v>1581</v>
      </c>
      <c r="B126" t="s">
        <v>1659</v>
      </c>
      <c r="C126" t="s">
        <v>2392</v>
      </c>
      <c r="D126" t="s">
        <v>1581</v>
      </c>
    </row>
    <row r="127" spans="1:4">
      <c r="A127" t="s">
        <v>60</v>
      </c>
      <c r="B127" t="s">
        <v>1660</v>
      </c>
      <c r="C127" t="s">
        <v>412</v>
      </c>
      <c r="D127" t="s">
        <v>60</v>
      </c>
    </row>
    <row r="128" spans="1:4">
      <c r="A128" t="s">
        <v>61</v>
      </c>
      <c r="B128" t="s">
        <v>1661</v>
      </c>
      <c r="C128" t="s">
        <v>176</v>
      </c>
      <c r="D128" t="s">
        <v>61</v>
      </c>
    </row>
    <row r="129" spans="1:4">
      <c r="A129" t="s">
        <v>2273</v>
      </c>
      <c r="B129" t="s">
        <v>1662</v>
      </c>
      <c r="C129" t="s">
        <v>177</v>
      </c>
      <c r="D129" t="s">
        <v>2273</v>
      </c>
    </row>
    <row r="130" spans="1:4">
      <c r="A130" t="s">
        <v>2279</v>
      </c>
      <c r="B130" t="s">
        <v>1663</v>
      </c>
      <c r="C130" t="s">
        <v>178</v>
      </c>
      <c r="D130" t="s">
        <v>2279</v>
      </c>
    </row>
    <row r="131" spans="1:4">
      <c r="A131" t="s">
        <v>2281</v>
      </c>
      <c r="B131" t="s">
        <v>1664</v>
      </c>
      <c r="C131" t="s">
        <v>179</v>
      </c>
      <c r="D131" t="s">
        <v>2281</v>
      </c>
    </row>
    <row r="132" spans="1:4">
      <c r="A132" t="s">
        <v>2323</v>
      </c>
      <c r="B132" t="s">
        <v>1665</v>
      </c>
      <c r="C132" t="s">
        <v>180</v>
      </c>
      <c r="D132" t="s">
        <v>2323</v>
      </c>
    </row>
    <row r="133" spans="1:4">
      <c r="A133" t="s">
        <v>2282</v>
      </c>
      <c r="B133" t="s">
        <v>1666</v>
      </c>
      <c r="C133" t="s">
        <v>181</v>
      </c>
      <c r="D133" t="s">
        <v>2282</v>
      </c>
    </row>
    <row r="134" spans="1:4">
      <c r="A134" t="s">
        <v>2276</v>
      </c>
      <c r="B134" t="s">
        <v>1667</v>
      </c>
      <c r="C134" t="s">
        <v>182</v>
      </c>
      <c r="D134" t="s">
        <v>2276</v>
      </c>
    </row>
    <row r="135" spans="1:4">
      <c r="A135" t="s">
        <v>2277</v>
      </c>
      <c r="B135" t="s">
        <v>1668</v>
      </c>
      <c r="C135" t="s">
        <v>183</v>
      </c>
      <c r="D135" t="s">
        <v>2277</v>
      </c>
    </row>
    <row r="136" spans="1:4">
      <c r="A136" t="s">
        <v>2275</v>
      </c>
      <c r="B136" t="s">
        <v>1669</v>
      </c>
      <c r="C136" t="s">
        <v>184</v>
      </c>
      <c r="D136" t="s">
        <v>2275</v>
      </c>
    </row>
    <row r="137" spans="1:4">
      <c r="A137" t="s">
        <v>2280</v>
      </c>
      <c r="B137" t="s">
        <v>1670</v>
      </c>
      <c r="C137" t="s">
        <v>185</v>
      </c>
      <c r="D137" t="s">
        <v>2280</v>
      </c>
    </row>
    <row r="138" spans="1:4">
      <c r="A138" t="s">
        <v>2278</v>
      </c>
      <c r="B138" t="s">
        <v>1671</v>
      </c>
      <c r="C138" t="s">
        <v>186</v>
      </c>
      <c r="D138" t="s">
        <v>2278</v>
      </c>
    </row>
    <row r="139" spans="1:4">
      <c r="A139" t="s">
        <v>62</v>
      </c>
      <c r="B139" t="s">
        <v>1672</v>
      </c>
      <c r="C139" t="s">
        <v>187</v>
      </c>
      <c r="D139" t="s">
        <v>62</v>
      </c>
    </row>
    <row r="140" spans="1:4">
      <c r="A140" t="s">
        <v>1727</v>
      </c>
      <c r="B140" t="s">
        <v>1673</v>
      </c>
      <c r="C140" t="s">
        <v>188</v>
      </c>
      <c r="D140" t="s">
        <v>1727</v>
      </c>
    </row>
    <row r="141" spans="1:4">
      <c r="A141" t="s">
        <v>1728</v>
      </c>
      <c r="B141" t="s">
        <v>1729</v>
      </c>
      <c r="C141" t="s">
        <v>189</v>
      </c>
      <c r="D141" t="s">
        <v>1728</v>
      </c>
    </row>
    <row r="142" spans="1:4">
      <c r="A142" t="s">
        <v>2311</v>
      </c>
      <c r="B142" t="s">
        <v>1674</v>
      </c>
      <c r="C142" t="s">
        <v>190</v>
      </c>
      <c r="D142" t="s">
        <v>2311</v>
      </c>
    </row>
    <row r="143" spans="1:4">
      <c r="A143" t="s">
        <v>2312</v>
      </c>
      <c r="B143" t="s">
        <v>1675</v>
      </c>
      <c r="C143" t="s">
        <v>191</v>
      </c>
      <c r="D143" t="s">
        <v>2312</v>
      </c>
    </row>
    <row r="144" spans="1:4">
      <c r="A144" t="s">
        <v>2315</v>
      </c>
      <c r="B144" t="s">
        <v>1676</v>
      </c>
      <c r="C144" t="s">
        <v>192</v>
      </c>
      <c r="D144" t="s">
        <v>2315</v>
      </c>
    </row>
    <row r="145" spans="1:4">
      <c r="A145" t="s">
        <v>2313</v>
      </c>
      <c r="B145" t="s">
        <v>1677</v>
      </c>
      <c r="C145" t="s">
        <v>193</v>
      </c>
      <c r="D145" t="s">
        <v>2313</v>
      </c>
    </row>
    <row r="146" spans="1:4">
      <c r="A146" t="s">
        <v>2317</v>
      </c>
      <c r="B146" t="s">
        <v>1678</v>
      </c>
      <c r="C146" t="s">
        <v>194</v>
      </c>
      <c r="D146" t="s">
        <v>2317</v>
      </c>
    </row>
    <row r="147" spans="1:4">
      <c r="A147" t="s">
        <v>2320</v>
      </c>
      <c r="B147" t="s">
        <v>1679</v>
      </c>
      <c r="C147" t="s">
        <v>195</v>
      </c>
      <c r="D147" t="s">
        <v>2320</v>
      </c>
    </row>
    <row r="148" spans="1:4">
      <c r="A148" t="s">
        <v>2321</v>
      </c>
      <c r="B148" t="s">
        <v>1680</v>
      </c>
      <c r="C148" t="s">
        <v>196</v>
      </c>
      <c r="D148" t="s">
        <v>2321</v>
      </c>
    </row>
    <row r="149" spans="1:4">
      <c r="A149" t="s">
        <v>2318</v>
      </c>
      <c r="B149" t="s">
        <v>1681</v>
      </c>
      <c r="C149" t="s">
        <v>197</v>
      </c>
      <c r="D149" t="s">
        <v>2318</v>
      </c>
    </row>
    <row r="150" spans="1:4">
      <c r="A150" t="s">
        <v>2319</v>
      </c>
      <c r="B150" t="s">
        <v>1682</v>
      </c>
      <c r="C150" t="s">
        <v>198</v>
      </c>
      <c r="D150" t="s">
        <v>2319</v>
      </c>
    </row>
    <row r="151" spans="1:4">
      <c r="A151" t="s">
        <v>63</v>
      </c>
      <c r="B151" t="s">
        <v>1683</v>
      </c>
      <c r="C151" t="s">
        <v>199</v>
      </c>
      <c r="D151" t="s">
        <v>63</v>
      </c>
    </row>
    <row r="152" spans="1:4">
      <c r="A152" t="s">
        <v>2324</v>
      </c>
      <c r="B152" t="s">
        <v>1684</v>
      </c>
      <c r="C152" t="s">
        <v>1895</v>
      </c>
      <c r="D152" t="s">
        <v>2324</v>
      </c>
    </row>
    <row r="153" spans="1:4">
      <c r="A153" t="s">
        <v>2325</v>
      </c>
      <c r="B153" t="s">
        <v>1685</v>
      </c>
      <c r="C153" t="s">
        <v>1896</v>
      </c>
      <c r="D153" t="s">
        <v>2325</v>
      </c>
    </row>
    <row r="154" spans="1:4">
      <c r="A154" t="s">
        <v>2326</v>
      </c>
      <c r="B154" t="s">
        <v>1686</v>
      </c>
      <c r="C154" t="s">
        <v>1897</v>
      </c>
      <c r="D154" t="s">
        <v>2326</v>
      </c>
    </row>
    <row r="155" spans="1:4">
      <c r="A155" t="s">
        <v>1833</v>
      </c>
      <c r="B155" t="s">
        <v>763</v>
      </c>
      <c r="C155" t="s">
        <v>1898</v>
      </c>
      <c r="D155" t="s">
        <v>1833</v>
      </c>
    </row>
    <row r="156" spans="1:4">
      <c r="A156" t="s">
        <v>1836</v>
      </c>
      <c r="B156" t="s">
        <v>1113</v>
      </c>
      <c r="C156" t="s">
        <v>1899</v>
      </c>
      <c r="D156" t="s">
        <v>1836</v>
      </c>
    </row>
    <row r="157" spans="1:4">
      <c r="A157" t="s">
        <v>2076</v>
      </c>
      <c r="B157" t="s">
        <v>764</v>
      </c>
      <c r="C157" t="s">
        <v>1900</v>
      </c>
      <c r="D157" t="s">
        <v>2076</v>
      </c>
    </row>
    <row r="158" spans="1:4">
      <c r="A158" t="s">
        <v>2077</v>
      </c>
      <c r="B158" t="s">
        <v>1114</v>
      </c>
      <c r="C158" t="s">
        <v>1901</v>
      </c>
      <c r="D158" t="s">
        <v>2077</v>
      </c>
    </row>
    <row r="159" spans="1:4">
      <c r="A159" t="s">
        <v>2079</v>
      </c>
      <c r="B159" t="s">
        <v>1115</v>
      </c>
      <c r="C159" t="s">
        <v>1902</v>
      </c>
      <c r="D159" t="s">
        <v>2079</v>
      </c>
    </row>
    <row r="160" spans="1:4">
      <c r="A160" t="s">
        <v>2080</v>
      </c>
      <c r="B160" t="s">
        <v>748</v>
      </c>
      <c r="C160" t="s">
        <v>1327</v>
      </c>
      <c r="D160" t="s">
        <v>2080</v>
      </c>
    </row>
    <row r="161" spans="1:4">
      <c r="A161" t="s">
        <v>1834</v>
      </c>
      <c r="B161" t="s">
        <v>1116</v>
      </c>
      <c r="C161" t="s">
        <v>1328</v>
      </c>
      <c r="D161" t="s">
        <v>1834</v>
      </c>
    </row>
    <row r="162" spans="1:4">
      <c r="A162" t="s">
        <v>1929</v>
      </c>
      <c r="B162" t="s">
        <v>1930</v>
      </c>
      <c r="C162" t="s">
        <v>1329</v>
      </c>
      <c r="D162" t="s">
        <v>1929</v>
      </c>
    </row>
    <row r="163" spans="1:4">
      <c r="A163" t="s">
        <v>2082</v>
      </c>
      <c r="B163" t="s">
        <v>1118</v>
      </c>
      <c r="C163" t="s">
        <v>1330</v>
      </c>
      <c r="D163" t="s">
        <v>2082</v>
      </c>
    </row>
    <row r="164" spans="1:4">
      <c r="A164" t="s">
        <v>1829</v>
      </c>
      <c r="B164" t="s">
        <v>1119</v>
      </c>
      <c r="C164" t="s">
        <v>1331</v>
      </c>
      <c r="D164" t="s">
        <v>1829</v>
      </c>
    </row>
    <row r="165" spans="1:4">
      <c r="A165" t="s">
        <v>1831</v>
      </c>
      <c r="B165" t="s">
        <v>1121</v>
      </c>
      <c r="C165" t="s">
        <v>1332</v>
      </c>
      <c r="D165" t="s">
        <v>1831</v>
      </c>
    </row>
    <row r="166" spans="1:4">
      <c r="A166" t="s">
        <v>1843</v>
      </c>
      <c r="B166" t="s">
        <v>1122</v>
      </c>
      <c r="C166" t="s">
        <v>1333</v>
      </c>
      <c r="D166" t="s">
        <v>1843</v>
      </c>
    </row>
    <row r="167" spans="1:4">
      <c r="A167" t="s">
        <v>1839</v>
      </c>
      <c r="B167" t="s">
        <v>1123</v>
      </c>
      <c r="C167" t="s">
        <v>1334</v>
      </c>
      <c r="D167" t="s">
        <v>1839</v>
      </c>
    </row>
    <row r="168" spans="1:4">
      <c r="A168" t="s">
        <v>1830</v>
      </c>
      <c r="B168" t="s">
        <v>1124</v>
      </c>
      <c r="C168" t="s">
        <v>1335</v>
      </c>
      <c r="D168" t="s">
        <v>1830</v>
      </c>
    </row>
    <row r="169" spans="1:4">
      <c r="A169" t="s">
        <v>1832</v>
      </c>
      <c r="B169" t="s">
        <v>1658</v>
      </c>
      <c r="C169" t="s">
        <v>2389</v>
      </c>
      <c r="D169" t="s">
        <v>1832</v>
      </c>
    </row>
    <row r="170" spans="1:4">
      <c r="A170" t="s">
        <v>1837</v>
      </c>
      <c r="B170" t="s">
        <v>741</v>
      </c>
      <c r="C170" t="s">
        <v>220</v>
      </c>
      <c r="D170" t="s">
        <v>1837</v>
      </c>
    </row>
    <row r="171" spans="1:4">
      <c r="A171" t="s">
        <v>1838</v>
      </c>
      <c r="B171" t="s">
        <v>742</v>
      </c>
      <c r="C171" t="s">
        <v>221</v>
      </c>
      <c r="D171" t="s">
        <v>1838</v>
      </c>
    </row>
    <row r="172" spans="1:4">
      <c r="A172" t="s">
        <v>1840</v>
      </c>
      <c r="B172" t="s">
        <v>743</v>
      </c>
      <c r="C172" t="s">
        <v>222</v>
      </c>
      <c r="D172" t="s">
        <v>1840</v>
      </c>
    </row>
    <row r="173" spans="1:4">
      <c r="A173" t="s">
        <v>1841</v>
      </c>
      <c r="B173" t="s">
        <v>749</v>
      </c>
      <c r="C173" t="s">
        <v>223</v>
      </c>
      <c r="D173" t="s">
        <v>1841</v>
      </c>
    </row>
    <row r="174" spans="1:4">
      <c r="A174" t="s">
        <v>1842</v>
      </c>
      <c r="B174" t="s">
        <v>744</v>
      </c>
      <c r="C174" t="s">
        <v>224</v>
      </c>
      <c r="D174" t="s">
        <v>1842</v>
      </c>
    </row>
    <row r="175" spans="1:4">
      <c r="A175" t="s">
        <v>2078</v>
      </c>
      <c r="B175" t="s">
        <v>745</v>
      </c>
      <c r="C175" t="s">
        <v>225</v>
      </c>
      <c r="D175" t="s">
        <v>2078</v>
      </c>
    </row>
    <row r="176" spans="1:4">
      <c r="A176" t="s">
        <v>2081</v>
      </c>
      <c r="B176" t="s">
        <v>745</v>
      </c>
      <c r="C176" t="s">
        <v>226</v>
      </c>
      <c r="D176" t="s">
        <v>2081</v>
      </c>
    </row>
    <row r="177" spans="1:4">
      <c r="A177" t="s">
        <v>1845</v>
      </c>
      <c r="B177" t="s">
        <v>746</v>
      </c>
      <c r="C177" t="s">
        <v>227</v>
      </c>
      <c r="D177" t="s">
        <v>1845</v>
      </c>
    </row>
    <row r="178" spans="1:4">
      <c r="A178" t="s">
        <v>1833</v>
      </c>
      <c r="B178" t="s">
        <v>747</v>
      </c>
      <c r="C178" t="s">
        <v>228</v>
      </c>
      <c r="D178" t="s">
        <v>1833</v>
      </c>
    </row>
    <row r="179" spans="1:4">
      <c r="A179" t="s">
        <v>1835</v>
      </c>
      <c r="B179" t="s">
        <v>1117</v>
      </c>
      <c r="C179" t="s">
        <v>229</v>
      </c>
      <c r="D179" t="s">
        <v>1835</v>
      </c>
    </row>
    <row r="180" spans="1:4">
      <c r="A180" t="s">
        <v>2082</v>
      </c>
      <c r="B180" t="s">
        <v>1118</v>
      </c>
      <c r="C180" t="s">
        <v>1330</v>
      </c>
      <c r="D180" t="s">
        <v>2082</v>
      </c>
    </row>
    <row r="181" spans="1:4">
      <c r="A181" t="s">
        <v>1829</v>
      </c>
      <c r="B181" t="s">
        <v>1119</v>
      </c>
      <c r="C181" t="s">
        <v>230</v>
      </c>
      <c r="D181" t="s">
        <v>1829</v>
      </c>
    </row>
    <row r="182" spans="1:4">
      <c r="A182" t="s">
        <v>1846</v>
      </c>
      <c r="B182" t="s">
        <v>1120</v>
      </c>
      <c r="C182" t="s">
        <v>231</v>
      </c>
      <c r="D182" t="s">
        <v>1846</v>
      </c>
    </row>
    <row r="183" spans="1:4">
      <c r="A183" t="s">
        <v>1830</v>
      </c>
      <c r="B183" t="s">
        <v>1124</v>
      </c>
      <c r="C183" t="s">
        <v>1335</v>
      </c>
      <c r="D183" t="s">
        <v>1830</v>
      </c>
    </row>
    <row r="184" spans="1:4">
      <c r="A184" t="s">
        <v>2080</v>
      </c>
      <c r="B184" t="s">
        <v>748</v>
      </c>
      <c r="C184" t="s">
        <v>1327</v>
      </c>
      <c r="D184" t="s">
        <v>2080</v>
      </c>
    </row>
    <row r="185" spans="1:4">
      <c r="A185" t="s">
        <v>1832</v>
      </c>
      <c r="B185" t="s">
        <v>1658</v>
      </c>
      <c r="C185" t="s">
        <v>2389</v>
      </c>
      <c r="D185" t="s">
        <v>1832</v>
      </c>
    </row>
    <row r="186" spans="1:4">
      <c r="A186" t="s">
        <v>1838</v>
      </c>
      <c r="B186" t="s">
        <v>742</v>
      </c>
      <c r="C186" t="s">
        <v>221</v>
      </c>
      <c r="D186" t="s">
        <v>1838</v>
      </c>
    </row>
    <row r="187" spans="1:4">
      <c r="A187" t="s">
        <v>1847</v>
      </c>
      <c r="B187" t="s">
        <v>743</v>
      </c>
      <c r="C187" t="s">
        <v>232</v>
      </c>
      <c r="D187" t="s">
        <v>1847</v>
      </c>
    </row>
    <row r="188" spans="1:4">
      <c r="A188" t="s">
        <v>1848</v>
      </c>
      <c r="B188" t="s">
        <v>749</v>
      </c>
      <c r="C188" t="s">
        <v>233</v>
      </c>
      <c r="D188" t="s">
        <v>1848</v>
      </c>
    </row>
    <row r="189" spans="1:4">
      <c r="A189" t="s">
        <v>1849</v>
      </c>
      <c r="B189" t="s">
        <v>744</v>
      </c>
      <c r="C189" t="s">
        <v>234</v>
      </c>
      <c r="D189" t="s">
        <v>1849</v>
      </c>
    </row>
    <row r="190" spans="1:4">
      <c r="A190" t="s">
        <v>1844</v>
      </c>
      <c r="B190" t="s">
        <v>750</v>
      </c>
      <c r="C190" t="s">
        <v>469</v>
      </c>
      <c r="D190" t="s">
        <v>1844</v>
      </c>
    </row>
    <row r="191" spans="1:4">
      <c r="A191" t="s">
        <v>1850</v>
      </c>
      <c r="B191" t="s">
        <v>751</v>
      </c>
      <c r="C191" t="s">
        <v>470</v>
      </c>
      <c r="D191" t="s">
        <v>1850</v>
      </c>
    </row>
    <row r="192" spans="1:4">
      <c r="A192" t="s">
        <v>1851</v>
      </c>
      <c r="B192" t="s">
        <v>752</v>
      </c>
      <c r="C192" t="s">
        <v>471</v>
      </c>
      <c r="D192" t="s">
        <v>1851</v>
      </c>
    </row>
    <row r="193" spans="1:4">
      <c r="A193" t="s">
        <v>64</v>
      </c>
      <c r="B193" t="s">
        <v>753</v>
      </c>
      <c r="C193" t="s">
        <v>753</v>
      </c>
      <c r="D193" t="s">
        <v>64</v>
      </c>
    </row>
    <row r="194" spans="1:4">
      <c r="A194" t="s">
        <v>939</v>
      </c>
      <c r="B194" t="s">
        <v>754</v>
      </c>
      <c r="C194" t="s">
        <v>472</v>
      </c>
      <c r="D194" t="s">
        <v>939</v>
      </c>
    </row>
    <row r="195" spans="1:4">
      <c r="A195" t="s">
        <v>650</v>
      </c>
      <c r="B195" t="s">
        <v>755</v>
      </c>
      <c r="C195" t="s">
        <v>473</v>
      </c>
      <c r="D195" t="s">
        <v>650</v>
      </c>
    </row>
    <row r="196" spans="1:4">
      <c r="A196" t="s">
        <v>940</v>
      </c>
      <c r="B196" t="s">
        <v>756</v>
      </c>
      <c r="C196" t="s">
        <v>474</v>
      </c>
      <c r="D196" t="s">
        <v>940</v>
      </c>
    </row>
    <row r="197" spans="1:4">
      <c r="A197" t="s">
        <v>938</v>
      </c>
      <c r="B197" t="s">
        <v>757</v>
      </c>
      <c r="C197" t="s">
        <v>475</v>
      </c>
      <c r="D197" t="s">
        <v>938</v>
      </c>
    </row>
    <row r="198" spans="1:4">
      <c r="A198" t="s">
        <v>941</v>
      </c>
      <c r="B198" t="s">
        <v>1120</v>
      </c>
      <c r="C198" t="s">
        <v>476</v>
      </c>
      <c r="D198" t="s">
        <v>941</v>
      </c>
    </row>
    <row r="199" spans="1:4">
      <c r="A199" t="s">
        <v>944</v>
      </c>
      <c r="B199" t="s">
        <v>758</v>
      </c>
      <c r="C199" t="s">
        <v>477</v>
      </c>
      <c r="D199" t="s">
        <v>944</v>
      </c>
    </row>
    <row r="200" spans="1:4">
      <c r="A200" t="s">
        <v>945</v>
      </c>
      <c r="B200" t="s">
        <v>761</v>
      </c>
      <c r="C200" t="s">
        <v>478</v>
      </c>
      <c r="D200" t="s">
        <v>945</v>
      </c>
    </row>
    <row r="201" spans="1:4">
      <c r="A201" t="s">
        <v>1995</v>
      </c>
      <c r="B201" t="s">
        <v>762</v>
      </c>
      <c r="C201" t="s">
        <v>479</v>
      </c>
      <c r="D201" t="s">
        <v>1995</v>
      </c>
    </row>
    <row r="202" spans="1:4">
      <c r="A202" t="s">
        <v>1996</v>
      </c>
      <c r="B202" t="s">
        <v>1483</v>
      </c>
      <c r="C202" t="s">
        <v>251</v>
      </c>
      <c r="D202" t="s">
        <v>1996</v>
      </c>
    </row>
    <row r="203" spans="1:4">
      <c r="A203" t="s">
        <v>947</v>
      </c>
      <c r="B203" t="s">
        <v>1090</v>
      </c>
      <c r="C203" t="s">
        <v>252</v>
      </c>
      <c r="D203" t="s">
        <v>947</v>
      </c>
    </row>
    <row r="204" spans="1:4">
      <c r="A204" t="s">
        <v>948</v>
      </c>
      <c r="B204" t="s">
        <v>1484</v>
      </c>
      <c r="C204" t="s">
        <v>253</v>
      </c>
      <c r="D204" t="s">
        <v>948</v>
      </c>
    </row>
    <row r="205" spans="1:4">
      <c r="A205" t="s">
        <v>949</v>
      </c>
      <c r="B205" t="s">
        <v>1486</v>
      </c>
      <c r="C205" t="s">
        <v>254</v>
      </c>
      <c r="D205" t="s">
        <v>949</v>
      </c>
    </row>
    <row r="206" spans="1:4">
      <c r="A206" t="s">
        <v>950</v>
      </c>
      <c r="B206" t="s">
        <v>1485</v>
      </c>
      <c r="C206" t="s">
        <v>255</v>
      </c>
      <c r="D206" t="s">
        <v>950</v>
      </c>
    </row>
    <row r="207" spans="1:4">
      <c r="A207" t="s">
        <v>946</v>
      </c>
      <c r="B207" t="s">
        <v>1487</v>
      </c>
      <c r="C207" t="s">
        <v>256</v>
      </c>
      <c r="D207" t="s">
        <v>946</v>
      </c>
    </row>
    <row r="208" spans="1:4">
      <c r="A208" t="s">
        <v>951</v>
      </c>
      <c r="B208" t="s">
        <v>1488</v>
      </c>
      <c r="C208" t="s">
        <v>257</v>
      </c>
      <c r="D208" t="s">
        <v>951</v>
      </c>
    </row>
    <row r="209" spans="1:4">
      <c r="A209" t="s">
        <v>952</v>
      </c>
      <c r="B209" t="s">
        <v>1489</v>
      </c>
      <c r="C209" t="s">
        <v>258</v>
      </c>
      <c r="D209" t="s">
        <v>952</v>
      </c>
    </row>
    <row r="210" spans="1:4">
      <c r="A210" t="s">
        <v>953</v>
      </c>
      <c r="B210" t="s">
        <v>1490</v>
      </c>
      <c r="C210" t="s">
        <v>259</v>
      </c>
      <c r="D210" t="s">
        <v>953</v>
      </c>
    </row>
    <row r="211" spans="1:4">
      <c r="A211" t="s">
        <v>954</v>
      </c>
      <c r="B211" t="s">
        <v>1491</v>
      </c>
      <c r="C211" t="s">
        <v>260</v>
      </c>
      <c r="D211" t="s">
        <v>954</v>
      </c>
    </row>
    <row r="212" spans="1:4">
      <c r="A212" t="s">
        <v>2002</v>
      </c>
      <c r="B212" t="s">
        <v>1492</v>
      </c>
      <c r="C212" t="s">
        <v>261</v>
      </c>
      <c r="D212" t="s">
        <v>2002</v>
      </c>
    </row>
    <row r="213" spans="1:4">
      <c r="A213" t="s">
        <v>1999</v>
      </c>
      <c r="B213" t="s">
        <v>1493</v>
      </c>
      <c r="C213" t="s">
        <v>262</v>
      </c>
      <c r="D213" t="s">
        <v>1999</v>
      </c>
    </row>
    <row r="214" spans="1:4">
      <c r="A214" t="s">
        <v>2003</v>
      </c>
      <c r="B214" t="s">
        <v>1497</v>
      </c>
      <c r="C214" t="s">
        <v>263</v>
      </c>
      <c r="D214" t="s">
        <v>2003</v>
      </c>
    </row>
    <row r="215" spans="1:4">
      <c r="A215" t="s">
        <v>2004</v>
      </c>
      <c r="B215" t="s">
        <v>1496</v>
      </c>
      <c r="C215" t="s">
        <v>264</v>
      </c>
      <c r="D215" t="s">
        <v>2004</v>
      </c>
    </row>
    <row r="216" spans="1:4">
      <c r="A216" t="s">
        <v>948</v>
      </c>
      <c r="B216" t="s">
        <v>1484</v>
      </c>
      <c r="C216" t="s">
        <v>253</v>
      </c>
      <c r="D216" t="s">
        <v>1997</v>
      </c>
    </row>
    <row r="217" spans="1:4">
      <c r="A217" t="s">
        <v>1998</v>
      </c>
      <c r="B217" t="s">
        <v>1486</v>
      </c>
      <c r="C217" t="s">
        <v>265</v>
      </c>
      <c r="D217" t="s">
        <v>1998</v>
      </c>
    </row>
    <row r="218" spans="1:4">
      <c r="A218" t="s">
        <v>950</v>
      </c>
      <c r="B218" t="s">
        <v>1485</v>
      </c>
      <c r="C218" t="s">
        <v>255</v>
      </c>
      <c r="D218" t="s">
        <v>950</v>
      </c>
    </row>
    <row r="219" spans="1:4">
      <c r="A219" t="s">
        <v>951</v>
      </c>
      <c r="B219" t="s">
        <v>1488</v>
      </c>
      <c r="C219" t="s">
        <v>266</v>
      </c>
      <c r="D219" t="s">
        <v>951</v>
      </c>
    </row>
    <row r="220" spans="1:4">
      <c r="A220" t="s">
        <v>952</v>
      </c>
      <c r="B220" t="s">
        <v>1489</v>
      </c>
      <c r="C220" t="s">
        <v>267</v>
      </c>
      <c r="D220" t="s">
        <v>952</v>
      </c>
    </row>
    <row r="221" spans="1:4">
      <c r="A221" t="s">
        <v>953</v>
      </c>
      <c r="B221" t="s">
        <v>1490</v>
      </c>
      <c r="C221" t="s">
        <v>259</v>
      </c>
      <c r="D221" t="s">
        <v>953</v>
      </c>
    </row>
    <row r="222" spans="1:4">
      <c r="A222" t="s">
        <v>1059</v>
      </c>
      <c r="B222" t="s">
        <v>1498</v>
      </c>
      <c r="C222" t="s">
        <v>268</v>
      </c>
      <c r="D222" t="s">
        <v>1059</v>
      </c>
    </row>
    <row r="223" spans="1:4">
      <c r="A223" t="s">
        <v>1060</v>
      </c>
      <c r="B223" t="s">
        <v>1499</v>
      </c>
      <c r="C223" t="s">
        <v>269</v>
      </c>
      <c r="D223" t="s">
        <v>1060</v>
      </c>
    </row>
    <row r="224" spans="1:4">
      <c r="A224" t="s">
        <v>1061</v>
      </c>
      <c r="B224" t="s">
        <v>1500</v>
      </c>
      <c r="C224" t="s">
        <v>1913</v>
      </c>
      <c r="D224" t="s">
        <v>1061</v>
      </c>
    </row>
    <row r="225" spans="1:4">
      <c r="A225" t="s">
        <v>1062</v>
      </c>
      <c r="B225" t="s">
        <v>1501</v>
      </c>
      <c r="C225" t="s">
        <v>1914</v>
      </c>
      <c r="D225" t="s">
        <v>1062</v>
      </c>
    </row>
    <row r="226" spans="1:4">
      <c r="A226" t="s">
        <v>47</v>
      </c>
      <c r="B226" t="s">
        <v>1502</v>
      </c>
      <c r="C226" t="s">
        <v>1915</v>
      </c>
      <c r="D226" t="s">
        <v>47</v>
      </c>
    </row>
    <row r="227" spans="1:4">
      <c r="A227" t="s">
        <v>33</v>
      </c>
      <c r="B227" t="s">
        <v>1503</v>
      </c>
      <c r="C227" t="s">
        <v>1916</v>
      </c>
      <c r="D227" t="s">
        <v>33</v>
      </c>
    </row>
    <row r="228" spans="1:4">
      <c r="A228" t="s">
        <v>35</v>
      </c>
      <c r="B228" t="s">
        <v>1504</v>
      </c>
      <c r="C228" t="s">
        <v>1917</v>
      </c>
      <c r="D228" t="s">
        <v>35</v>
      </c>
    </row>
    <row r="229" spans="1:4">
      <c r="A229" t="s">
        <v>36</v>
      </c>
      <c r="B229" t="s">
        <v>1505</v>
      </c>
      <c r="C229" t="s">
        <v>1918</v>
      </c>
      <c r="D229" t="s">
        <v>36</v>
      </c>
    </row>
    <row r="230" spans="1:4">
      <c r="A230" t="s">
        <v>38</v>
      </c>
      <c r="B230" t="s">
        <v>1511</v>
      </c>
      <c r="C230" t="s">
        <v>1919</v>
      </c>
      <c r="D230" t="s">
        <v>38</v>
      </c>
    </row>
    <row r="231" spans="1:4">
      <c r="A231" t="s">
        <v>1569</v>
      </c>
      <c r="B231" t="s">
        <v>1506</v>
      </c>
      <c r="C231" t="s">
        <v>1920</v>
      </c>
      <c r="D231" t="s">
        <v>1569</v>
      </c>
    </row>
    <row r="232" spans="1:4">
      <c r="A232" t="s">
        <v>37</v>
      </c>
      <c r="B232" t="s">
        <v>1507</v>
      </c>
      <c r="C232" t="s">
        <v>1921</v>
      </c>
      <c r="D232" t="s">
        <v>37</v>
      </c>
    </row>
    <row r="233" spans="1:4">
      <c r="A233" t="s">
        <v>34</v>
      </c>
      <c r="B233" t="s">
        <v>1508</v>
      </c>
      <c r="C233" t="s">
        <v>1922</v>
      </c>
      <c r="D233" t="s">
        <v>34</v>
      </c>
    </row>
    <row r="234" spans="1:4">
      <c r="A234" t="s">
        <v>1509</v>
      </c>
      <c r="B234" t="s">
        <v>1510</v>
      </c>
      <c r="C234" t="s">
        <v>2188</v>
      </c>
      <c r="D234" t="s">
        <v>35</v>
      </c>
    </row>
    <row r="235" spans="1:4">
      <c r="A235" t="s">
        <v>36</v>
      </c>
      <c r="B235" t="s">
        <v>1505</v>
      </c>
      <c r="C235" t="s">
        <v>2189</v>
      </c>
      <c r="D235" t="s">
        <v>36</v>
      </c>
    </row>
    <row r="236" spans="1:4">
      <c r="A236" t="s">
        <v>38</v>
      </c>
      <c r="B236" t="s">
        <v>1511</v>
      </c>
      <c r="C236" t="s">
        <v>1919</v>
      </c>
      <c r="D236" t="s">
        <v>38</v>
      </c>
    </row>
    <row r="237" spans="1:4">
      <c r="A237" t="s">
        <v>271</v>
      </c>
      <c r="B237" t="s">
        <v>1512</v>
      </c>
      <c r="C237" t="s">
        <v>2190</v>
      </c>
      <c r="D237" t="s">
        <v>271</v>
      </c>
    </row>
    <row r="238" spans="1:4">
      <c r="A238" t="s">
        <v>39</v>
      </c>
      <c r="B238" t="s">
        <v>1516</v>
      </c>
      <c r="C238" t="s">
        <v>2191</v>
      </c>
      <c r="D238" t="s">
        <v>39</v>
      </c>
    </row>
    <row r="239" spans="1:4">
      <c r="A239" t="s">
        <v>2051</v>
      </c>
      <c r="B239" t="s">
        <v>1513</v>
      </c>
      <c r="C239" t="s">
        <v>2192</v>
      </c>
      <c r="D239" t="s">
        <v>2051</v>
      </c>
    </row>
    <row r="240" spans="1:4">
      <c r="A240" t="s">
        <v>48</v>
      </c>
      <c r="B240" t="s">
        <v>1514</v>
      </c>
      <c r="C240" t="s">
        <v>2193</v>
      </c>
      <c r="D240" t="s">
        <v>48</v>
      </c>
    </row>
    <row r="241" spans="1:4">
      <c r="A241" t="s">
        <v>49</v>
      </c>
      <c r="B241" t="s">
        <v>1515</v>
      </c>
      <c r="C241" t="s">
        <v>2194</v>
      </c>
      <c r="D241" t="s">
        <v>49</v>
      </c>
    </row>
    <row r="242" spans="1:4">
      <c r="A242" t="s">
        <v>50</v>
      </c>
      <c r="B242" t="s">
        <v>1517</v>
      </c>
      <c r="C242" t="s">
        <v>2195</v>
      </c>
      <c r="D242" t="s">
        <v>50</v>
      </c>
    </row>
    <row r="243" spans="1:4">
      <c r="A243" t="s">
        <v>922</v>
      </c>
      <c r="B243" t="s">
        <v>806</v>
      </c>
      <c r="C243" t="s">
        <v>2196</v>
      </c>
      <c r="D243" t="s">
        <v>922</v>
      </c>
    </row>
    <row r="244" spans="1:4">
      <c r="A244" t="s">
        <v>923</v>
      </c>
      <c r="B244" t="s">
        <v>807</v>
      </c>
      <c r="C244" t="s">
        <v>2197</v>
      </c>
      <c r="D244" t="s">
        <v>923</v>
      </c>
    </row>
    <row r="245" spans="1:4">
      <c r="A245" t="s">
        <v>270</v>
      </c>
      <c r="B245" t="s">
        <v>803</v>
      </c>
      <c r="C245" t="s">
        <v>2198</v>
      </c>
      <c r="D245" t="s">
        <v>270</v>
      </c>
    </row>
    <row r="246" spans="1:4">
      <c r="A246" t="s">
        <v>922</v>
      </c>
      <c r="B246" t="s">
        <v>806</v>
      </c>
      <c r="C246" t="s">
        <v>962</v>
      </c>
      <c r="D246" t="s">
        <v>922</v>
      </c>
    </row>
    <row r="247" spans="1:4">
      <c r="A247" t="s">
        <v>923</v>
      </c>
      <c r="B247" t="s">
        <v>807</v>
      </c>
      <c r="C247" t="s">
        <v>2197</v>
      </c>
      <c r="D247" t="s">
        <v>923</v>
      </c>
    </row>
    <row r="248" spans="1:4">
      <c r="A248" t="s">
        <v>272</v>
      </c>
      <c r="B248" t="s">
        <v>808</v>
      </c>
      <c r="C248" t="s">
        <v>963</v>
      </c>
      <c r="D248" t="s">
        <v>272</v>
      </c>
    </row>
    <row r="249" spans="1:4">
      <c r="A249" t="s">
        <v>273</v>
      </c>
      <c r="B249" t="s">
        <v>809</v>
      </c>
      <c r="C249" t="s">
        <v>964</v>
      </c>
      <c r="D249" t="s">
        <v>273</v>
      </c>
    </row>
    <row r="250" spans="1:4">
      <c r="A250" t="s">
        <v>2051</v>
      </c>
      <c r="B250" t="s">
        <v>1125</v>
      </c>
      <c r="C250" t="s">
        <v>2385</v>
      </c>
      <c r="D250" t="s">
        <v>2051</v>
      </c>
    </row>
    <row r="251" spans="1:4">
      <c r="A251" t="s">
        <v>1808</v>
      </c>
      <c r="B251" t="s">
        <v>117</v>
      </c>
      <c r="C251" t="s">
        <v>2386</v>
      </c>
      <c r="D251" t="s">
        <v>1808</v>
      </c>
    </row>
    <row r="252" spans="1:4">
      <c r="A252" t="s">
        <v>1809</v>
      </c>
      <c r="B252" t="s">
        <v>116</v>
      </c>
      <c r="C252" t="s">
        <v>2387</v>
      </c>
      <c r="D252" t="s">
        <v>1809</v>
      </c>
    </row>
    <row r="253" spans="1:4">
      <c r="A253" t="s">
        <v>274</v>
      </c>
      <c r="B253" t="s">
        <v>810</v>
      </c>
      <c r="C253" t="s">
        <v>965</v>
      </c>
      <c r="D253" t="s">
        <v>274</v>
      </c>
    </row>
    <row r="254" spans="1:4">
      <c r="A254" t="s">
        <v>922</v>
      </c>
      <c r="B254" t="s">
        <v>806</v>
      </c>
      <c r="C254" t="s">
        <v>966</v>
      </c>
      <c r="D254" t="s">
        <v>922</v>
      </c>
    </row>
    <row r="255" spans="1:4">
      <c r="A255" t="s">
        <v>923</v>
      </c>
      <c r="B255" t="s">
        <v>807</v>
      </c>
      <c r="C255" t="s">
        <v>2197</v>
      </c>
      <c r="D255" t="s">
        <v>923</v>
      </c>
    </row>
    <row r="256" spans="1:4">
      <c r="A256" t="s">
        <v>275</v>
      </c>
      <c r="B256" t="s">
        <v>811</v>
      </c>
      <c r="C256" t="s">
        <v>967</v>
      </c>
      <c r="D256" t="s">
        <v>275</v>
      </c>
    </row>
    <row r="257" spans="1:4">
      <c r="A257" t="s">
        <v>922</v>
      </c>
      <c r="B257" t="s">
        <v>806</v>
      </c>
      <c r="C257" t="s">
        <v>968</v>
      </c>
      <c r="D257" t="s">
        <v>922</v>
      </c>
    </row>
    <row r="258" spans="1:4">
      <c r="A258" t="s">
        <v>923</v>
      </c>
      <c r="B258" t="s">
        <v>807</v>
      </c>
      <c r="C258" t="s">
        <v>2197</v>
      </c>
      <c r="D258" t="s">
        <v>923</v>
      </c>
    </row>
    <row r="259" spans="1:4">
      <c r="A259" t="s">
        <v>276</v>
      </c>
      <c r="B259" t="s">
        <v>812</v>
      </c>
      <c r="C259" t="s">
        <v>969</v>
      </c>
      <c r="D259" t="s">
        <v>276</v>
      </c>
    </row>
    <row r="260" spans="1:4">
      <c r="A260" t="s">
        <v>144</v>
      </c>
      <c r="B260" t="s">
        <v>145</v>
      </c>
      <c r="C260" t="s">
        <v>970</v>
      </c>
      <c r="D260" t="s">
        <v>144</v>
      </c>
    </row>
    <row r="261" spans="1:4">
      <c r="A261" t="s">
        <v>142</v>
      </c>
      <c r="B261" t="s">
        <v>146</v>
      </c>
      <c r="C261" t="s">
        <v>971</v>
      </c>
      <c r="D261" t="s">
        <v>142</v>
      </c>
    </row>
    <row r="262" spans="1:4">
      <c r="A262" t="s">
        <v>143</v>
      </c>
      <c r="B262" t="s">
        <v>147</v>
      </c>
      <c r="C262" t="s">
        <v>972</v>
      </c>
      <c r="D262" t="s">
        <v>143</v>
      </c>
    </row>
    <row r="263" spans="1:4">
      <c r="A263" t="s">
        <v>277</v>
      </c>
      <c r="B263" t="s">
        <v>813</v>
      </c>
      <c r="C263" t="s">
        <v>973</v>
      </c>
      <c r="D263" t="s">
        <v>277</v>
      </c>
    </row>
    <row r="264" spans="1:4">
      <c r="A264" t="s">
        <v>1923</v>
      </c>
      <c r="B264" t="s">
        <v>814</v>
      </c>
      <c r="C264" t="s">
        <v>974</v>
      </c>
      <c r="D264" t="s">
        <v>1923</v>
      </c>
    </row>
    <row r="265" spans="1:4">
      <c r="A265" t="s">
        <v>1924</v>
      </c>
      <c r="B265" t="s">
        <v>824</v>
      </c>
      <c r="C265" t="s">
        <v>975</v>
      </c>
      <c r="D265" t="s">
        <v>1924</v>
      </c>
    </row>
    <row r="266" spans="1:4">
      <c r="A266" t="s">
        <v>1933</v>
      </c>
      <c r="B266" t="s">
        <v>815</v>
      </c>
      <c r="C266" t="s">
        <v>976</v>
      </c>
      <c r="D266" t="s">
        <v>1933</v>
      </c>
    </row>
    <row r="267" spans="1:4">
      <c r="A267" t="s">
        <v>1925</v>
      </c>
      <c r="B267" t="s">
        <v>816</v>
      </c>
      <c r="C267" t="s">
        <v>977</v>
      </c>
      <c r="D267" t="s">
        <v>1925</v>
      </c>
    </row>
    <row r="268" spans="1:4">
      <c r="A268" t="s">
        <v>1926</v>
      </c>
      <c r="B268" t="s">
        <v>817</v>
      </c>
      <c r="C268" t="s">
        <v>978</v>
      </c>
      <c r="D268" t="s">
        <v>1926</v>
      </c>
    </row>
    <row r="269" spans="1:4">
      <c r="A269" t="s">
        <v>1934</v>
      </c>
      <c r="B269" t="s">
        <v>818</v>
      </c>
      <c r="C269" t="s">
        <v>979</v>
      </c>
      <c r="D269" t="s">
        <v>1934</v>
      </c>
    </row>
    <row r="270" spans="1:4">
      <c r="A270" t="s">
        <v>1927</v>
      </c>
      <c r="B270" t="s">
        <v>819</v>
      </c>
      <c r="C270" t="s">
        <v>980</v>
      </c>
      <c r="D270" t="s">
        <v>1927</v>
      </c>
    </row>
    <row r="271" spans="1:4">
      <c r="A271" t="s">
        <v>1928</v>
      </c>
      <c r="B271" t="s">
        <v>820</v>
      </c>
      <c r="C271" t="s">
        <v>981</v>
      </c>
      <c r="D271" t="s">
        <v>1928</v>
      </c>
    </row>
    <row r="272" spans="1:4">
      <c r="A272" t="s">
        <v>1935</v>
      </c>
      <c r="B272" t="s">
        <v>821</v>
      </c>
      <c r="C272" t="s">
        <v>982</v>
      </c>
      <c r="D272" t="s">
        <v>1935</v>
      </c>
    </row>
    <row r="273" spans="1:4">
      <c r="A273" t="s">
        <v>1938</v>
      </c>
      <c r="B273" t="s">
        <v>822</v>
      </c>
      <c r="C273" t="s">
        <v>983</v>
      </c>
      <c r="D273" t="s">
        <v>1938</v>
      </c>
    </row>
    <row r="274" spans="1:4">
      <c r="A274" t="s">
        <v>920</v>
      </c>
      <c r="B274" t="s">
        <v>823</v>
      </c>
      <c r="C274" t="s">
        <v>984</v>
      </c>
      <c r="D274" t="s">
        <v>920</v>
      </c>
    </row>
    <row r="275" spans="1:4">
      <c r="A275" t="s">
        <v>921</v>
      </c>
      <c r="B275" t="s">
        <v>825</v>
      </c>
      <c r="C275" t="s">
        <v>985</v>
      </c>
      <c r="D275" t="s">
        <v>921</v>
      </c>
    </row>
    <row r="276" spans="1:4">
      <c r="A276" t="s">
        <v>433</v>
      </c>
      <c r="B276" t="s">
        <v>826</v>
      </c>
      <c r="C276" t="s">
        <v>986</v>
      </c>
      <c r="D276" t="s">
        <v>433</v>
      </c>
    </row>
    <row r="277" spans="1:4">
      <c r="A277" t="s">
        <v>434</v>
      </c>
      <c r="B277" t="s">
        <v>827</v>
      </c>
      <c r="C277" t="s">
        <v>987</v>
      </c>
      <c r="D277" t="s">
        <v>434</v>
      </c>
    </row>
    <row r="278" spans="1:4">
      <c r="A278" t="s">
        <v>2052</v>
      </c>
      <c r="B278" t="s">
        <v>91</v>
      </c>
      <c r="C278" t="s">
        <v>988</v>
      </c>
      <c r="D278" t="s">
        <v>2052</v>
      </c>
    </row>
    <row r="279" spans="1:4">
      <c r="A279" t="s">
        <v>46</v>
      </c>
      <c r="B279" t="s">
        <v>828</v>
      </c>
      <c r="C279" t="s">
        <v>989</v>
      </c>
      <c r="D279" t="s">
        <v>46</v>
      </c>
    </row>
    <row r="280" spans="1:4">
      <c r="A280" t="s">
        <v>65</v>
      </c>
      <c r="B280" t="s">
        <v>829</v>
      </c>
      <c r="C280" t="s">
        <v>990</v>
      </c>
      <c r="D280" t="s">
        <v>65</v>
      </c>
    </row>
    <row r="281" spans="1:4">
      <c r="A281" t="s">
        <v>1152</v>
      </c>
      <c r="B281" t="s">
        <v>830</v>
      </c>
      <c r="C281" t="s">
        <v>991</v>
      </c>
      <c r="D281" t="s">
        <v>1152</v>
      </c>
    </row>
    <row r="282" spans="1:4">
      <c r="A282" t="s">
        <v>959</v>
      </c>
      <c r="B282" t="s">
        <v>154</v>
      </c>
      <c r="C282" t="s">
        <v>992</v>
      </c>
      <c r="D282" t="s">
        <v>959</v>
      </c>
    </row>
    <row r="283" spans="1:4">
      <c r="A283" t="s">
        <v>1993</v>
      </c>
      <c r="B283" t="s">
        <v>831</v>
      </c>
      <c r="C283" t="s">
        <v>993</v>
      </c>
      <c r="D283" t="s">
        <v>1993</v>
      </c>
    </row>
    <row r="284" spans="1:4">
      <c r="A284" t="s">
        <v>1063</v>
      </c>
      <c r="B284" t="s">
        <v>832</v>
      </c>
      <c r="C284" t="s">
        <v>994</v>
      </c>
      <c r="D284" t="s">
        <v>1063</v>
      </c>
    </row>
    <row r="285" spans="1:4">
      <c r="A285" t="s">
        <v>1994</v>
      </c>
      <c r="B285" t="s">
        <v>834</v>
      </c>
      <c r="C285" t="s">
        <v>995</v>
      </c>
      <c r="D285" t="s">
        <v>1994</v>
      </c>
    </row>
    <row r="286" spans="1:4">
      <c r="A286" t="s">
        <v>66</v>
      </c>
      <c r="B286" t="s">
        <v>835</v>
      </c>
      <c r="C286" t="s">
        <v>996</v>
      </c>
      <c r="D286" t="s">
        <v>66</v>
      </c>
    </row>
    <row r="287" spans="1:4">
      <c r="A287" t="s">
        <v>2007</v>
      </c>
      <c r="B287" t="s">
        <v>837</v>
      </c>
      <c r="C287" t="s">
        <v>997</v>
      </c>
      <c r="D287" t="s">
        <v>2007</v>
      </c>
    </row>
    <row r="288" spans="1:4">
      <c r="A288" t="s">
        <v>2019</v>
      </c>
      <c r="B288" t="s">
        <v>836</v>
      </c>
      <c r="C288" t="s">
        <v>998</v>
      </c>
      <c r="D288" t="s">
        <v>2019</v>
      </c>
    </row>
    <row r="289" spans="1:4">
      <c r="A289" t="s">
        <v>2020</v>
      </c>
      <c r="B289" t="s">
        <v>1350</v>
      </c>
      <c r="C289" t="s">
        <v>999</v>
      </c>
      <c r="D289" t="s">
        <v>2020</v>
      </c>
    </row>
    <row r="290" spans="1:4">
      <c r="A290" t="s">
        <v>2008</v>
      </c>
      <c r="B290" t="s">
        <v>1351</v>
      </c>
      <c r="C290" t="s">
        <v>1000</v>
      </c>
      <c r="D290" t="s">
        <v>2008</v>
      </c>
    </row>
    <row r="291" spans="1:4">
      <c r="A291" t="s">
        <v>2017</v>
      </c>
      <c r="B291" t="s">
        <v>1352</v>
      </c>
      <c r="C291" t="s">
        <v>2234</v>
      </c>
      <c r="D291" t="s">
        <v>2017</v>
      </c>
    </row>
    <row r="292" spans="1:4">
      <c r="A292" t="s">
        <v>2018</v>
      </c>
      <c r="B292" t="s">
        <v>1353</v>
      </c>
      <c r="C292" t="s">
        <v>2235</v>
      </c>
      <c r="D292" t="s">
        <v>2018</v>
      </c>
    </row>
    <row r="293" spans="1:4">
      <c r="A293" t="s">
        <v>606</v>
      </c>
      <c r="B293" t="s">
        <v>1354</v>
      </c>
      <c r="C293" t="s">
        <v>2236</v>
      </c>
      <c r="D293" t="s">
        <v>606</v>
      </c>
    </row>
    <row r="294" spans="1:4">
      <c r="A294" t="s">
        <v>608</v>
      </c>
      <c r="B294" t="s">
        <v>1520</v>
      </c>
      <c r="C294" t="s">
        <v>2237</v>
      </c>
      <c r="D294" t="s">
        <v>608</v>
      </c>
    </row>
    <row r="295" spans="1:4">
      <c r="A295" t="s">
        <v>605</v>
      </c>
      <c r="B295" t="s">
        <v>1521</v>
      </c>
      <c r="C295" t="s">
        <v>2238</v>
      </c>
      <c r="D295" t="s">
        <v>605</v>
      </c>
    </row>
    <row r="296" spans="1:4">
      <c r="A296" t="s">
        <v>607</v>
      </c>
      <c r="B296" t="s">
        <v>1522</v>
      </c>
      <c r="C296" t="s">
        <v>2239</v>
      </c>
      <c r="D296" t="s">
        <v>607</v>
      </c>
    </row>
    <row r="297" spans="1:4">
      <c r="A297" t="s">
        <v>609</v>
      </c>
      <c r="B297" t="s">
        <v>1524</v>
      </c>
      <c r="C297" t="s">
        <v>2240</v>
      </c>
      <c r="D297" t="s">
        <v>609</v>
      </c>
    </row>
    <row r="298" spans="1:4">
      <c r="A298" t="s">
        <v>610</v>
      </c>
      <c r="B298" t="s">
        <v>1525</v>
      </c>
      <c r="C298" t="s">
        <v>2241</v>
      </c>
      <c r="D298" t="s">
        <v>610</v>
      </c>
    </row>
    <row r="299" spans="1:4">
      <c r="A299" t="s">
        <v>1001</v>
      </c>
      <c r="B299" t="s">
        <v>1526</v>
      </c>
      <c r="C299" t="s">
        <v>2242</v>
      </c>
      <c r="D299" t="s">
        <v>1001</v>
      </c>
    </row>
    <row r="300" spans="1:4">
      <c r="A300" t="s">
        <v>607</v>
      </c>
      <c r="B300" t="s">
        <v>1522</v>
      </c>
      <c r="C300" t="s">
        <v>2239</v>
      </c>
      <c r="D300" t="s">
        <v>607</v>
      </c>
    </row>
    <row r="301" spans="1:4">
      <c r="A301" t="s">
        <v>611</v>
      </c>
      <c r="B301" t="s">
        <v>1523</v>
      </c>
      <c r="C301" t="s">
        <v>2243</v>
      </c>
      <c r="D301" t="s">
        <v>611</v>
      </c>
    </row>
    <row r="302" spans="1:4">
      <c r="A302" t="s">
        <v>1002</v>
      </c>
      <c r="B302" t="s">
        <v>1527</v>
      </c>
      <c r="C302" t="s">
        <v>2244</v>
      </c>
      <c r="D302" t="s">
        <v>1002</v>
      </c>
    </row>
    <row r="303" spans="1:4">
      <c r="A303" t="s">
        <v>1003</v>
      </c>
      <c r="B303" t="s">
        <v>1528</v>
      </c>
      <c r="C303" t="s">
        <v>2245</v>
      </c>
      <c r="D303" t="s">
        <v>1003</v>
      </c>
    </row>
    <row r="304" spans="1:4">
      <c r="A304" t="s">
        <v>67</v>
      </c>
      <c r="B304" t="s">
        <v>1247</v>
      </c>
      <c r="C304" t="s">
        <v>2246</v>
      </c>
      <c r="D304" t="s">
        <v>67</v>
      </c>
    </row>
    <row r="305" spans="1:4">
      <c r="A305" t="s">
        <v>1971</v>
      </c>
      <c r="B305" t="s">
        <v>1248</v>
      </c>
      <c r="C305" t="s">
        <v>838</v>
      </c>
      <c r="D305" t="s">
        <v>1971</v>
      </c>
    </row>
    <row r="306" spans="1:4">
      <c r="A306" t="s">
        <v>24</v>
      </c>
      <c r="B306" t="s">
        <v>1244</v>
      </c>
      <c r="C306" t="s">
        <v>839</v>
      </c>
      <c r="D306" t="s">
        <v>24</v>
      </c>
    </row>
    <row r="307" spans="1:4">
      <c r="A307" t="s">
        <v>1970</v>
      </c>
      <c r="B307" t="s">
        <v>1245</v>
      </c>
      <c r="C307" t="s">
        <v>840</v>
      </c>
      <c r="D307" t="s">
        <v>1970</v>
      </c>
    </row>
    <row r="308" spans="1:4">
      <c r="A308" t="s">
        <v>2111</v>
      </c>
      <c r="B308" t="s">
        <v>1246</v>
      </c>
      <c r="C308" t="s">
        <v>841</v>
      </c>
      <c r="D308" t="s">
        <v>2111</v>
      </c>
    </row>
    <row r="309" spans="1:4">
      <c r="A309" t="s">
        <v>2118</v>
      </c>
      <c r="B309" t="s">
        <v>1249</v>
      </c>
      <c r="C309" t="s">
        <v>842</v>
      </c>
      <c r="D309" t="s">
        <v>2118</v>
      </c>
    </row>
    <row r="310" spans="1:4">
      <c r="A310" t="s">
        <v>2119</v>
      </c>
      <c r="B310" t="s">
        <v>1250</v>
      </c>
      <c r="C310" t="s">
        <v>843</v>
      </c>
      <c r="D310" t="s">
        <v>2119</v>
      </c>
    </row>
    <row r="311" spans="1:4">
      <c r="A311" t="s">
        <v>2120</v>
      </c>
      <c r="B311" t="s">
        <v>1251</v>
      </c>
      <c r="C311" t="s">
        <v>844</v>
      </c>
      <c r="D311" t="s">
        <v>2120</v>
      </c>
    </row>
    <row r="312" spans="1:4">
      <c r="A312" t="s">
        <v>467</v>
      </c>
      <c r="B312" t="s">
        <v>1252</v>
      </c>
      <c r="C312" t="s">
        <v>845</v>
      </c>
      <c r="D312" t="s">
        <v>467</v>
      </c>
    </row>
    <row r="313" spans="1:4">
      <c r="A313" t="s">
        <v>1557</v>
      </c>
      <c r="B313" t="s">
        <v>1253</v>
      </c>
      <c r="C313" t="s">
        <v>846</v>
      </c>
      <c r="D313" t="s">
        <v>1557</v>
      </c>
    </row>
    <row r="314" spans="1:4">
      <c r="A314" t="s">
        <v>148</v>
      </c>
      <c r="B314" t="s">
        <v>1426</v>
      </c>
      <c r="C314" t="s">
        <v>847</v>
      </c>
      <c r="D314" t="s">
        <v>2113</v>
      </c>
    </row>
    <row r="315" spans="1:4">
      <c r="A315" t="s">
        <v>149</v>
      </c>
      <c r="B315" t="s">
        <v>1427</v>
      </c>
      <c r="C315" t="s">
        <v>848</v>
      </c>
      <c r="D315" t="s">
        <v>2114</v>
      </c>
    </row>
    <row r="316" spans="1:4">
      <c r="A316" t="s">
        <v>574</v>
      </c>
      <c r="B316" t="s">
        <v>1147</v>
      </c>
      <c r="C316" t="s">
        <v>849</v>
      </c>
      <c r="D316" t="s">
        <v>574</v>
      </c>
    </row>
    <row r="317" spans="1:4">
      <c r="A317" t="s">
        <v>1558</v>
      </c>
      <c r="B317" t="s">
        <v>1428</v>
      </c>
      <c r="C317" t="s">
        <v>850</v>
      </c>
      <c r="D317" t="s">
        <v>1558</v>
      </c>
    </row>
    <row r="318" spans="1:4">
      <c r="A318" t="s">
        <v>2115</v>
      </c>
      <c r="B318" t="s">
        <v>1429</v>
      </c>
      <c r="C318" t="s">
        <v>851</v>
      </c>
      <c r="D318" t="s">
        <v>2115</v>
      </c>
    </row>
    <row r="319" spans="1:4">
      <c r="A319" t="s">
        <v>2116</v>
      </c>
      <c r="B319" t="s">
        <v>1430</v>
      </c>
      <c r="C319" t="s">
        <v>852</v>
      </c>
      <c r="D319" t="s">
        <v>2116</v>
      </c>
    </row>
    <row r="320" spans="1:4">
      <c r="A320" t="s">
        <v>2006</v>
      </c>
      <c r="B320" t="s">
        <v>1432</v>
      </c>
      <c r="C320" t="s">
        <v>853</v>
      </c>
      <c r="D320" t="s">
        <v>2006</v>
      </c>
    </row>
    <row r="321" spans="1:4">
      <c r="A321" t="s">
        <v>2117</v>
      </c>
      <c r="B321" t="s">
        <v>1433</v>
      </c>
      <c r="C321" t="s">
        <v>854</v>
      </c>
      <c r="D321" t="s">
        <v>2117</v>
      </c>
    </row>
    <row r="322" spans="1:4">
      <c r="A322" t="s">
        <v>2121</v>
      </c>
      <c r="B322" t="s">
        <v>1434</v>
      </c>
      <c r="C322" t="s">
        <v>855</v>
      </c>
      <c r="D322" t="s">
        <v>2121</v>
      </c>
    </row>
    <row r="323" spans="1:4">
      <c r="A323" t="s">
        <v>2123</v>
      </c>
      <c r="B323" t="s">
        <v>1435</v>
      </c>
      <c r="C323" t="s">
        <v>856</v>
      </c>
      <c r="D323" t="s">
        <v>2123</v>
      </c>
    </row>
    <row r="324" spans="1:4">
      <c r="A324" t="s">
        <v>2124</v>
      </c>
      <c r="B324" t="s">
        <v>1436</v>
      </c>
      <c r="C324" t="s">
        <v>857</v>
      </c>
      <c r="D324" t="s">
        <v>2124</v>
      </c>
    </row>
    <row r="325" spans="1:4">
      <c r="A325" t="s">
        <v>2122</v>
      </c>
      <c r="B325" t="s">
        <v>1437</v>
      </c>
      <c r="C325" t="s">
        <v>858</v>
      </c>
      <c r="D325" t="s">
        <v>2122</v>
      </c>
    </row>
    <row r="326" spans="1:4">
      <c r="A326" t="s">
        <v>2125</v>
      </c>
      <c r="B326" t="s">
        <v>1438</v>
      </c>
      <c r="C326" t="s">
        <v>859</v>
      </c>
      <c r="D326" t="s">
        <v>2125</v>
      </c>
    </row>
    <row r="327" spans="1:4">
      <c r="A327" t="s">
        <v>1964</v>
      </c>
      <c r="B327" t="s">
        <v>1439</v>
      </c>
      <c r="C327" t="s">
        <v>860</v>
      </c>
      <c r="D327" t="s">
        <v>1964</v>
      </c>
    </row>
    <row r="328" spans="1:4">
      <c r="A328" t="s">
        <v>1972</v>
      </c>
      <c r="B328" t="s">
        <v>1440</v>
      </c>
      <c r="C328" t="s">
        <v>859</v>
      </c>
      <c r="D328" t="s">
        <v>1972</v>
      </c>
    </row>
    <row r="329" spans="1:4">
      <c r="A329" t="s">
        <v>235</v>
      </c>
      <c r="B329" t="s">
        <v>1441</v>
      </c>
      <c r="C329" t="s">
        <v>861</v>
      </c>
      <c r="D329" t="s">
        <v>235</v>
      </c>
    </row>
    <row r="330" spans="1:4">
      <c r="A330" t="s">
        <v>237</v>
      </c>
      <c r="B330" t="s">
        <v>80</v>
      </c>
      <c r="C330" t="s">
        <v>862</v>
      </c>
      <c r="D330" t="s">
        <v>237</v>
      </c>
    </row>
    <row r="331" spans="1:4">
      <c r="A331" t="s">
        <v>238</v>
      </c>
      <c r="B331" t="s">
        <v>81</v>
      </c>
      <c r="C331" t="s">
        <v>521</v>
      </c>
      <c r="D331" t="s">
        <v>238</v>
      </c>
    </row>
    <row r="332" spans="1:4">
      <c r="A332" t="s">
        <v>236</v>
      </c>
      <c r="B332" t="s">
        <v>82</v>
      </c>
      <c r="C332" t="s">
        <v>522</v>
      </c>
      <c r="D332" t="s">
        <v>236</v>
      </c>
    </row>
    <row r="333" spans="1:4">
      <c r="A333" t="s">
        <v>237</v>
      </c>
      <c r="B333" t="s">
        <v>80</v>
      </c>
      <c r="C333" t="s">
        <v>523</v>
      </c>
      <c r="D333" t="s">
        <v>237</v>
      </c>
    </row>
    <row r="334" spans="1:4">
      <c r="A334" t="s">
        <v>238</v>
      </c>
      <c r="B334" t="s">
        <v>81</v>
      </c>
      <c r="C334" t="s">
        <v>521</v>
      </c>
      <c r="D334" t="s">
        <v>238</v>
      </c>
    </row>
    <row r="335" spans="1:4">
      <c r="A335" t="s">
        <v>1973</v>
      </c>
      <c r="B335" t="s">
        <v>83</v>
      </c>
      <c r="C335" t="s">
        <v>524</v>
      </c>
      <c r="D335" t="s">
        <v>1973</v>
      </c>
    </row>
    <row r="336" spans="1:4">
      <c r="A336" t="s">
        <v>84</v>
      </c>
      <c r="B336" t="s">
        <v>85</v>
      </c>
      <c r="C336" t="s">
        <v>525</v>
      </c>
      <c r="D336" t="s">
        <v>1065</v>
      </c>
    </row>
    <row r="337" spans="1:4">
      <c r="A337" t="s">
        <v>22</v>
      </c>
      <c r="B337" t="s">
        <v>303</v>
      </c>
      <c r="C337" t="s">
        <v>526</v>
      </c>
      <c r="D337" t="s">
        <v>22</v>
      </c>
    </row>
    <row r="338" spans="1:4">
      <c r="A338" t="s">
        <v>2119</v>
      </c>
      <c r="B338" t="s">
        <v>1250</v>
      </c>
      <c r="C338" t="s">
        <v>527</v>
      </c>
      <c r="D338" t="s">
        <v>2119</v>
      </c>
    </row>
    <row r="339" spans="1:4">
      <c r="A339" t="s">
        <v>1976</v>
      </c>
      <c r="B339" t="s">
        <v>304</v>
      </c>
      <c r="C339" t="s">
        <v>528</v>
      </c>
      <c r="D339" t="s">
        <v>1976</v>
      </c>
    </row>
    <row r="340" spans="1:4">
      <c r="A340" t="s">
        <v>1974</v>
      </c>
      <c r="B340" t="s">
        <v>305</v>
      </c>
      <c r="C340" t="s">
        <v>529</v>
      </c>
      <c r="D340" t="s">
        <v>1974</v>
      </c>
    </row>
    <row r="341" spans="1:4">
      <c r="A341" t="s">
        <v>2118</v>
      </c>
      <c r="B341" t="s">
        <v>1249</v>
      </c>
      <c r="C341" t="s">
        <v>530</v>
      </c>
      <c r="D341" t="s">
        <v>2118</v>
      </c>
    </row>
    <row r="342" spans="1:4">
      <c r="A342" t="s">
        <v>2119</v>
      </c>
      <c r="B342" t="s">
        <v>1250</v>
      </c>
      <c r="C342" t="s">
        <v>527</v>
      </c>
      <c r="D342" t="s">
        <v>2119</v>
      </c>
    </row>
    <row r="343" spans="1:4">
      <c r="A343" t="s">
        <v>1977</v>
      </c>
      <c r="B343" t="s">
        <v>306</v>
      </c>
      <c r="C343" t="s">
        <v>531</v>
      </c>
      <c r="D343" t="s">
        <v>1977</v>
      </c>
    </row>
    <row r="344" spans="1:4">
      <c r="A344" t="s">
        <v>2118</v>
      </c>
      <c r="B344" t="s">
        <v>1249</v>
      </c>
      <c r="C344" t="s">
        <v>532</v>
      </c>
      <c r="D344" t="s">
        <v>2118</v>
      </c>
    </row>
    <row r="345" spans="1:4">
      <c r="A345" t="s">
        <v>2119</v>
      </c>
      <c r="B345" t="s">
        <v>1250</v>
      </c>
      <c r="C345" t="s">
        <v>843</v>
      </c>
      <c r="D345" t="s">
        <v>2119</v>
      </c>
    </row>
    <row r="346" spans="1:4">
      <c r="A346" t="s">
        <v>1967</v>
      </c>
      <c r="B346" t="s">
        <v>307</v>
      </c>
      <c r="C346" t="s">
        <v>533</v>
      </c>
      <c r="D346" t="s">
        <v>1967</v>
      </c>
    </row>
    <row r="347" spans="1:4">
      <c r="A347" t="s">
        <v>26</v>
      </c>
      <c r="B347" t="s">
        <v>308</v>
      </c>
      <c r="C347" t="s">
        <v>534</v>
      </c>
      <c r="D347" t="s">
        <v>26</v>
      </c>
    </row>
    <row r="348" spans="1:4">
      <c r="A348" t="s">
        <v>1931</v>
      </c>
      <c r="B348" t="s">
        <v>1932</v>
      </c>
      <c r="C348" t="s">
        <v>535</v>
      </c>
      <c r="D348" t="s">
        <v>1931</v>
      </c>
    </row>
    <row r="349" spans="1:4">
      <c r="A349" t="s">
        <v>25</v>
      </c>
      <c r="B349" t="s">
        <v>309</v>
      </c>
      <c r="C349" t="s">
        <v>536</v>
      </c>
      <c r="D349" t="s">
        <v>25</v>
      </c>
    </row>
    <row r="350" spans="1:4">
      <c r="A350" t="s">
        <v>2118</v>
      </c>
      <c r="B350" t="s">
        <v>1249</v>
      </c>
      <c r="C350" t="s">
        <v>537</v>
      </c>
      <c r="D350" t="s">
        <v>2118</v>
      </c>
    </row>
    <row r="351" spans="1:4">
      <c r="A351" t="s">
        <v>2119</v>
      </c>
      <c r="B351" t="s">
        <v>1250</v>
      </c>
      <c r="C351" t="s">
        <v>527</v>
      </c>
      <c r="D351" t="s">
        <v>2119</v>
      </c>
    </row>
    <row r="352" spans="1:4">
      <c r="A352" t="s">
        <v>28</v>
      </c>
      <c r="B352" t="s">
        <v>310</v>
      </c>
      <c r="C352" t="s">
        <v>538</v>
      </c>
      <c r="D352" t="s">
        <v>28</v>
      </c>
    </row>
    <row r="353" spans="1:4">
      <c r="A353" t="s">
        <v>1977</v>
      </c>
      <c r="B353" t="s">
        <v>306</v>
      </c>
      <c r="C353" t="s">
        <v>539</v>
      </c>
      <c r="D353" t="s">
        <v>1977</v>
      </c>
    </row>
    <row r="354" spans="1:4">
      <c r="A354" t="s">
        <v>2118</v>
      </c>
      <c r="B354" t="s">
        <v>1249</v>
      </c>
      <c r="C354" t="s">
        <v>540</v>
      </c>
      <c r="D354" t="s">
        <v>2118</v>
      </c>
    </row>
    <row r="355" spans="1:4">
      <c r="A355" t="s">
        <v>2119</v>
      </c>
      <c r="B355" t="s">
        <v>1250</v>
      </c>
      <c r="C355" t="s">
        <v>843</v>
      </c>
      <c r="D355" t="s">
        <v>2119</v>
      </c>
    </row>
    <row r="356" spans="1:4">
      <c r="A356" t="s">
        <v>1968</v>
      </c>
      <c r="B356" t="s">
        <v>311</v>
      </c>
      <c r="C356" t="s">
        <v>541</v>
      </c>
      <c r="D356" t="s">
        <v>1968</v>
      </c>
    </row>
    <row r="357" spans="1:4">
      <c r="A357" t="s">
        <v>2118</v>
      </c>
      <c r="B357" t="s">
        <v>1249</v>
      </c>
      <c r="C357" t="s">
        <v>542</v>
      </c>
      <c r="D357" t="s">
        <v>2118</v>
      </c>
    </row>
    <row r="358" spans="1:4">
      <c r="A358" t="s">
        <v>2119</v>
      </c>
      <c r="B358" t="s">
        <v>1250</v>
      </c>
      <c r="C358" t="s">
        <v>843</v>
      </c>
      <c r="D358" t="s">
        <v>2119</v>
      </c>
    </row>
    <row r="359" spans="1:4">
      <c r="A359" t="s">
        <v>934</v>
      </c>
      <c r="B359" t="s">
        <v>312</v>
      </c>
      <c r="C359" t="s">
        <v>543</v>
      </c>
      <c r="D359" t="s">
        <v>934</v>
      </c>
    </row>
    <row r="360" spans="1:4">
      <c r="A360" t="s">
        <v>935</v>
      </c>
      <c r="B360" t="s">
        <v>1302</v>
      </c>
      <c r="C360" t="s">
        <v>544</v>
      </c>
      <c r="D360" t="s">
        <v>935</v>
      </c>
    </row>
    <row r="361" spans="1:4">
      <c r="A361" t="s">
        <v>936</v>
      </c>
      <c r="B361" t="s">
        <v>1522</v>
      </c>
      <c r="C361" t="s">
        <v>545</v>
      </c>
      <c r="D361" t="s">
        <v>936</v>
      </c>
    </row>
    <row r="362" spans="1:4">
      <c r="A362" t="s">
        <v>937</v>
      </c>
      <c r="B362" t="s">
        <v>1303</v>
      </c>
      <c r="C362" t="s">
        <v>1012</v>
      </c>
      <c r="D362" t="s">
        <v>937</v>
      </c>
    </row>
    <row r="363" spans="1:4">
      <c r="A363" t="s">
        <v>1378</v>
      </c>
      <c r="B363" t="s">
        <v>1382</v>
      </c>
      <c r="C363" t="s">
        <v>1013</v>
      </c>
      <c r="D363" t="s">
        <v>435</v>
      </c>
    </row>
    <row r="364" spans="1:4">
      <c r="A364" t="s">
        <v>1379</v>
      </c>
      <c r="B364" t="s">
        <v>1383</v>
      </c>
      <c r="C364" t="s">
        <v>1014</v>
      </c>
      <c r="D364" t="s">
        <v>1379</v>
      </c>
    </row>
    <row r="365" spans="1:4">
      <c r="A365" t="s">
        <v>1380</v>
      </c>
      <c r="B365" t="s">
        <v>1384</v>
      </c>
      <c r="C365" t="s">
        <v>1015</v>
      </c>
      <c r="D365" t="s">
        <v>1380</v>
      </c>
    </row>
    <row r="366" spans="1:4">
      <c r="A366" t="s">
        <v>1381</v>
      </c>
      <c r="B366" t="s">
        <v>1385</v>
      </c>
      <c r="C366" t="s">
        <v>1016</v>
      </c>
      <c r="D366" t="s">
        <v>1381</v>
      </c>
    </row>
    <row r="367" spans="1:4">
      <c r="A367" t="s">
        <v>1969</v>
      </c>
      <c r="B367" t="s">
        <v>1304</v>
      </c>
      <c r="C367" t="s">
        <v>1017</v>
      </c>
      <c r="D367" t="s">
        <v>1969</v>
      </c>
    </row>
    <row r="368" spans="1:4">
      <c r="A368" t="s">
        <v>2112</v>
      </c>
      <c r="B368" t="s">
        <v>1305</v>
      </c>
      <c r="C368" t="s">
        <v>2344</v>
      </c>
      <c r="D368" t="s">
        <v>2112</v>
      </c>
    </row>
    <row r="369" spans="1:4">
      <c r="A369" t="s">
        <v>1066</v>
      </c>
      <c r="B369" t="s">
        <v>1306</v>
      </c>
      <c r="C369" t="s">
        <v>1018</v>
      </c>
      <c r="D369" t="s">
        <v>1066</v>
      </c>
    </row>
    <row r="370" spans="1:4">
      <c r="A370" t="s">
        <v>1067</v>
      </c>
      <c r="B370" t="s">
        <v>1307</v>
      </c>
      <c r="C370" t="s">
        <v>1019</v>
      </c>
      <c r="D370" t="s">
        <v>1067</v>
      </c>
    </row>
    <row r="371" spans="1:4">
      <c r="A371" t="s">
        <v>1068</v>
      </c>
      <c r="B371" t="s">
        <v>1308</v>
      </c>
      <c r="C371" t="s">
        <v>504</v>
      </c>
      <c r="D371" t="s">
        <v>1068</v>
      </c>
    </row>
    <row r="372" spans="1:4">
      <c r="A372" t="s">
        <v>1069</v>
      </c>
      <c r="B372" t="s">
        <v>1309</v>
      </c>
      <c r="C372" t="s">
        <v>505</v>
      </c>
      <c r="D372" t="s">
        <v>1069</v>
      </c>
    </row>
    <row r="373" spans="1:4">
      <c r="A373" t="s">
        <v>1070</v>
      </c>
      <c r="B373" t="s">
        <v>1310</v>
      </c>
      <c r="C373" t="s">
        <v>506</v>
      </c>
      <c r="D373" t="s">
        <v>1070</v>
      </c>
    </row>
    <row r="374" spans="1:4">
      <c r="A374" t="s">
        <v>27</v>
      </c>
      <c r="B374" t="s">
        <v>1311</v>
      </c>
      <c r="C374" t="s">
        <v>507</v>
      </c>
      <c r="D374" t="s">
        <v>27</v>
      </c>
    </row>
    <row r="375" spans="1:4">
      <c r="A375" t="s">
        <v>68</v>
      </c>
      <c r="B375" t="s">
        <v>1312</v>
      </c>
      <c r="C375" t="s">
        <v>508</v>
      </c>
      <c r="D375" t="s">
        <v>68</v>
      </c>
    </row>
    <row r="376" spans="1:4">
      <c r="A376" t="s">
        <v>2126</v>
      </c>
      <c r="B376" t="s">
        <v>294</v>
      </c>
      <c r="C376" t="s">
        <v>509</v>
      </c>
      <c r="D376" t="s">
        <v>2126</v>
      </c>
    </row>
    <row r="377" spans="1:4">
      <c r="A377" t="s">
        <v>1584</v>
      </c>
      <c r="B377" t="s">
        <v>295</v>
      </c>
      <c r="C377" t="s">
        <v>510</v>
      </c>
      <c r="D377" t="s">
        <v>1584</v>
      </c>
    </row>
    <row r="378" spans="1:4">
      <c r="A378" t="s">
        <v>871</v>
      </c>
      <c r="B378" t="s">
        <v>876</v>
      </c>
      <c r="C378" t="s">
        <v>511</v>
      </c>
      <c r="D378" t="s">
        <v>871</v>
      </c>
    </row>
    <row r="379" spans="1:4">
      <c r="A379" t="s">
        <v>872</v>
      </c>
      <c r="B379" t="s">
        <v>877</v>
      </c>
      <c r="C379" t="s">
        <v>512</v>
      </c>
      <c r="D379" t="s">
        <v>872</v>
      </c>
    </row>
    <row r="380" spans="1:4">
      <c r="A380" t="s">
        <v>873</v>
      </c>
      <c r="B380" t="s">
        <v>878</v>
      </c>
      <c r="C380" t="s">
        <v>513</v>
      </c>
      <c r="D380" t="s">
        <v>873</v>
      </c>
    </row>
    <row r="381" spans="1:4">
      <c r="A381" t="s">
        <v>874</v>
      </c>
      <c r="B381" t="s">
        <v>879</v>
      </c>
      <c r="C381" t="s">
        <v>514</v>
      </c>
      <c r="D381" t="s">
        <v>874</v>
      </c>
    </row>
    <row r="382" spans="1:4">
      <c r="A382" t="s">
        <v>875</v>
      </c>
      <c r="B382" t="s">
        <v>880</v>
      </c>
      <c r="C382" t="s">
        <v>515</v>
      </c>
      <c r="D382" t="s">
        <v>875</v>
      </c>
    </row>
    <row r="383" spans="1:4">
      <c r="A383" t="s">
        <v>1846</v>
      </c>
      <c r="B383" t="s">
        <v>881</v>
      </c>
      <c r="C383" t="s">
        <v>516</v>
      </c>
      <c r="D383" t="s">
        <v>1846</v>
      </c>
    </row>
    <row r="384" spans="1:4">
      <c r="A384" t="s">
        <v>955</v>
      </c>
      <c r="B384" t="s">
        <v>301</v>
      </c>
      <c r="C384" t="s">
        <v>517</v>
      </c>
      <c r="D384" t="s">
        <v>955</v>
      </c>
    </row>
    <row r="385" spans="1:4">
      <c r="A385" t="s">
        <v>1583</v>
      </c>
      <c r="B385" t="s">
        <v>302</v>
      </c>
      <c r="C385" t="s">
        <v>518</v>
      </c>
      <c r="D385" t="s">
        <v>1583</v>
      </c>
    </row>
    <row r="386" spans="1:4">
      <c r="A386" t="s">
        <v>1214</v>
      </c>
      <c r="B386" t="s">
        <v>341</v>
      </c>
      <c r="C386" t="s">
        <v>519</v>
      </c>
      <c r="D386" t="s">
        <v>1214</v>
      </c>
    </row>
    <row r="387" spans="1:4">
      <c r="A387" t="s">
        <v>956</v>
      </c>
      <c r="B387" t="s">
        <v>342</v>
      </c>
      <c r="C387" t="s">
        <v>520</v>
      </c>
      <c r="D387" t="s">
        <v>956</v>
      </c>
    </row>
    <row r="388" spans="1:4">
      <c r="A388" t="s">
        <v>2132</v>
      </c>
      <c r="B388" t="s">
        <v>343</v>
      </c>
      <c r="C388" t="s">
        <v>657</v>
      </c>
      <c r="D388" t="s">
        <v>2132</v>
      </c>
    </row>
    <row r="389" spans="1:4">
      <c r="A389" t="s">
        <v>2131</v>
      </c>
      <c r="B389" t="s">
        <v>1313</v>
      </c>
      <c r="C389" t="s">
        <v>658</v>
      </c>
      <c r="D389" t="s">
        <v>2131</v>
      </c>
    </row>
    <row r="390" spans="1:4">
      <c r="A390" t="s">
        <v>2130</v>
      </c>
      <c r="B390" t="s">
        <v>344</v>
      </c>
      <c r="C390" t="s">
        <v>659</v>
      </c>
      <c r="D390" t="s">
        <v>2130</v>
      </c>
    </row>
    <row r="391" spans="1:4">
      <c r="A391" t="s">
        <v>1585</v>
      </c>
      <c r="B391" t="s">
        <v>345</v>
      </c>
      <c r="C391" t="s">
        <v>660</v>
      </c>
      <c r="D391" t="s">
        <v>1585</v>
      </c>
    </row>
    <row r="392" spans="1:4">
      <c r="A392" t="s">
        <v>1586</v>
      </c>
      <c r="B392" t="s">
        <v>346</v>
      </c>
      <c r="C392" t="s">
        <v>661</v>
      </c>
      <c r="D392" t="s">
        <v>1586</v>
      </c>
    </row>
    <row r="393" spans="1:4">
      <c r="A393" t="s">
        <v>957</v>
      </c>
      <c r="B393" t="s">
        <v>347</v>
      </c>
      <c r="C393" t="s">
        <v>662</v>
      </c>
      <c r="D393" t="s">
        <v>957</v>
      </c>
    </row>
    <row r="394" spans="1:4">
      <c r="A394" t="s">
        <v>1587</v>
      </c>
      <c r="B394" t="s">
        <v>348</v>
      </c>
      <c r="C394" t="s">
        <v>663</v>
      </c>
      <c r="D394" t="s">
        <v>1587</v>
      </c>
    </row>
    <row r="395" spans="1:4">
      <c r="A395" t="s">
        <v>958</v>
      </c>
      <c r="B395" t="s">
        <v>349</v>
      </c>
      <c r="C395" t="s">
        <v>664</v>
      </c>
      <c r="D395" t="s">
        <v>958</v>
      </c>
    </row>
    <row r="396" spans="1:4">
      <c r="A396" t="s">
        <v>29</v>
      </c>
      <c r="B396" t="s">
        <v>350</v>
      </c>
      <c r="C396" t="s">
        <v>665</v>
      </c>
      <c r="D396" t="s">
        <v>29</v>
      </c>
    </row>
    <row r="397" spans="1:4">
      <c r="A397" t="s">
        <v>30</v>
      </c>
      <c r="B397" t="s">
        <v>351</v>
      </c>
      <c r="C397" t="s">
        <v>666</v>
      </c>
      <c r="D397" t="s">
        <v>30</v>
      </c>
    </row>
    <row r="398" spans="1:4">
      <c r="A398" t="s">
        <v>31</v>
      </c>
      <c r="B398" t="s">
        <v>352</v>
      </c>
      <c r="C398" t="s">
        <v>667</v>
      </c>
      <c r="D398" t="s">
        <v>31</v>
      </c>
    </row>
    <row r="399" spans="1:4">
      <c r="A399" t="s">
        <v>646</v>
      </c>
      <c r="B399" t="s">
        <v>353</v>
      </c>
      <c r="C399" t="s">
        <v>668</v>
      </c>
      <c r="D399" t="s">
        <v>646</v>
      </c>
    </row>
    <row r="400" spans="1:4">
      <c r="A400" t="s">
        <v>647</v>
      </c>
      <c r="B400" t="s">
        <v>354</v>
      </c>
      <c r="C400" t="s">
        <v>669</v>
      </c>
      <c r="D400" t="s">
        <v>647</v>
      </c>
    </row>
    <row r="401" spans="1:4">
      <c r="A401" t="s">
        <v>1588</v>
      </c>
      <c r="B401" t="s">
        <v>1314</v>
      </c>
      <c r="C401" t="s">
        <v>670</v>
      </c>
      <c r="D401" t="s">
        <v>1588</v>
      </c>
    </row>
    <row r="402" spans="1:4">
      <c r="A402" t="s">
        <v>924</v>
      </c>
      <c r="B402" t="s">
        <v>1315</v>
      </c>
      <c r="C402" t="s">
        <v>546</v>
      </c>
      <c r="D402" t="s">
        <v>924</v>
      </c>
    </row>
    <row r="403" spans="1:4">
      <c r="A403" t="s">
        <v>930</v>
      </c>
      <c r="B403" t="s">
        <v>1320</v>
      </c>
      <c r="C403" t="s">
        <v>547</v>
      </c>
      <c r="D403" t="s">
        <v>930</v>
      </c>
    </row>
    <row r="404" spans="1:4">
      <c r="A404" t="s">
        <v>573</v>
      </c>
      <c r="B404" t="s">
        <v>1321</v>
      </c>
      <c r="C404" t="s">
        <v>548</v>
      </c>
      <c r="D404" t="s">
        <v>573</v>
      </c>
    </row>
    <row r="405" spans="1:4">
      <c r="A405" t="s">
        <v>926</v>
      </c>
      <c r="B405" t="s">
        <v>1322</v>
      </c>
      <c r="C405" t="s">
        <v>549</v>
      </c>
      <c r="D405" t="s">
        <v>926</v>
      </c>
    </row>
    <row r="406" spans="1:4">
      <c r="A406" t="s">
        <v>925</v>
      </c>
      <c r="B406" t="s">
        <v>1090</v>
      </c>
      <c r="C406" t="s">
        <v>550</v>
      </c>
      <c r="D406" t="s">
        <v>925</v>
      </c>
    </row>
    <row r="407" spans="1:4">
      <c r="A407" t="s">
        <v>927</v>
      </c>
      <c r="B407" t="s">
        <v>1323</v>
      </c>
      <c r="C407" t="s">
        <v>551</v>
      </c>
      <c r="D407" t="s">
        <v>927</v>
      </c>
    </row>
    <row r="408" spans="1:4">
      <c r="A408" t="s">
        <v>928</v>
      </c>
      <c r="B408" t="s">
        <v>1325</v>
      </c>
      <c r="C408" t="s">
        <v>552</v>
      </c>
      <c r="D408" t="s">
        <v>928</v>
      </c>
    </row>
    <row r="409" spans="1:4">
      <c r="A409" t="s">
        <v>929</v>
      </c>
      <c r="B409" t="s">
        <v>1324</v>
      </c>
      <c r="C409" t="s">
        <v>553</v>
      </c>
      <c r="D409" t="s">
        <v>929</v>
      </c>
    </row>
    <row r="410" spans="1:4">
      <c r="A410" t="s">
        <v>572</v>
      </c>
      <c r="B410" t="s">
        <v>1321</v>
      </c>
      <c r="C410" t="s">
        <v>554</v>
      </c>
      <c r="D410" t="s">
        <v>572</v>
      </c>
    </row>
    <row r="411" spans="1:4">
      <c r="A411" t="s">
        <v>926</v>
      </c>
      <c r="B411" t="s">
        <v>1322</v>
      </c>
      <c r="C411" t="s">
        <v>679</v>
      </c>
      <c r="D411" t="s">
        <v>926</v>
      </c>
    </row>
    <row r="412" spans="1:4">
      <c r="A412" t="s">
        <v>925</v>
      </c>
      <c r="B412" t="s">
        <v>1090</v>
      </c>
      <c r="C412" t="s">
        <v>550</v>
      </c>
      <c r="D412" t="s">
        <v>925</v>
      </c>
    </row>
    <row r="413" spans="1:4">
      <c r="A413" s="2" t="s">
        <v>564</v>
      </c>
      <c r="B413" t="s">
        <v>568</v>
      </c>
      <c r="C413" t="s">
        <v>680</v>
      </c>
      <c r="D413" s="2" t="s">
        <v>564</v>
      </c>
    </row>
    <row r="414" spans="1:4">
      <c r="A414" s="2" t="s">
        <v>562</v>
      </c>
      <c r="B414" t="s">
        <v>569</v>
      </c>
      <c r="C414" t="s">
        <v>681</v>
      </c>
      <c r="D414" s="2" t="s">
        <v>562</v>
      </c>
    </row>
    <row r="415" spans="1:4">
      <c r="A415" s="2" t="s">
        <v>563</v>
      </c>
      <c r="B415" t="s">
        <v>570</v>
      </c>
      <c r="C415" t="s">
        <v>682</v>
      </c>
      <c r="D415" s="2" t="s">
        <v>563</v>
      </c>
    </row>
    <row r="416" spans="1:4">
      <c r="A416" s="2" t="s">
        <v>565</v>
      </c>
      <c r="B416" t="s">
        <v>571</v>
      </c>
      <c r="C416" t="s">
        <v>683</v>
      </c>
      <c r="D416" s="2" t="s">
        <v>565</v>
      </c>
    </row>
    <row r="417" spans="1:4">
      <c r="A417" t="s">
        <v>566</v>
      </c>
      <c r="B417" t="s">
        <v>567</v>
      </c>
      <c r="C417" t="s">
        <v>684</v>
      </c>
      <c r="D417" t="s">
        <v>566</v>
      </c>
    </row>
    <row r="418" spans="1:4">
      <c r="A418" t="s">
        <v>931</v>
      </c>
      <c r="B418" t="s">
        <v>1326</v>
      </c>
      <c r="C418" t="s">
        <v>685</v>
      </c>
      <c r="D418" t="s">
        <v>931</v>
      </c>
    </row>
    <row r="419" spans="1:4">
      <c r="A419" t="s">
        <v>932</v>
      </c>
      <c r="B419" t="s">
        <v>131</v>
      </c>
      <c r="C419" t="s">
        <v>686</v>
      </c>
      <c r="D419" t="s">
        <v>932</v>
      </c>
    </row>
    <row r="420" spans="1:4">
      <c r="A420" t="s">
        <v>933</v>
      </c>
      <c r="B420" t="s">
        <v>132</v>
      </c>
      <c r="C420" t="s">
        <v>687</v>
      </c>
      <c r="D420" t="s">
        <v>933</v>
      </c>
    </row>
    <row r="421" spans="1:4">
      <c r="A421" t="s">
        <v>793</v>
      </c>
      <c r="B421" t="s">
        <v>133</v>
      </c>
      <c r="C421" t="s">
        <v>688</v>
      </c>
      <c r="D421" t="s">
        <v>793</v>
      </c>
    </row>
    <row r="422" spans="1:4">
      <c r="A422" t="s">
        <v>69</v>
      </c>
      <c r="B422" t="s">
        <v>134</v>
      </c>
      <c r="C422" t="s">
        <v>689</v>
      </c>
      <c r="D422" t="s">
        <v>69</v>
      </c>
    </row>
    <row r="423" spans="1:4">
      <c r="A423" t="s">
        <v>1555</v>
      </c>
      <c r="B423" t="s">
        <v>769</v>
      </c>
      <c r="C423" t="s">
        <v>690</v>
      </c>
      <c r="D423" t="s">
        <v>1555</v>
      </c>
    </row>
    <row r="424" spans="1:4">
      <c r="A424" t="s">
        <v>1556</v>
      </c>
      <c r="B424" t="s">
        <v>770</v>
      </c>
      <c r="C424" t="s">
        <v>691</v>
      </c>
      <c r="D424" t="s">
        <v>1556</v>
      </c>
    </row>
    <row r="425" spans="1:4">
      <c r="A425" t="s">
        <v>759</v>
      </c>
      <c r="B425" t="s">
        <v>760</v>
      </c>
      <c r="C425" t="s">
        <v>692</v>
      </c>
      <c r="D425" t="s">
        <v>759</v>
      </c>
    </row>
    <row r="426" spans="1:4">
      <c r="A426" t="s">
        <v>1731</v>
      </c>
      <c r="B426" t="s">
        <v>1735</v>
      </c>
      <c r="C426" t="s">
        <v>693</v>
      </c>
      <c r="D426" t="s">
        <v>1731</v>
      </c>
    </row>
    <row r="427" spans="1:4">
      <c r="A427" t="s">
        <v>1589</v>
      </c>
      <c r="B427" t="s">
        <v>135</v>
      </c>
      <c r="C427" t="s">
        <v>694</v>
      </c>
      <c r="D427" t="s">
        <v>1589</v>
      </c>
    </row>
    <row r="428" spans="1:4">
      <c r="A428" t="s">
        <v>1596</v>
      </c>
      <c r="B428" t="s">
        <v>771</v>
      </c>
      <c r="C428" t="s">
        <v>695</v>
      </c>
      <c r="D428" t="s">
        <v>1596</v>
      </c>
    </row>
    <row r="429" spans="1:4">
      <c r="A429" t="s">
        <v>1948</v>
      </c>
      <c r="B429" t="s">
        <v>772</v>
      </c>
      <c r="C429" t="s">
        <v>696</v>
      </c>
      <c r="D429" t="s">
        <v>1948</v>
      </c>
    </row>
    <row r="430" spans="1:4">
      <c r="A430" t="s">
        <v>1603</v>
      </c>
      <c r="B430" t="s">
        <v>1263</v>
      </c>
      <c r="C430" t="s">
        <v>697</v>
      </c>
      <c r="D430" t="s">
        <v>1603</v>
      </c>
    </row>
    <row r="431" spans="1:4">
      <c r="A431" t="s">
        <v>1590</v>
      </c>
      <c r="B431" t="s">
        <v>1264</v>
      </c>
      <c r="C431" t="s">
        <v>698</v>
      </c>
      <c r="D431" t="s">
        <v>1590</v>
      </c>
    </row>
    <row r="432" spans="1:4">
      <c r="A432" t="s">
        <v>791</v>
      </c>
      <c r="B432" t="s">
        <v>1265</v>
      </c>
      <c r="C432" t="s">
        <v>699</v>
      </c>
      <c r="D432" t="s">
        <v>791</v>
      </c>
    </row>
    <row r="433" spans="1:4">
      <c r="A433" t="s">
        <v>792</v>
      </c>
      <c r="B433" t="s">
        <v>1656</v>
      </c>
      <c r="C433" t="s">
        <v>700</v>
      </c>
      <c r="D433" t="s">
        <v>792</v>
      </c>
    </row>
    <row r="434" spans="1:4">
      <c r="A434" t="s">
        <v>1591</v>
      </c>
      <c r="B434" t="s">
        <v>282</v>
      </c>
      <c r="C434" t="s">
        <v>480</v>
      </c>
      <c r="D434" t="s">
        <v>1591</v>
      </c>
    </row>
    <row r="435" spans="1:4">
      <c r="A435" t="s">
        <v>1592</v>
      </c>
      <c r="B435" t="s">
        <v>283</v>
      </c>
      <c r="C435" t="s">
        <v>481</v>
      </c>
      <c r="D435" t="s">
        <v>1592</v>
      </c>
    </row>
    <row r="436" spans="1:4">
      <c r="A436" t="s">
        <v>1597</v>
      </c>
      <c r="B436" t="s">
        <v>284</v>
      </c>
      <c r="C436" t="s">
        <v>482</v>
      </c>
      <c r="D436" t="s">
        <v>1597</v>
      </c>
    </row>
    <row r="437" spans="1:4">
      <c r="A437" t="s">
        <v>1598</v>
      </c>
      <c r="B437" t="s">
        <v>285</v>
      </c>
      <c r="C437" t="s">
        <v>483</v>
      </c>
      <c r="D437" t="s">
        <v>1598</v>
      </c>
    </row>
    <row r="438" spans="1:4">
      <c r="A438" t="s">
        <v>1593</v>
      </c>
      <c r="B438" t="s">
        <v>286</v>
      </c>
      <c r="C438" t="s">
        <v>484</v>
      </c>
      <c r="D438" t="s">
        <v>1593</v>
      </c>
    </row>
    <row r="439" spans="1:4">
      <c r="A439" t="s">
        <v>1150</v>
      </c>
      <c r="B439" t="s">
        <v>1151</v>
      </c>
      <c r="C439" t="s">
        <v>485</v>
      </c>
      <c r="D439" t="s">
        <v>1150</v>
      </c>
    </row>
    <row r="440" spans="1:4">
      <c r="A440" t="s">
        <v>1594</v>
      </c>
      <c r="B440" s="119" t="s">
        <v>287</v>
      </c>
      <c r="C440" t="s">
        <v>486</v>
      </c>
      <c r="D440" t="s">
        <v>1594</v>
      </c>
    </row>
    <row r="441" spans="1:4">
      <c r="A441" t="s">
        <v>1595</v>
      </c>
      <c r="B441" s="119" t="s">
        <v>288</v>
      </c>
      <c r="C441" t="s">
        <v>487</v>
      </c>
      <c r="D441" t="s">
        <v>1595</v>
      </c>
    </row>
    <row r="442" spans="1:4">
      <c r="A442" t="s">
        <v>1599</v>
      </c>
      <c r="B442" t="s">
        <v>289</v>
      </c>
      <c r="C442" t="s">
        <v>488</v>
      </c>
      <c r="D442" t="s">
        <v>1599</v>
      </c>
    </row>
    <row r="443" spans="1:4">
      <c r="A443" t="s">
        <v>1600</v>
      </c>
      <c r="B443" t="s">
        <v>136</v>
      </c>
      <c r="C443" t="s">
        <v>489</v>
      </c>
      <c r="D443" t="s">
        <v>1600</v>
      </c>
    </row>
    <row r="444" spans="1:4">
      <c r="A444" t="s">
        <v>137</v>
      </c>
      <c r="B444" s="119" t="s">
        <v>290</v>
      </c>
      <c r="C444" t="s">
        <v>490</v>
      </c>
      <c r="D444" t="s">
        <v>137</v>
      </c>
    </row>
    <row r="445" spans="1:4">
      <c r="A445" t="s">
        <v>1601</v>
      </c>
      <c r="B445" s="119" t="s">
        <v>291</v>
      </c>
      <c r="C445" t="s">
        <v>491</v>
      </c>
      <c r="D445" t="s">
        <v>1601</v>
      </c>
    </row>
    <row r="446" spans="1:4">
      <c r="A446" t="s">
        <v>1602</v>
      </c>
      <c r="B446" s="119" t="s">
        <v>292</v>
      </c>
      <c r="C446" t="s">
        <v>492</v>
      </c>
      <c r="D446" t="s">
        <v>1602</v>
      </c>
    </row>
    <row r="447" spans="1:4">
      <c r="A447" t="s">
        <v>426</v>
      </c>
      <c r="B447" s="119" t="s">
        <v>293</v>
      </c>
      <c r="C447" t="s">
        <v>2329</v>
      </c>
      <c r="D447" t="s">
        <v>426</v>
      </c>
    </row>
    <row r="448" spans="1:4">
      <c r="A448" t="s">
        <v>427</v>
      </c>
      <c r="B448" s="119" t="s">
        <v>138</v>
      </c>
      <c r="C448" t="s">
        <v>2330</v>
      </c>
      <c r="D448" t="s">
        <v>427</v>
      </c>
    </row>
    <row r="449" spans="1:4">
      <c r="A449" t="s">
        <v>70</v>
      </c>
      <c r="B449" s="119" t="s">
        <v>140</v>
      </c>
      <c r="C449" t="s">
        <v>493</v>
      </c>
      <c r="D449" t="s">
        <v>70</v>
      </c>
    </row>
    <row r="450" spans="1:4">
      <c r="A450" t="s">
        <v>1566</v>
      </c>
      <c r="B450" s="119" t="s">
        <v>141</v>
      </c>
      <c r="C450" t="s">
        <v>494</v>
      </c>
      <c r="D450" t="s">
        <v>1566</v>
      </c>
    </row>
    <row r="451" spans="1:4">
      <c r="A451" t="s">
        <v>1571</v>
      </c>
      <c r="B451" s="119" t="s">
        <v>1713</v>
      </c>
      <c r="C451" t="s">
        <v>495</v>
      </c>
      <c r="D451" t="s">
        <v>1571</v>
      </c>
    </row>
    <row r="452" spans="1:4">
      <c r="A452" t="s">
        <v>1567</v>
      </c>
      <c r="B452" s="119" t="s">
        <v>1714</v>
      </c>
      <c r="C452" t="s">
        <v>496</v>
      </c>
      <c r="D452" t="s">
        <v>1567</v>
      </c>
    </row>
    <row r="453" spans="1:4">
      <c r="A453" t="s">
        <v>1568</v>
      </c>
      <c r="B453" s="119" t="s">
        <v>1715</v>
      </c>
      <c r="C453" t="s">
        <v>497</v>
      </c>
      <c r="D453" t="s">
        <v>1568</v>
      </c>
    </row>
    <row r="454" spans="1:4">
      <c r="A454" t="s">
        <v>1569</v>
      </c>
      <c r="B454" s="119" t="s">
        <v>1716</v>
      </c>
      <c r="C454" t="s">
        <v>498</v>
      </c>
      <c r="D454" t="s">
        <v>1569</v>
      </c>
    </row>
    <row r="455" spans="1:4">
      <c r="A455" t="s">
        <v>1570</v>
      </c>
      <c r="B455" s="119" t="s">
        <v>173</v>
      </c>
      <c r="C455" t="s">
        <v>499</v>
      </c>
      <c r="D455" t="s">
        <v>1570</v>
      </c>
    </row>
    <row r="456" spans="1:4">
      <c r="A456" t="s">
        <v>1949</v>
      </c>
      <c r="B456" s="119" t="s">
        <v>1717</v>
      </c>
      <c r="C456" t="s">
        <v>500</v>
      </c>
      <c r="D456" t="s">
        <v>1949</v>
      </c>
    </row>
    <row r="457" spans="1:4">
      <c r="A457" t="s">
        <v>2326</v>
      </c>
      <c r="B457" s="119" t="s">
        <v>1718</v>
      </c>
      <c r="C457" t="s">
        <v>501</v>
      </c>
      <c r="D457" t="s">
        <v>2326</v>
      </c>
    </row>
    <row r="458" spans="1:4">
      <c r="A458" t="s">
        <v>1950</v>
      </c>
      <c r="B458" s="119" t="s">
        <v>1719</v>
      </c>
      <c r="C458" t="s">
        <v>502</v>
      </c>
      <c r="D458" t="s">
        <v>1950</v>
      </c>
    </row>
    <row r="459" spans="1:4">
      <c r="A459" t="s">
        <v>648</v>
      </c>
      <c r="B459" s="119" t="s">
        <v>1720</v>
      </c>
      <c r="C459" t="s">
        <v>1903</v>
      </c>
      <c r="D459" t="s">
        <v>648</v>
      </c>
    </row>
    <row r="460" spans="1:4">
      <c r="A460" t="s">
        <v>1951</v>
      </c>
      <c r="B460" s="119" t="s">
        <v>1721</v>
      </c>
      <c r="C460" t="s">
        <v>1904</v>
      </c>
      <c r="D460" t="s">
        <v>1951</v>
      </c>
    </row>
    <row r="461" spans="1:4">
      <c r="A461" t="s">
        <v>1952</v>
      </c>
      <c r="B461" s="119" t="s">
        <v>150</v>
      </c>
      <c r="C461" t="s">
        <v>1905</v>
      </c>
      <c r="D461" t="s">
        <v>1952</v>
      </c>
    </row>
    <row r="462" spans="1:4">
      <c r="A462" t="s">
        <v>1953</v>
      </c>
      <c r="B462" s="119" t="s">
        <v>151</v>
      </c>
      <c r="C462" t="s">
        <v>1906</v>
      </c>
      <c r="D462" t="s">
        <v>1953</v>
      </c>
    </row>
    <row r="463" spans="1:4">
      <c r="A463" t="s">
        <v>1954</v>
      </c>
      <c r="B463" s="119" t="s">
        <v>174</v>
      </c>
      <c r="C463" t="s">
        <v>1907</v>
      </c>
      <c r="D463" t="s">
        <v>1954</v>
      </c>
    </row>
    <row r="464" spans="1:4">
      <c r="A464" t="s">
        <v>649</v>
      </c>
      <c r="B464" s="119" t="s">
        <v>172</v>
      </c>
      <c r="C464" t="s">
        <v>1908</v>
      </c>
      <c r="D464" t="s">
        <v>649</v>
      </c>
    </row>
    <row r="465" spans="1:4">
      <c r="A465" t="s">
        <v>1955</v>
      </c>
      <c r="B465" s="119" t="s">
        <v>152</v>
      </c>
      <c r="C465" t="s">
        <v>1909</v>
      </c>
      <c r="D465" t="s">
        <v>1955</v>
      </c>
    </row>
    <row r="466" spans="1:4">
      <c r="A466" t="s">
        <v>1573</v>
      </c>
      <c r="B466" s="119" t="s">
        <v>1541</v>
      </c>
      <c r="C466" t="s">
        <v>1910</v>
      </c>
      <c r="D466" t="s">
        <v>1573</v>
      </c>
    </row>
    <row r="467" spans="1:4">
      <c r="A467" t="s">
        <v>1956</v>
      </c>
      <c r="B467" s="119" t="s">
        <v>767</v>
      </c>
      <c r="C467" t="s">
        <v>575</v>
      </c>
      <c r="D467" t="s">
        <v>1956</v>
      </c>
    </row>
    <row r="468" spans="1:4">
      <c r="A468" t="s">
        <v>1957</v>
      </c>
      <c r="B468" s="119" t="s">
        <v>768</v>
      </c>
      <c r="C468" t="s">
        <v>576</v>
      </c>
      <c r="D468" t="s">
        <v>1957</v>
      </c>
    </row>
    <row r="469" spans="1:4">
      <c r="A469" t="s">
        <v>1958</v>
      </c>
      <c r="B469" s="119" t="s">
        <v>1542</v>
      </c>
      <c r="C469" t="s">
        <v>577</v>
      </c>
      <c r="D469" t="s">
        <v>1958</v>
      </c>
    </row>
    <row r="470" spans="1:4">
      <c r="A470" t="s">
        <v>1959</v>
      </c>
      <c r="B470" s="119" t="s">
        <v>1543</v>
      </c>
      <c r="C470" t="s">
        <v>578</v>
      </c>
      <c r="D470" t="s">
        <v>1959</v>
      </c>
    </row>
    <row r="471" spans="1:4">
      <c r="A471" t="s">
        <v>1572</v>
      </c>
      <c r="B471" s="119" t="s">
        <v>1544</v>
      </c>
      <c r="C471" t="s">
        <v>579</v>
      </c>
      <c r="D471" t="s">
        <v>1572</v>
      </c>
    </row>
    <row r="472" spans="1:4">
      <c r="A472" t="s">
        <v>1960</v>
      </c>
      <c r="B472" s="119" t="s">
        <v>1545</v>
      </c>
      <c r="C472" t="s">
        <v>580</v>
      </c>
      <c r="D472" t="s">
        <v>1960</v>
      </c>
    </row>
    <row r="473" spans="1:4">
      <c r="A473" t="s">
        <v>322</v>
      </c>
      <c r="B473" s="119" t="s">
        <v>398</v>
      </c>
      <c r="C473" t="s">
        <v>581</v>
      </c>
      <c r="D473" t="s">
        <v>322</v>
      </c>
    </row>
    <row r="474" spans="1:4">
      <c r="A474" t="s">
        <v>422</v>
      </c>
      <c r="B474" s="119" t="s">
        <v>1546</v>
      </c>
      <c r="C474" t="s">
        <v>983</v>
      </c>
      <c r="D474" t="s">
        <v>422</v>
      </c>
    </row>
    <row r="475" spans="1:4">
      <c r="A475" t="s">
        <v>1961</v>
      </c>
      <c r="B475" s="119" t="s">
        <v>1547</v>
      </c>
      <c r="C475" t="s">
        <v>582</v>
      </c>
      <c r="D475" t="s">
        <v>1961</v>
      </c>
    </row>
    <row r="476" spans="1:4">
      <c r="A476" t="s">
        <v>1962</v>
      </c>
      <c r="B476" s="119" t="s">
        <v>1548</v>
      </c>
      <c r="C476" t="s">
        <v>583</v>
      </c>
      <c r="D476" t="s">
        <v>1962</v>
      </c>
    </row>
    <row r="477" spans="1:4">
      <c r="A477" t="s">
        <v>1574</v>
      </c>
      <c r="B477" s="119" t="s">
        <v>765</v>
      </c>
      <c r="C477" t="s">
        <v>584</v>
      </c>
      <c r="D477" t="s">
        <v>1574</v>
      </c>
    </row>
    <row r="478" spans="1:4">
      <c r="A478" t="s">
        <v>396</v>
      </c>
      <c r="B478" s="119" t="s">
        <v>397</v>
      </c>
      <c r="C478" t="s">
        <v>585</v>
      </c>
      <c r="D478" t="s">
        <v>396</v>
      </c>
    </row>
    <row r="479" spans="1:4">
      <c r="A479" t="s">
        <v>423</v>
      </c>
      <c r="B479" s="119" t="s">
        <v>766</v>
      </c>
      <c r="C479" t="s">
        <v>586</v>
      </c>
      <c r="D479" t="s">
        <v>423</v>
      </c>
    </row>
    <row r="480" spans="1:4">
      <c r="A480" t="s">
        <v>1963</v>
      </c>
      <c r="B480" s="119" t="s">
        <v>1696</v>
      </c>
      <c r="C480" t="s">
        <v>587</v>
      </c>
      <c r="D480" t="s">
        <v>1963</v>
      </c>
    </row>
    <row r="481" spans="1:4">
      <c r="A481" t="s">
        <v>32</v>
      </c>
      <c r="B481" s="119" t="s">
        <v>175</v>
      </c>
      <c r="C481" t="s">
        <v>588</v>
      </c>
      <c r="D481" t="s">
        <v>32</v>
      </c>
    </row>
    <row r="482" spans="1:4">
      <c r="A482" t="s">
        <v>428</v>
      </c>
      <c r="B482" s="119" t="s">
        <v>1694</v>
      </c>
      <c r="C482" t="s">
        <v>589</v>
      </c>
      <c r="D482" t="s">
        <v>428</v>
      </c>
    </row>
    <row r="483" spans="1:4">
      <c r="A483" t="s">
        <v>71</v>
      </c>
      <c r="B483" s="119" t="s">
        <v>1695</v>
      </c>
      <c r="C483" t="s">
        <v>590</v>
      </c>
      <c r="D483" t="s">
        <v>71</v>
      </c>
    </row>
    <row r="484" spans="1:4">
      <c r="A484" t="s">
        <v>633</v>
      </c>
      <c r="B484" s="119" t="s">
        <v>1701</v>
      </c>
      <c r="C484" t="s">
        <v>591</v>
      </c>
      <c r="D484" t="s">
        <v>633</v>
      </c>
    </row>
    <row r="485" spans="1:4">
      <c r="A485" t="s">
        <v>634</v>
      </c>
      <c r="B485" s="119" t="s">
        <v>1702</v>
      </c>
      <c r="C485" t="s">
        <v>592</v>
      </c>
      <c r="D485" t="s">
        <v>634</v>
      </c>
    </row>
    <row r="486" spans="1:4">
      <c r="A486" t="s">
        <v>635</v>
      </c>
      <c r="B486" s="119" t="s">
        <v>1703</v>
      </c>
      <c r="C486" t="s">
        <v>593</v>
      </c>
      <c r="D486" t="s">
        <v>635</v>
      </c>
    </row>
    <row r="487" spans="1:4">
      <c r="A487" t="s">
        <v>1004</v>
      </c>
      <c r="B487" s="119" t="s">
        <v>1704</v>
      </c>
      <c r="C487" t="s">
        <v>594</v>
      </c>
      <c r="D487" t="s">
        <v>1004</v>
      </c>
    </row>
    <row r="488" spans="1:4">
      <c r="A488" t="s">
        <v>1005</v>
      </c>
      <c r="B488" s="119" t="s">
        <v>1705</v>
      </c>
      <c r="C488" t="s">
        <v>595</v>
      </c>
      <c r="D488" t="s">
        <v>1005</v>
      </c>
    </row>
    <row r="489" spans="1:4">
      <c r="A489" t="s">
        <v>1006</v>
      </c>
      <c r="B489" s="119" t="s">
        <v>1706</v>
      </c>
      <c r="C489" t="s">
        <v>596</v>
      </c>
      <c r="D489" t="s">
        <v>1006</v>
      </c>
    </row>
    <row r="490" spans="1:4">
      <c r="A490" t="s">
        <v>1007</v>
      </c>
      <c r="B490" s="119" t="s">
        <v>1707</v>
      </c>
      <c r="C490" t="s">
        <v>597</v>
      </c>
      <c r="D490" t="s">
        <v>1007</v>
      </c>
    </row>
    <row r="491" spans="1:4">
      <c r="A491" t="s">
        <v>1008</v>
      </c>
      <c r="B491" s="119" t="s">
        <v>1708</v>
      </c>
      <c r="C491" t="s">
        <v>598</v>
      </c>
      <c r="D491" t="s">
        <v>1008</v>
      </c>
    </row>
    <row r="492" spans="1:4">
      <c r="A492" t="s">
        <v>1009</v>
      </c>
      <c r="B492" s="119" t="s">
        <v>1711</v>
      </c>
      <c r="C492" t="s">
        <v>2199</v>
      </c>
      <c r="D492" t="s">
        <v>1009</v>
      </c>
    </row>
    <row r="493" spans="1:4">
      <c r="A493" t="s">
        <v>1010</v>
      </c>
      <c r="B493" s="119" t="s">
        <v>1709</v>
      </c>
      <c r="C493" t="s">
        <v>2200</v>
      </c>
      <c r="D493" t="s">
        <v>1010</v>
      </c>
    </row>
    <row r="494" spans="1:4">
      <c r="A494" t="s">
        <v>652</v>
      </c>
      <c r="B494" s="119" t="s">
        <v>1710</v>
      </c>
      <c r="C494" t="s">
        <v>2201</v>
      </c>
      <c r="D494" t="s">
        <v>652</v>
      </c>
    </row>
    <row r="495" spans="1:4">
      <c r="A495" t="s">
        <v>653</v>
      </c>
      <c r="B495" s="119" t="s">
        <v>1712</v>
      </c>
      <c r="C495" t="s">
        <v>2202</v>
      </c>
      <c r="D495" t="s">
        <v>653</v>
      </c>
    </row>
    <row r="496" spans="1:4">
      <c r="A496" t="s">
        <v>1011</v>
      </c>
      <c r="B496" t="s">
        <v>1697</v>
      </c>
      <c r="C496" t="s">
        <v>2203</v>
      </c>
      <c r="D496" t="s">
        <v>1011</v>
      </c>
    </row>
    <row r="497" spans="1:4">
      <c r="A497" t="s">
        <v>629</v>
      </c>
      <c r="B497" t="s">
        <v>1698</v>
      </c>
      <c r="C497" t="s">
        <v>2204</v>
      </c>
      <c r="D497" t="s">
        <v>629</v>
      </c>
    </row>
    <row r="498" spans="1:4">
      <c r="A498" t="s">
        <v>630</v>
      </c>
      <c r="B498" t="s">
        <v>1699</v>
      </c>
      <c r="C498" t="s">
        <v>2205</v>
      </c>
      <c r="D498" t="s">
        <v>630</v>
      </c>
    </row>
    <row r="499" spans="1:4">
      <c r="A499" t="s">
        <v>651</v>
      </c>
      <c r="B499" t="s">
        <v>1700</v>
      </c>
      <c r="C499" t="s">
        <v>2206</v>
      </c>
      <c r="D499" t="s">
        <v>651</v>
      </c>
    </row>
    <row r="500" spans="1:4">
      <c r="A500" t="s">
        <v>636</v>
      </c>
      <c r="B500" t="s">
        <v>355</v>
      </c>
      <c r="C500" t="s">
        <v>2207</v>
      </c>
      <c r="D500" t="s">
        <v>636</v>
      </c>
    </row>
    <row r="501" spans="1:4">
      <c r="A501" t="s">
        <v>637</v>
      </c>
      <c r="B501" t="s">
        <v>356</v>
      </c>
      <c r="C501" t="s">
        <v>2208</v>
      </c>
      <c r="D501" t="s">
        <v>637</v>
      </c>
    </row>
    <row r="502" spans="1:4">
      <c r="A502" t="s">
        <v>631</v>
      </c>
      <c r="B502" t="s">
        <v>357</v>
      </c>
      <c r="C502" t="s">
        <v>2209</v>
      </c>
      <c r="D502" t="s">
        <v>631</v>
      </c>
    </row>
    <row r="503" spans="1:4">
      <c r="A503" t="s">
        <v>632</v>
      </c>
      <c r="B503" t="s">
        <v>358</v>
      </c>
      <c r="C503" t="s">
        <v>2210</v>
      </c>
      <c r="D503" t="s">
        <v>632</v>
      </c>
    </row>
    <row r="504" spans="1:4">
      <c r="A504" t="s">
        <v>655</v>
      </c>
      <c r="B504" t="s">
        <v>359</v>
      </c>
      <c r="C504" t="s">
        <v>2211</v>
      </c>
      <c r="D504" t="s">
        <v>655</v>
      </c>
    </row>
    <row r="505" spans="1:4">
      <c r="A505" t="s">
        <v>424</v>
      </c>
      <c r="B505" t="s">
        <v>360</v>
      </c>
      <c r="C505" t="s">
        <v>2212</v>
      </c>
      <c r="D505" t="s">
        <v>424</v>
      </c>
    </row>
    <row r="506" spans="1:4">
      <c r="A506" t="s">
        <v>425</v>
      </c>
      <c r="B506" t="s">
        <v>361</v>
      </c>
      <c r="C506" t="s">
        <v>2213</v>
      </c>
      <c r="D506" t="s">
        <v>425</v>
      </c>
    </row>
    <row r="507" spans="1:4">
      <c r="A507" t="s">
        <v>429</v>
      </c>
      <c r="B507" t="s">
        <v>362</v>
      </c>
      <c r="C507" t="s">
        <v>2214</v>
      </c>
      <c r="D507" t="s">
        <v>429</v>
      </c>
    </row>
    <row r="508" spans="1:4">
      <c r="A508" t="s">
        <v>654</v>
      </c>
      <c r="B508" t="s">
        <v>363</v>
      </c>
      <c r="C508" t="s">
        <v>2331</v>
      </c>
      <c r="D508" t="s">
        <v>654</v>
      </c>
    </row>
    <row r="509" spans="1:4">
      <c r="A509" t="s">
        <v>72</v>
      </c>
      <c r="B509" t="s">
        <v>774</v>
      </c>
      <c r="C509" t="s">
        <v>2215</v>
      </c>
      <c r="D509" t="s">
        <v>72</v>
      </c>
    </row>
    <row r="510" spans="1:4">
      <c r="A510" t="s">
        <v>638</v>
      </c>
      <c r="B510" t="s">
        <v>775</v>
      </c>
      <c r="C510" t="s">
        <v>2216</v>
      </c>
      <c r="D510" t="s">
        <v>638</v>
      </c>
    </row>
    <row r="511" spans="1:4">
      <c r="A511" t="s">
        <v>641</v>
      </c>
      <c r="B511" t="s">
        <v>1722</v>
      </c>
      <c r="C511" t="s">
        <v>2217</v>
      </c>
      <c r="D511" t="s">
        <v>641</v>
      </c>
    </row>
    <row r="512" spans="1:4">
      <c r="A512" t="s">
        <v>430</v>
      </c>
      <c r="B512" t="s">
        <v>1723</v>
      </c>
      <c r="C512" t="s">
        <v>2218</v>
      </c>
      <c r="D512" t="s">
        <v>430</v>
      </c>
    </row>
    <row r="513" spans="1:4">
      <c r="A513" t="s">
        <v>431</v>
      </c>
      <c r="B513" t="s">
        <v>776</v>
      </c>
      <c r="C513" t="s">
        <v>2219</v>
      </c>
      <c r="D513" t="s">
        <v>431</v>
      </c>
    </row>
    <row r="514" spans="1:4">
      <c r="A514" t="s">
        <v>432</v>
      </c>
      <c r="B514" t="s">
        <v>777</v>
      </c>
      <c r="C514" t="s">
        <v>2220</v>
      </c>
      <c r="D514" t="s">
        <v>432</v>
      </c>
    </row>
    <row r="515" spans="1:4">
      <c r="A515" t="s">
        <v>639</v>
      </c>
      <c r="B515" t="s">
        <v>778</v>
      </c>
      <c r="C515" t="s">
        <v>2221</v>
      </c>
      <c r="D515" t="s">
        <v>639</v>
      </c>
    </row>
    <row r="516" spans="1:4">
      <c r="A516" t="s">
        <v>1590</v>
      </c>
      <c r="B516" t="s">
        <v>1264</v>
      </c>
      <c r="C516" t="s">
        <v>698</v>
      </c>
      <c r="D516" t="s">
        <v>1590</v>
      </c>
    </row>
    <row r="517" spans="1:4">
      <c r="A517" t="s">
        <v>642</v>
      </c>
      <c r="B517" t="s">
        <v>779</v>
      </c>
      <c r="C517" t="s">
        <v>2222</v>
      </c>
      <c r="D517" t="s">
        <v>642</v>
      </c>
    </row>
    <row r="518" spans="1:4">
      <c r="A518" t="s">
        <v>1598</v>
      </c>
      <c r="B518" t="s">
        <v>285</v>
      </c>
      <c r="C518" t="s">
        <v>483</v>
      </c>
      <c r="D518" t="s">
        <v>1598</v>
      </c>
    </row>
    <row r="519" spans="1:4">
      <c r="A519" t="s">
        <v>1593</v>
      </c>
      <c r="B519" t="s">
        <v>286</v>
      </c>
      <c r="C519" t="s">
        <v>484</v>
      </c>
      <c r="D519" t="s">
        <v>1593</v>
      </c>
    </row>
    <row r="520" spans="1:4">
      <c r="A520" t="s">
        <v>1594</v>
      </c>
      <c r="B520" s="119" t="s">
        <v>287</v>
      </c>
      <c r="C520" t="s">
        <v>1175</v>
      </c>
      <c r="D520" t="s">
        <v>1594</v>
      </c>
    </row>
    <row r="521" spans="1:4">
      <c r="A521" t="s">
        <v>1595</v>
      </c>
      <c r="B521" s="119" t="s">
        <v>288</v>
      </c>
      <c r="C521" t="s">
        <v>487</v>
      </c>
      <c r="D521" t="s">
        <v>1595</v>
      </c>
    </row>
    <row r="522" spans="1:4">
      <c r="A522" t="s">
        <v>1599</v>
      </c>
      <c r="B522" t="s">
        <v>289</v>
      </c>
      <c r="C522" t="s">
        <v>488</v>
      </c>
      <c r="D522" t="s">
        <v>1599</v>
      </c>
    </row>
    <row r="523" spans="1:4">
      <c r="A523" t="s">
        <v>1600</v>
      </c>
      <c r="B523" t="s">
        <v>136</v>
      </c>
      <c r="C523" t="s">
        <v>489</v>
      </c>
      <c r="D523" t="s">
        <v>1600</v>
      </c>
    </row>
    <row r="524" spans="1:4">
      <c r="A524" t="s">
        <v>643</v>
      </c>
      <c r="B524" t="s">
        <v>291</v>
      </c>
      <c r="C524" t="s">
        <v>1176</v>
      </c>
      <c r="D524" t="s">
        <v>643</v>
      </c>
    </row>
    <row r="525" spans="1:4">
      <c r="A525" t="s">
        <v>644</v>
      </c>
      <c r="B525" t="s">
        <v>780</v>
      </c>
      <c r="C525" t="s">
        <v>1177</v>
      </c>
      <c r="D525" t="s">
        <v>644</v>
      </c>
    </row>
    <row r="526" spans="1:4">
      <c r="A526" t="s">
        <v>436</v>
      </c>
      <c r="B526" t="s">
        <v>781</v>
      </c>
      <c r="C526" t="s">
        <v>1178</v>
      </c>
      <c r="D526" t="s">
        <v>436</v>
      </c>
    </row>
    <row r="527" spans="1:4">
      <c r="A527" t="s">
        <v>205</v>
      </c>
      <c r="B527" t="s">
        <v>782</v>
      </c>
      <c r="C527" t="s">
        <v>1179</v>
      </c>
      <c r="D527" t="s">
        <v>205</v>
      </c>
    </row>
    <row r="528" spans="1:4">
      <c r="A528" t="s">
        <v>202</v>
      </c>
      <c r="B528" t="s">
        <v>783</v>
      </c>
      <c r="C528" t="s">
        <v>1180</v>
      </c>
      <c r="D528" t="s">
        <v>202</v>
      </c>
    </row>
    <row r="529" spans="1:4">
      <c r="A529" t="s">
        <v>645</v>
      </c>
      <c r="B529" t="s">
        <v>784</v>
      </c>
      <c r="C529" t="s">
        <v>1181</v>
      </c>
      <c r="D529" t="s">
        <v>645</v>
      </c>
    </row>
    <row r="530" spans="1:4">
      <c r="A530" t="s">
        <v>206</v>
      </c>
      <c r="B530" t="s">
        <v>785</v>
      </c>
      <c r="C530" t="s">
        <v>1182</v>
      </c>
      <c r="D530" t="s">
        <v>206</v>
      </c>
    </row>
    <row r="531" spans="1:4">
      <c r="A531" t="s">
        <v>203</v>
      </c>
      <c r="B531" t="s">
        <v>786</v>
      </c>
      <c r="C531" t="s">
        <v>1183</v>
      </c>
      <c r="D531" t="s">
        <v>203</v>
      </c>
    </row>
    <row r="532" spans="1:4">
      <c r="A532" t="s">
        <v>207</v>
      </c>
      <c r="B532" t="s">
        <v>787</v>
      </c>
      <c r="C532" t="s">
        <v>1184</v>
      </c>
      <c r="D532" t="s">
        <v>207</v>
      </c>
    </row>
    <row r="533" spans="1:4">
      <c r="A533" t="s">
        <v>204</v>
      </c>
      <c r="B533" t="s">
        <v>788</v>
      </c>
      <c r="C533" t="s">
        <v>1185</v>
      </c>
      <c r="D533" t="s">
        <v>204</v>
      </c>
    </row>
    <row r="534" spans="1:4">
      <c r="A534" t="s">
        <v>210</v>
      </c>
      <c r="B534" t="s">
        <v>789</v>
      </c>
      <c r="C534" t="s">
        <v>1186</v>
      </c>
      <c r="D534" t="s">
        <v>210</v>
      </c>
    </row>
    <row r="535" spans="1:4">
      <c r="A535" t="s">
        <v>209</v>
      </c>
      <c r="B535" t="s">
        <v>790</v>
      </c>
      <c r="C535" t="s">
        <v>1187</v>
      </c>
      <c r="D535" t="s">
        <v>209</v>
      </c>
    </row>
    <row r="536" spans="1:4">
      <c r="A536" t="s">
        <v>208</v>
      </c>
      <c r="B536" t="s">
        <v>795</v>
      </c>
      <c r="C536" t="s">
        <v>1188</v>
      </c>
      <c r="D536" t="s">
        <v>208</v>
      </c>
    </row>
    <row r="537" spans="1:4">
      <c r="A537" t="s">
        <v>216</v>
      </c>
      <c r="B537" t="s">
        <v>796</v>
      </c>
      <c r="C537" t="s">
        <v>1189</v>
      </c>
      <c r="D537" t="s">
        <v>216</v>
      </c>
    </row>
    <row r="538" spans="1:4">
      <c r="A538" t="s">
        <v>215</v>
      </c>
      <c r="B538" t="s">
        <v>797</v>
      </c>
      <c r="C538" t="s">
        <v>1190</v>
      </c>
      <c r="D538" t="s">
        <v>215</v>
      </c>
    </row>
    <row r="539" spans="1:4">
      <c r="A539" t="s">
        <v>217</v>
      </c>
      <c r="B539" t="s">
        <v>798</v>
      </c>
      <c r="C539" t="s">
        <v>1191</v>
      </c>
      <c r="D539" t="s">
        <v>217</v>
      </c>
    </row>
    <row r="540" spans="1:4">
      <c r="A540" t="s">
        <v>1071</v>
      </c>
      <c r="B540" t="s">
        <v>800</v>
      </c>
      <c r="C540" t="s">
        <v>1192</v>
      </c>
      <c r="D540" t="s">
        <v>1071</v>
      </c>
    </row>
    <row r="541" spans="1:4">
      <c r="A541" t="s">
        <v>1072</v>
      </c>
      <c r="B541" t="s">
        <v>801</v>
      </c>
      <c r="C541" t="s">
        <v>1193</v>
      </c>
      <c r="D541" t="s">
        <v>1072</v>
      </c>
    </row>
    <row r="542" spans="1:4">
      <c r="A542" t="s">
        <v>672</v>
      </c>
      <c r="B542" t="s">
        <v>673</v>
      </c>
      <c r="C542" t="s">
        <v>1194</v>
      </c>
      <c r="D542" t="s">
        <v>672</v>
      </c>
    </row>
    <row r="543" spans="1:4">
      <c r="A543" t="s">
        <v>640</v>
      </c>
      <c r="B543" t="s">
        <v>802</v>
      </c>
      <c r="C543" t="s">
        <v>1195</v>
      </c>
      <c r="D543" t="s">
        <v>640</v>
      </c>
    </row>
    <row r="544" spans="1:4">
      <c r="A544" t="s">
        <v>1073</v>
      </c>
      <c r="B544" t="s">
        <v>1077</v>
      </c>
      <c r="C544" t="s">
        <v>1196</v>
      </c>
      <c r="D544" t="s">
        <v>1073</v>
      </c>
    </row>
    <row r="545" spans="1:4">
      <c r="A545" t="s">
        <v>1074</v>
      </c>
      <c r="B545" t="s">
        <v>1078</v>
      </c>
      <c r="C545" t="s">
        <v>1197</v>
      </c>
      <c r="D545" t="s">
        <v>1074</v>
      </c>
    </row>
    <row r="546" spans="1:4">
      <c r="A546" t="s">
        <v>2012</v>
      </c>
      <c r="B546" t="s">
        <v>1079</v>
      </c>
      <c r="C546" t="s">
        <v>2347</v>
      </c>
      <c r="D546" t="s">
        <v>2012</v>
      </c>
    </row>
    <row r="547" spans="1:4">
      <c r="A547" t="s">
        <v>1075</v>
      </c>
      <c r="B547" t="s">
        <v>1079</v>
      </c>
      <c r="C547" t="s">
        <v>1198</v>
      </c>
      <c r="D547" t="s">
        <v>1075</v>
      </c>
    </row>
    <row r="548" spans="1:4">
      <c r="A548" t="s">
        <v>2303</v>
      </c>
      <c r="B548" t="s">
        <v>2308</v>
      </c>
      <c r="C548" t="s">
        <v>1199</v>
      </c>
      <c r="D548" t="s">
        <v>2303</v>
      </c>
    </row>
    <row r="549" spans="1:4">
      <c r="A549" t="s">
        <v>1074</v>
      </c>
      <c r="B549" t="s">
        <v>1076</v>
      </c>
      <c r="C549" t="s">
        <v>1197</v>
      </c>
      <c r="D549" t="s">
        <v>1074</v>
      </c>
    </row>
    <row r="550" spans="1:4">
      <c r="A550" t="s">
        <v>656</v>
      </c>
      <c r="B550" t="s">
        <v>1724</v>
      </c>
      <c r="C550" t="s">
        <v>1200</v>
      </c>
      <c r="D550" t="s">
        <v>656</v>
      </c>
    </row>
    <row r="551" spans="1:4">
      <c r="A551" t="s">
        <v>641</v>
      </c>
      <c r="B551" t="s">
        <v>1722</v>
      </c>
      <c r="C551" t="s">
        <v>1201</v>
      </c>
      <c r="D551" t="s">
        <v>641</v>
      </c>
    </row>
    <row r="552" spans="1:4">
      <c r="A552" t="s">
        <v>468</v>
      </c>
      <c r="B552" t="s">
        <v>1725</v>
      </c>
      <c r="C552" t="s">
        <v>1202</v>
      </c>
      <c r="D552" t="s">
        <v>468</v>
      </c>
    </row>
    <row r="553" spans="1:4">
      <c r="A553" t="s">
        <v>431</v>
      </c>
      <c r="B553" t="s">
        <v>776</v>
      </c>
      <c r="C553" t="s">
        <v>2220</v>
      </c>
      <c r="D553" t="s">
        <v>431</v>
      </c>
    </row>
    <row r="554" spans="1:4">
      <c r="A554" t="s">
        <v>432</v>
      </c>
      <c r="B554" t="s">
        <v>777</v>
      </c>
      <c r="C554" t="s">
        <v>1203</v>
      </c>
      <c r="D554" t="s">
        <v>432</v>
      </c>
    </row>
    <row r="555" spans="1:4">
      <c r="A555" t="s">
        <v>169</v>
      </c>
      <c r="B555" t="s">
        <v>170</v>
      </c>
      <c r="C555" t="s">
        <v>1204</v>
      </c>
      <c r="D555" t="s">
        <v>169</v>
      </c>
    </row>
    <row r="556" spans="1:4">
      <c r="A556" t="s">
        <v>218</v>
      </c>
      <c r="B556" t="s">
        <v>1750</v>
      </c>
      <c r="C556" t="s">
        <v>1205</v>
      </c>
      <c r="D556" t="s">
        <v>218</v>
      </c>
    </row>
    <row r="557" spans="1:4">
      <c r="A557" t="s">
        <v>219</v>
      </c>
      <c r="B557" t="s">
        <v>1726</v>
      </c>
      <c r="C557" t="s">
        <v>1206</v>
      </c>
      <c r="D557" t="s">
        <v>219</v>
      </c>
    </row>
    <row r="558" spans="1:4">
      <c r="A558" t="s">
        <v>702</v>
      </c>
      <c r="B558" t="s">
        <v>1751</v>
      </c>
      <c r="C558" t="s">
        <v>1207</v>
      </c>
      <c r="D558" t="s">
        <v>702</v>
      </c>
    </row>
    <row r="559" spans="1:4">
      <c r="A559" t="s">
        <v>442</v>
      </c>
      <c r="B559" t="s">
        <v>1368</v>
      </c>
      <c r="C559" t="s">
        <v>1208</v>
      </c>
      <c r="D559" t="s">
        <v>442</v>
      </c>
    </row>
    <row r="560" spans="1:4">
      <c r="A560" t="s">
        <v>448</v>
      </c>
      <c r="B560" t="s">
        <v>1369</v>
      </c>
      <c r="C560" t="s">
        <v>1209</v>
      </c>
      <c r="D560" t="s">
        <v>448</v>
      </c>
    </row>
    <row r="561" spans="1:4">
      <c r="A561" t="s">
        <v>445</v>
      </c>
      <c r="B561" t="s">
        <v>1370</v>
      </c>
      <c r="C561" t="s">
        <v>1210</v>
      </c>
      <c r="D561" t="s">
        <v>445</v>
      </c>
    </row>
    <row r="562" spans="1:4">
      <c r="A562" t="s">
        <v>446</v>
      </c>
      <c r="B562" t="s">
        <v>1371</v>
      </c>
      <c r="C562" t="s">
        <v>1211</v>
      </c>
      <c r="D562" t="s">
        <v>446</v>
      </c>
    </row>
    <row r="563" spans="1:4">
      <c r="A563" t="s">
        <v>444</v>
      </c>
      <c r="B563" t="s">
        <v>1372</v>
      </c>
      <c r="C563" t="s">
        <v>1212</v>
      </c>
      <c r="D563" t="s">
        <v>444</v>
      </c>
    </row>
    <row r="564" spans="1:4">
      <c r="A564" t="s">
        <v>443</v>
      </c>
      <c r="B564" t="s">
        <v>1373</v>
      </c>
      <c r="C564" t="s">
        <v>1213</v>
      </c>
      <c r="D564" t="s">
        <v>443</v>
      </c>
    </row>
    <row r="565" spans="1:4">
      <c r="A565" t="s">
        <v>1911</v>
      </c>
      <c r="B565" t="s">
        <v>1374</v>
      </c>
      <c r="C565" t="s">
        <v>1044</v>
      </c>
      <c r="D565" t="s">
        <v>1911</v>
      </c>
    </row>
    <row r="566" spans="1:4">
      <c r="A566" t="s">
        <v>447</v>
      </c>
      <c r="B566" t="s">
        <v>1375</v>
      </c>
      <c r="C566" t="s">
        <v>1045</v>
      </c>
      <c r="D566" t="s">
        <v>447</v>
      </c>
    </row>
    <row r="567" spans="1:4">
      <c r="A567" t="s">
        <v>449</v>
      </c>
      <c r="B567" t="s">
        <v>1376</v>
      </c>
      <c r="C567" t="s">
        <v>1046</v>
      </c>
      <c r="D567" t="s">
        <v>449</v>
      </c>
    </row>
    <row r="568" spans="1:4">
      <c r="A568" t="s">
        <v>450</v>
      </c>
      <c r="B568" t="s">
        <v>1377</v>
      </c>
      <c r="C568" t="s">
        <v>1047</v>
      </c>
      <c r="D568" t="s">
        <v>450</v>
      </c>
    </row>
    <row r="569" spans="1:4">
      <c r="A569" t="s">
        <v>73</v>
      </c>
      <c r="B569" t="s">
        <v>1388</v>
      </c>
      <c r="C569" t="s">
        <v>1048</v>
      </c>
      <c r="D569" t="s">
        <v>73</v>
      </c>
    </row>
    <row r="570" spans="1:4">
      <c r="A570" t="s">
        <v>74</v>
      </c>
      <c r="B570" t="s">
        <v>1389</v>
      </c>
      <c r="C570" t="s">
        <v>1049</v>
      </c>
      <c r="D570" t="s">
        <v>74</v>
      </c>
    </row>
    <row r="571" spans="1:4">
      <c r="A571" t="s">
        <v>2179</v>
      </c>
      <c r="B571" t="s">
        <v>1390</v>
      </c>
      <c r="C571" t="s">
        <v>1050</v>
      </c>
      <c r="D571" t="s">
        <v>2179</v>
      </c>
    </row>
    <row r="572" spans="1:4">
      <c r="A572" t="s">
        <v>171</v>
      </c>
      <c r="B572" t="s">
        <v>389</v>
      </c>
      <c r="C572" t="s">
        <v>1051</v>
      </c>
      <c r="D572" t="s">
        <v>171</v>
      </c>
    </row>
    <row r="573" spans="1:4">
      <c r="A573" t="s">
        <v>388</v>
      </c>
      <c r="B573" t="s">
        <v>390</v>
      </c>
      <c r="C573" t="s">
        <v>1052</v>
      </c>
      <c r="D573" t="s">
        <v>388</v>
      </c>
    </row>
    <row r="574" spans="1:4">
      <c r="A574" t="s">
        <v>703</v>
      </c>
      <c r="B574" t="s">
        <v>1391</v>
      </c>
      <c r="C574" t="s">
        <v>1053</v>
      </c>
      <c r="D574" t="s">
        <v>703</v>
      </c>
    </row>
    <row r="575" spans="1:4">
      <c r="A575" t="s">
        <v>704</v>
      </c>
      <c r="B575" t="s">
        <v>1392</v>
      </c>
      <c r="C575" t="s">
        <v>1054</v>
      </c>
      <c r="D575" t="s">
        <v>704</v>
      </c>
    </row>
    <row r="576" spans="1:4">
      <c r="A576" t="s">
        <v>2171</v>
      </c>
      <c r="B576" t="s">
        <v>1393</v>
      </c>
      <c r="C576" t="s">
        <v>1055</v>
      </c>
      <c r="D576" t="s">
        <v>2171</v>
      </c>
    </row>
    <row r="577" spans="1:4">
      <c r="A577" t="s">
        <v>2172</v>
      </c>
      <c r="B577" t="s">
        <v>283</v>
      </c>
      <c r="C577" t="s">
        <v>1056</v>
      </c>
      <c r="D577" t="s">
        <v>2172</v>
      </c>
    </row>
    <row r="578" spans="1:4">
      <c r="A578" t="s">
        <v>2174</v>
      </c>
      <c r="B578" t="s">
        <v>1394</v>
      </c>
      <c r="C578" t="s">
        <v>1057</v>
      </c>
      <c r="D578" t="s">
        <v>2174</v>
      </c>
    </row>
    <row r="579" spans="1:4">
      <c r="A579" t="s">
        <v>705</v>
      </c>
      <c r="B579" t="s">
        <v>705</v>
      </c>
      <c r="C579" t="s">
        <v>1058</v>
      </c>
      <c r="D579" t="s">
        <v>705</v>
      </c>
    </row>
    <row r="580" spans="1:4">
      <c r="A580" t="s">
        <v>2173</v>
      </c>
      <c r="B580" t="s">
        <v>2173</v>
      </c>
      <c r="C580" t="s">
        <v>1219</v>
      </c>
      <c r="D580" t="s">
        <v>2173</v>
      </c>
    </row>
    <row r="581" spans="1:4">
      <c r="A581" t="s">
        <v>2170</v>
      </c>
      <c r="B581" t="s">
        <v>785</v>
      </c>
      <c r="C581" t="s">
        <v>1220</v>
      </c>
      <c r="D581" t="s">
        <v>2170</v>
      </c>
    </row>
    <row r="582" spans="1:4">
      <c r="A582" t="s">
        <v>2178</v>
      </c>
      <c r="B582" t="s">
        <v>1395</v>
      </c>
      <c r="C582" t="s">
        <v>1221</v>
      </c>
      <c r="D582" t="s">
        <v>2178</v>
      </c>
    </row>
    <row r="583" spans="1:4">
      <c r="A583" t="s">
        <v>2175</v>
      </c>
      <c r="B583" t="s">
        <v>286</v>
      </c>
      <c r="C583" t="s">
        <v>1222</v>
      </c>
      <c r="D583" t="s">
        <v>2175</v>
      </c>
    </row>
    <row r="584" spans="1:4">
      <c r="A584" t="s">
        <v>2176</v>
      </c>
      <c r="B584" s="119" t="s">
        <v>287</v>
      </c>
      <c r="C584" t="s">
        <v>1223</v>
      </c>
      <c r="D584" t="s">
        <v>2176</v>
      </c>
    </row>
    <row r="585" spans="1:4">
      <c r="A585" t="s">
        <v>2177</v>
      </c>
      <c r="B585" s="119" t="s">
        <v>771</v>
      </c>
      <c r="C585" t="s">
        <v>1224</v>
      </c>
      <c r="D585" t="s">
        <v>2177</v>
      </c>
    </row>
    <row r="586" spans="1:4">
      <c r="A586" t="s">
        <v>632</v>
      </c>
      <c r="B586" s="119" t="s">
        <v>358</v>
      </c>
      <c r="C586" t="s">
        <v>2210</v>
      </c>
      <c r="D586" t="s">
        <v>632</v>
      </c>
    </row>
    <row r="587" spans="1:4">
      <c r="A587" t="s">
        <v>1537</v>
      </c>
      <c r="B587" s="119" t="s">
        <v>1752</v>
      </c>
      <c r="C587" t="s">
        <v>1225</v>
      </c>
      <c r="D587" t="s">
        <v>1537</v>
      </c>
    </row>
    <row r="588" spans="1:4">
      <c r="A588" t="s">
        <v>1396</v>
      </c>
      <c r="B588" s="119" t="s">
        <v>1753</v>
      </c>
      <c r="C588" t="s">
        <v>1226</v>
      </c>
      <c r="D588" t="s">
        <v>1396</v>
      </c>
    </row>
    <row r="589" spans="1:4">
      <c r="A589" t="s">
        <v>1400</v>
      </c>
      <c r="B589" s="119" t="s">
        <v>1754</v>
      </c>
      <c r="C589" t="s">
        <v>1227</v>
      </c>
      <c r="D589" t="s">
        <v>1400</v>
      </c>
    </row>
    <row r="590" spans="1:4">
      <c r="A590" t="s">
        <v>1399</v>
      </c>
      <c r="B590" s="119" t="s">
        <v>1755</v>
      </c>
      <c r="C590" t="s">
        <v>1228</v>
      </c>
      <c r="D590" t="s">
        <v>1399</v>
      </c>
    </row>
    <row r="591" spans="1:4">
      <c r="A591" t="s">
        <v>24</v>
      </c>
      <c r="B591" s="119" t="s">
        <v>1756</v>
      </c>
      <c r="C591" t="s">
        <v>839</v>
      </c>
      <c r="D591" t="s">
        <v>24</v>
      </c>
    </row>
    <row r="592" spans="1:4">
      <c r="A592" t="s">
        <v>1397</v>
      </c>
      <c r="B592" s="119" t="s">
        <v>1757</v>
      </c>
      <c r="C592" t="s">
        <v>1229</v>
      </c>
      <c r="D592" t="s">
        <v>1397</v>
      </c>
    </row>
    <row r="593" spans="1:4">
      <c r="A593" t="s">
        <v>1398</v>
      </c>
      <c r="B593" s="119" t="s">
        <v>1758</v>
      </c>
      <c r="C593" t="s">
        <v>1227</v>
      </c>
      <c r="D593" t="s">
        <v>1398</v>
      </c>
    </row>
    <row r="594" spans="1:4">
      <c r="A594" t="s">
        <v>1973</v>
      </c>
      <c r="B594" s="119" t="s">
        <v>1759</v>
      </c>
      <c r="C594" t="s">
        <v>1230</v>
      </c>
      <c r="D594" t="s">
        <v>1973</v>
      </c>
    </row>
    <row r="595" spans="1:4">
      <c r="A595" t="s">
        <v>26</v>
      </c>
      <c r="B595" s="119" t="s">
        <v>1760</v>
      </c>
      <c r="C595" t="s">
        <v>534</v>
      </c>
      <c r="D595" t="s">
        <v>26</v>
      </c>
    </row>
    <row r="596" spans="1:4">
      <c r="A596" t="s">
        <v>1403</v>
      </c>
      <c r="B596" s="119" t="s">
        <v>1761</v>
      </c>
      <c r="C596" t="s">
        <v>1231</v>
      </c>
      <c r="D596" t="s">
        <v>1403</v>
      </c>
    </row>
    <row r="597" spans="1:4">
      <c r="A597" t="s">
        <v>1404</v>
      </c>
      <c r="B597" s="119" t="s">
        <v>1762</v>
      </c>
      <c r="C597" t="s">
        <v>1232</v>
      </c>
      <c r="D597" t="s">
        <v>1404</v>
      </c>
    </row>
    <row r="598" spans="1:4">
      <c r="A598" t="s">
        <v>1405</v>
      </c>
      <c r="B598" s="119" t="s">
        <v>1763</v>
      </c>
      <c r="C598" t="s">
        <v>707</v>
      </c>
      <c r="D598" t="s">
        <v>1405</v>
      </c>
    </row>
    <row r="599" spans="1:4">
      <c r="A599" t="s">
        <v>1406</v>
      </c>
      <c r="B599" s="119" t="s">
        <v>1764</v>
      </c>
      <c r="C599" t="s">
        <v>708</v>
      </c>
      <c r="D599" t="s">
        <v>1406</v>
      </c>
    </row>
    <row r="600" spans="1:4">
      <c r="A600" t="s">
        <v>1407</v>
      </c>
      <c r="B600" s="119" t="s">
        <v>1765</v>
      </c>
      <c r="C600" t="s">
        <v>709</v>
      </c>
      <c r="D600" t="s">
        <v>1407</v>
      </c>
    </row>
    <row r="601" spans="1:4">
      <c r="A601" t="s">
        <v>1408</v>
      </c>
      <c r="B601" s="119" t="s">
        <v>1766</v>
      </c>
      <c r="C601" t="s">
        <v>710</v>
      </c>
      <c r="D601" t="s">
        <v>1408</v>
      </c>
    </row>
    <row r="602" spans="1:4">
      <c r="A602" t="s">
        <v>1409</v>
      </c>
      <c r="B602" s="119" t="s">
        <v>1767</v>
      </c>
      <c r="C602" t="s">
        <v>711</v>
      </c>
      <c r="D602" t="s">
        <v>1409</v>
      </c>
    </row>
    <row r="603" spans="1:4">
      <c r="A603" t="s">
        <v>1410</v>
      </c>
      <c r="B603" s="119" t="s">
        <v>1768</v>
      </c>
      <c r="C603" t="s">
        <v>712</v>
      </c>
      <c r="D603" t="s">
        <v>1410</v>
      </c>
    </row>
    <row r="604" spans="1:4">
      <c r="A604" t="s">
        <v>1411</v>
      </c>
      <c r="B604" s="119" t="s">
        <v>1769</v>
      </c>
      <c r="C604" t="s">
        <v>713</v>
      </c>
      <c r="D604" t="s">
        <v>1411</v>
      </c>
    </row>
    <row r="605" spans="1:4">
      <c r="A605" t="s">
        <v>1407</v>
      </c>
      <c r="B605" s="119" t="s">
        <v>1765</v>
      </c>
      <c r="C605" t="s">
        <v>709</v>
      </c>
      <c r="D605" t="s">
        <v>1407</v>
      </c>
    </row>
    <row r="606" spans="1:4">
      <c r="A606" t="s">
        <v>1408</v>
      </c>
      <c r="B606" s="119" t="s">
        <v>1766</v>
      </c>
      <c r="C606" t="s">
        <v>714</v>
      </c>
      <c r="D606" t="s">
        <v>1408</v>
      </c>
    </row>
    <row r="607" spans="1:4">
      <c r="A607" t="s">
        <v>1409</v>
      </c>
      <c r="B607" s="119" t="s">
        <v>1767</v>
      </c>
      <c r="C607" t="s">
        <v>715</v>
      </c>
      <c r="D607" t="s">
        <v>1409</v>
      </c>
    </row>
    <row r="608" spans="1:4">
      <c r="A608" t="s">
        <v>1410</v>
      </c>
      <c r="B608" s="119" t="s">
        <v>1768</v>
      </c>
      <c r="C608" t="s">
        <v>716</v>
      </c>
      <c r="D608" t="s">
        <v>1410</v>
      </c>
    </row>
    <row r="609" spans="1:4">
      <c r="A609" t="s">
        <v>1235</v>
      </c>
      <c r="B609" s="119" t="s">
        <v>1770</v>
      </c>
      <c r="C609" t="s">
        <v>717</v>
      </c>
      <c r="D609" t="s">
        <v>1235</v>
      </c>
    </row>
    <row r="610" spans="1:4">
      <c r="A610" t="s">
        <v>1236</v>
      </c>
      <c r="B610" s="119" t="s">
        <v>1771</v>
      </c>
      <c r="C610" t="s">
        <v>718</v>
      </c>
      <c r="D610" t="s">
        <v>1236</v>
      </c>
    </row>
    <row r="611" spans="1:4">
      <c r="A611" t="s">
        <v>1237</v>
      </c>
      <c r="B611" s="119" t="s">
        <v>1772</v>
      </c>
      <c r="C611" t="s">
        <v>719</v>
      </c>
      <c r="D611" t="s">
        <v>1237</v>
      </c>
    </row>
    <row r="612" spans="1:4">
      <c r="A612" t="s">
        <v>1238</v>
      </c>
      <c r="B612" s="119" t="s">
        <v>1773</v>
      </c>
      <c r="C612" t="s">
        <v>720</v>
      </c>
      <c r="D612" t="s">
        <v>1238</v>
      </c>
    </row>
    <row r="613" spans="1:4">
      <c r="A613" t="s">
        <v>1239</v>
      </c>
      <c r="B613" s="119" t="s">
        <v>1774</v>
      </c>
      <c r="C613" t="s">
        <v>721</v>
      </c>
      <c r="D613" t="s">
        <v>1239</v>
      </c>
    </row>
    <row r="614" spans="1:4">
      <c r="A614" t="s">
        <v>1240</v>
      </c>
      <c r="B614" s="119" t="s">
        <v>1775</v>
      </c>
      <c r="C614" t="s">
        <v>722</v>
      </c>
      <c r="D614" t="s">
        <v>1240</v>
      </c>
    </row>
    <row r="615" spans="1:4">
      <c r="A615" t="s">
        <v>1241</v>
      </c>
      <c r="B615" s="119" t="s">
        <v>1355</v>
      </c>
      <c r="C615" t="s">
        <v>723</v>
      </c>
      <c r="D615" t="s">
        <v>1241</v>
      </c>
    </row>
    <row r="616" spans="1:4">
      <c r="A616" t="s">
        <v>1401</v>
      </c>
      <c r="B616" s="119" t="s">
        <v>1356</v>
      </c>
      <c r="C616" t="s">
        <v>724</v>
      </c>
      <c r="D616" t="s">
        <v>1401</v>
      </c>
    </row>
    <row r="617" spans="1:4">
      <c r="A617" t="s">
        <v>1402</v>
      </c>
      <c r="B617" s="119" t="s">
        <v>1357</v>
      </c>
      <c r="C617" t="s">
        <v>1357</v>
      </c>
      <c r="D617" t="s">
        <v>1402</v>
      </c>
    </row>
    <row r="618" spans="1:4">
      <c r="A618" t="s">
        <v>1242</v>
      </c>
      <c r="B618" s="119" t="s">
        <v>1358</v>
      </c>
      <c r="C618" t="s">
        <v>725</v>
      </c>
      <c r="D618" t="s">
        <v>1242</v>
      </c>
    </row>
    <row r="619" spans="1:4">
      <c r="A619" t="s">
        <v>1243</v>
      </c>
      <c r="B619" s="119" t="s">
        <v>1365</v>
      </c>
      <c r="C619" t="s">
        <v>726</v>
      </c>
      <c r="D619" t="s">
        <v>1243</v>
      </c>
    </row>
    <row r="620" spans="1:4">
      <c r="A620" s="2" t="s">
        <v>153</v>
      </c>
      <c r="B620" s="119" t="s">
        <v>1366</v>
      </c>
      <c r="C620" t="s">
        <v>727</v>
      </c>
      <c r="D620" s="2" t="s">
        <v>153</v>
      </c>
    </row>
    <row r="621" spans="1:4">
      <c r="A621" t="s">
        <v>155</v>
      </c>
      <c r="B621" s="119" t="s">
        <v>1367</v>
      </c>
      <c r="C621" t="s">
        <v>728</v>
      </c>
      <c r="D621" t="s">
        <v>155</v>
      </c>
    </row>
    <row r="622" spans="1:4">
      <c r="A622" t="s">
        <v>1518</v>
      </c>
      <c r="B622" t="s">
        <v>1234</v>
      </c>
      <c r="C622" t="s">
        <v>729</v>
      </c>
      <c r="D622" t="s">
        <v>1518</v>
      </c>
    </row>
    <row r="623" spans="1:4">
      <c r="A623" s="2" t="s">
        <v>794</v>
      </c>
      <c r="B623" t="s">
        <v>773</v>
      </c>
      <c r="C623" t="s">
        <v>730</v>
      </c>
      <c r="D623" s="2" t="s">
        <v>794</v>
      </c>
    </row>
    <row r="624" spans="1:4">
      <c r="A624" t="s">
        <v>1150</v>
      </c>
      <c r="B624" t="s">
        <v>1151</v>
      </c>
      <c r="C624" t="s">
        <v>731</v>
      </c>
      <c r="D624" t="s">
        <v>1150</v>
      </c>
    </row>
    <row r="625" spans="1:4">
      <c r="A625" t="s">
        <v>1153</v>
      </c>
      <c r="B625" t="s">
        <v>1154</v>
      </c>
      <c r="C625" t="s">
        <v>732</v>
      </c>
      <c r="D625" t="s">
        <v>1153</v>
      </c>
    </row>
    <row r="626" spans="1:4">
      <c r="A626" s="2" t="s">
        <v>1359</v>
      </c>
      <c r="B626" t="s">
        <v>1362</v>
      </c>
      <c r="C626" t="s">
        <v>733</v>
      </c>
      <c r="D626" s="2" t="s">
        <v>1359</v>
      </c>
    </row>
    <row r="627" spans="1:4">
      <c r="A627" s="2" t="s">
        <v>1360</v>
      </c>
      <c r="B627" t="s">
        <v>1363</v>
      </c>
      <c r="C627" t="s">
        <v>734</v>
      </c>
      <c r="D627" s="2" t="s">
        <v>1360</v>
      </c>
    </row>
    <row r="628" spans="1:4">
      <c r="A628" s="2" t="s">
        <v>1361</v>
      </c>
      <c r="B628" t="s">
        <v>1118</v>
      </c>
      <c r="C628" t="s">
        <v>735</v>
      </c>
      <c r="D628" s="2" t="s">
        <v>1361</v>
      </c>
    </row>
    <row r="629" spans="1:4">
      <c r="A629" s="2" t="s">
        <v>1835</v>
      </c>
      <c r="B629" t="s">
        <v>1117</v>
      </c>
      <c r="C629" t="s">
        <v>736</v>
      </c>
      <c r="D629" s="2" t="s">
        <v>1835</v>
      </c>
    </row>
    <row r="630" spans="1:4">
      <c r="A630" s="2" t="s">
        <v>941</v>
      </c>
      <c r="B630" t="s">
        <v>1120</v>
      </c>
      <c r="C630" t="s">
        <v>231</v>
      </c>
      <c r="D630" s="2" t="s">
        <v>941</v>
      </c>
    </row>
    <row r="631" spans="1:4">
      <c r="A631" s="2" t="s">
        <v>1830</v>
      </c>
      <c r="B631" t="s">
        <v>1364</v>
      </c>
      <c r="C631" t="s">
        <v>737</v>
      </c>
      <c r="D631" s="2" t="s">
        <v>1830</v>
      </c>
    </row>
    <row r="632" spans="1:4">
      <c r="A632" t="s">
        <v>1159</v>
      </c>
      <c r="B632" t="s">
        <v>1160</v>
      </c>
      <c r="C632" t="s">
        <v>738</v>
      </c>
      <c r="D632" t="s">
        <v>1159</v>
      </c>
    </row>
    <row r="633" spans="1:4">
      <c r="A633" s="2" t="s">
        <v>1162</v>
      </c>
      <c r="B633" t="s">
        <v>1163</v>
      </c>
      <c r="C633" t="s">
        <v>739</v>
      </c>
      <c r="D633" s="2" t="s">
        <v>1162</v>
      </c>
    </row>
    <row r="634" spans="1:4">
      <c r="A634" t="s">
        <v>865</v>
      </c>
      <c r="B634" t="s">
        <v>866</v>
      </c>
      <c r="C634" t="s">
        <v>691</v>
      </c>
      <c r="D634" t="s">
        <v>865</v>
      </c>
    </row>
    <row r="635" spans="1:4">
      <c r="A635" t="s">
        <v>1216</v>
      </c>
      <c r="B635" t="s">
        <v>1217</v>
      </c>
      <c r="C635" t="s">
        <v>1105</v>
      </c>
      <c r="D635" t="s">
        <v>1216</v>
      </c>
    </row>
    <row r="636" spans="1:4">
      <c r="A636" t="s">
        <v>1161</v>
      </c>
      <c r="B636" t="s">
        <v>1730</v>
      </c>
      <c r="C636" t="s">
        <v>1106</v>
      </c>
      <c r="D636" t="s">
        <v>1161</v>
      </c>
    </row>
    <row r="637" spans="1:4">
      <c r="A637" t="s">
        <v>200</v>
      </c>
      <c r="B637" t="s">
        <v>201</v>
      </c>
      <c r="C637" t="s">
        <v>1107</v>
      </c>
      <c r="D637" t="s">
        <v>200</v>
      </c>
    </row>
    <row r="638" spans="1:4">
      <c r="A638" t="s">
        <v>2148</v>
      </c>
      <c r="B638" t="s">
        <v>2056</v>
      </c>
      <c r="C638" t="s">
        <v>1108</v>
      </c>
      <c r="D638" t="s">
        <v>2148</v>
      </c>
    </row>
    <row r="639" spans="1:4">
      <c r="A639" t="s">
        <v>2149</v>
      </c>
      <c r="B639" t="s">
        <v>2057</v>
      </c>
      <c r="C639" t="s">
        <v>1109</v>
      </c>
      <c r="D639" t="s">
        <v>2149</v>
      </c>
    </row>
    <row r="640" spans="1:4">
      <c r="A640" t="s">
        <v>2145</v>
      </c>
      <c r="B640" t="s">
        <v>2058</v>
      </c>
      <c r="C640" t="s">
        <v>1110</v>
      </c>
      <c r="D640" t="s">
        <v>2145</v>
      </c>
    </row>
    <row r="641" spans="1:4">
      <c r="A641" t="s">
        <v>2146</v>
      </c>
      <c r="B641" t="s">
        <v>2059</v>
      </c>
      <c r="C641" t="s">
        <v>1111</v>
      </c>
      <c r="D641" t="s">
        <v>2146</v>
      </c>
    </row>
    <row r="642" spans="1:4">
      <c r="A642" t="s">
        <v>2150</v>
      </c>
      <c r="B642" t="s">
        <v>2060</v>
      </c>
      <c r="C642" t="s">
        <v>1112</v>
      </c>
      <c r="D642" t="s">
        <v>2150</v>
      </c>
    </row>
    <row r="643" spans="1:4">
      <c r="A643" t="s">
        <v>645</v>
      </c>
      <c r="B643" t="s">
        <v>784</v>
      </c>
      <c r="C643" t="s">
        <v>1181</v>
      </c>
      <c r="D643" t="s">
        <v>645</v>
      </c>
    </row>
    <row r="644" spans="1:4">
      <c r="A644" t="s">
        <v>207</v>
      </c>
      <c r="B644" t="s">
        <v>787</v>
      </c>
      <c r="C644" t="s">
        <v>1184</v>
      </c>
      <c r="D644" t="s">
        <v>207</v>
      </c>
    </row>
    <row r="645" spans="1:4">
      <c r="A645" t="s">
        <v>206</v>
      </c>
      <c r="B645" t="s">
        <v>785</v>
      </c>
      <c r="C645" t="s">
        <v>1182</v>
      </c>
      <c r="D645" t="s">
        <v>206</v>
      </c>
    </row>
    <row r="646" spans="1:4">
      <c r="A646" t="s">
        <v>2151</v>
      </c>
      <c r="B646" t="s">
        <v>788</v>
      </c>
      <c r="C646" t="s">
        <v>882</v>
      </c>
      <c r="D646" t="s">
        <v>2151</v>
      </c>
    </row>
    <row r="647" spans="1:4">
      <c r="A647" t="s">
        <v>2152</v>
      </c>
      <c r="B647" t="s">
        <v>2061</v>
      </c>
      <c r="C647" t="s">
        <v>1107</v>
      </c>
      <c r="D647" t="s">
        <v>2152</v>
      </c>
    </row>
    <row r="648" spans="1:4">
      <c r="A648" t="s">
        <v>2153</v>
      </c>
      <c r="B648" t="s">
        <v>2062</v>
      </c>
      <c r="C648" t="s">
        <v>883</v>
      </c>
      <c r="D648" t="s">
        <v>2153</v>
      </c>
    </row>
    <row r="649" spans="1:4">
      <c r="A649" t="s">
        <v>2154</v>
      </c>
      <c r="B649" t="s">
        <v>2063</v>
      </c>
      <c r="C649" t="s">
        <v>884</v>
      </c>
      <c r="D649" t="s">
        <v>2154</v>
      </c>
    </row>
    <row r="650" spans="1:4">
      <c r="A650" t="s">
        <v>21</v>
      </c>
      <c r="B650" t="s">
        <v>2064</v>
      </c>
      <c r="C650" t="s">
        <v>885</v>
      </c>
      <c r="D650" t="s">
        <v>21</v>
      </c>
    </row>
    <row r="651" spans="1:4">
      <c r="A651" t="s">
        <v>1965</v>
      </c>
      <c r="B651" t="s">
        <v>2065</v>
      </c>
      <c r="C651" t="s">
        <v>886</v>
      </c>
      <c r="D651" t="s">
        <v>1965</v>
      </c>
    </row>
    <row r="652" spans="1:4">
      <c r="A652" t="s">
        <v>1559</v>
      </c>
      <c r="B652" t="s">
        <v>399</v>
      </c>
      <c r="C652" t="s">
        <v>887</v>
      </c>
      <c r="D652" t="s">
        <v>1559</v>
      </c>
    </row>
    <row r="653" spans="1:4">
      <c r="A653" t="s">
        <v>1966</v>
      </c>
      <c r="B653" t="s">
        <v>400</v>
      </c>
      <c r="C653" t="s">
        <v>888</v>
      </c>
      <c r="D653" t="s">
        <v>1966</v>
      </c>
    </row>
    <row r="654" spans="1:4">
      <c r="A654" t="s">
        <v>833</v>
      </c>
      <c r="B654" t="s">
        <v>401</v>
      </c>
      <c r="C654" t="s">
        <v>889</v>
      </c>
      <c r="D654" t="s">
        <v>833</v>
      </c>
    </row>
    <row r="655" spans="1:4">
      <c r="A655" t="s">
        <v>1157</v>
      </c>
      <c r="B655" t="s">
        <v>402</v>
      </c>
      <c r="C655" t="s">
        <v>890</v>
      </c>
      <c r="D655" t="s">
        <v>1157</v>
      </c>
    </row>
    <row r="656" spans="1:4">
      <c r="A656" t="s">
        <v>1155</v>
      </c>
      <c r="B656" t="s">
        <v>403</v>
      </c>
      <c r="C656" t="s">
        <v>891</v>
      </c>
      <c r="D656" t="s">
        <v>1155</v>
      </c>
    </row>
    <row r="657" spans="1:4">
      <c r="A657" t="s">
        <v>1156</v>
      </c>
      <c r="B657" t="s">
        <v>404</v>
      </c>
      <c r="C657" t="s">
        <v>892</v>
      </c>
      <c r="D657" t="s">
        <v>1156</v>
      </c>
    </row>
    <row r="658" spans="1:4">
      <c r="A658" t="s">
        <v>1158</v>
      </c>
      <c r="B658" t="s">
        <v>405</v>
      </c>
      <c r="C658" t="s">
        <v>893</v>
      </c>
      <c r="D658" t="s">
        <v>1158</v>
      </c>
    </row>
    <row r="659" spans="1:4">
      <c r="A659" t="s">
        <v>2147</v>
      </c>
      <c r="B659" t="s">
        <v>406</v>
      </c>
      <c r="C659" t="s">
        <v>894</v>
      </c>
      <c r="D659" t="s">
        <v>2147</v>
      </c>
    </row>
    <row r="660" spans="1:4">
      <c r="A660" t="s">
        <v>242</v>
      </c>
      <c r="B660" t="s">
        <v>407</v>
      </c>
      <c r="C660" t="s">
        <v>895</v>
      </c>
      <c r="D660" t="s">
        <v>242</v>
      </c>
    </row>
    <row r="661" spans="1:4">
      <c r="A661" t="s">
        <v>243</v>
      </c>
      <c r="B661" t="s">
        <v>408</v>
      </c>
      <c r="C661" t="s">
        <v>896</v>
      </c>
      <c r="D661" t="s">
        <v>243</v>
      </c>
    </row>
    <row r="662" spans="1:4">
      <c r="A662" t="s">
        <v>244</v>
      </c>
      <c r="B662" t="s">
        <v>1735</v>
      </c>
      <c r="C662" t="s">
        <v>897</v>
      </c>
      <c r="D662" t="s">
        <v>244</v>
      </c>
    </row>
    <row r="663" spans="1:4">
      <c r="A663" t="s">
        <v>245</v>
      </c>
      <c r="B663" t="s">
        <v>409</v>
      </c>
      <c r="C663" t="s">
        <v>898</v>
      </c>
      <c r="D663" t="s">
        <v>245</v>
      </c>
    </row>
    <row r="664" spans="1:4">
      <c r="A664" t="s">
        <v>1238</v>
      </c>
      <c r="B664" t="s">
        <v>1394</v>
      </c>
      <c r="C664" t="s">
        <v>720</v>
      </c>
      <c r="D664" t="s">
        <v>1238</v>
      </c>
    </row>
    <row r="665" spans="1:4">
      <c r="A665" t="s">
        <v>240</v>
      </c>
      <c r="B665" t="s">
        <v>1804</v>
      </c>
      <c r="C665" t="s">
        <v>899</v>
      </c>
      <c r="D665" t="s">
        <v>240</v>
      </c>
    </row>
    <row r="666" spans="1:4">
      <c r="A666" t="s">
        <v>2327</v>
      </c>
      <c r="B666" t="s">
        <v>2186</v>
      </c>
      <c r="C666" t="s">
        <v>900</v>
      </c>
      <c r="D666" t="s">
        <v>2327</v>
      </c>
    </row>
    <row r="667" spans="1:4">
      <c r="A667" t="s">
        <v>2328</v>
      </c>
      <c r="B667" t="s">
        <v>2187</v>
      </c>
      <c r="C667" t="s">
        <v>901</v>
      </c>
      <c r="D667" t="s">
        <v>2328</v>
      </c>
    </row>
    <row r="668" spans="1:4">
      <c r="A668" t="s">
        <v>2075</v>
      </c>
      <c r="B668" t="s">
        <v>2223</v>
      </c>
      <c r="C668" t="s">
        <v>902</v>
      </c>
      <c r="D668" t="s">
        <v>2075</v>
      </c>
    </row>
    <row r="669" spans="1:4">
      <c r="A669" t="s">
        <v>324</v>
      </c>
      <c r="B669" t="s">
        <v>2224</v>
      </c>
      <c r="C669" t="s">
        <v>903</v>
      </c>
      <c r="D669" t="s">
        <v>324</v>
      </c>
    </row>
    <row r="670" spans="1:4">
      <c r="A670" t="s">
        <v>1319</v>
      </c>
      <c r="B670" t="s">
        <v>2225</v>
      </c>
      <c r="C670" t="s">
        <v>904</v>
      </c>
      <c r="D670" t="s">
        <v>1319</v>
      </c>
    </row>
    <row r="671" spans="1:4">
      <c r="A671" t="s">
        <v>1074</v>
      </c>
      <c r="B671" t="s">
        <v>1078</v>
      </c>
      <c r="C671" t="s">
        <v>905</v>
      </c>
      <c r="D671" t="s">
        <v>1074</v>
      </c>
    </row>
    <row r="672" spans="1:4">
      <c r="A672" t="s">
        <v>1073</v>
      </c>
      <c r="B672" t="s">
        <v>1077</v>
      </c>
      <c r="C672" t="s">
        <v>1196</v>
      </c>
      <c r="D672" t="s">
        <v>1073</v>
      </c>
    </row>
    <row r="673" spans="1:4">
      <c r="A673" t="s">
        <v>706</v>
      </c>
      <c r="B673" t="s">
        <v>2226</v>
      </c>
      <c r="C673" t="s">
        <v>906</v>
      </c>
      <c r="D673" t="s">
        <v>706</v>
      </c>
    </row>
    <row r="674" spans="1:4">
      <c r="A674" t="s">
        <v>2133</v>
      </c>
      <c r="B674" t="s">
        <v>2227</v>
      </c>
      <c r="C674" t="s">
        <v>907</v>
      </c>
      <c r="D674" t="s">
        <v>2133</v>
      </c>
    </row>
    <row r="675" spans="1:4">
      <c r="A675" t="s">
        <v>2168</v>
      </c>
      <c r="B675" t="s">
        <v>2228</v>
      </c>
      <c r="C675" t="s">
        <v>908</v>
      </c>
      <c r="D675" t="s">
        <v>2168</v>
      </c>
    </row>
    <row r="676" spans="1:4">
      <c r="A676" t="s">
        <v>2169</v>
      </c>
      <c r="B676" t="s">
        <v>2229</v>
      </c>
      <c r="C676" t="s">
        <v>909</v>
      </c>
      <c r="D676" t="s">
        <v>2169</v>
      </c>
    </row>
    <row r="677" spans="1:4">
      <c r="A677" t="s">
        <v>1582</v>
      </c>
      <c r="B677" t="s">
        <v>1604</v>
      </c>
      <c r="C677" t="s">
        <v>910</v>
      </c>
      <c r="D677" t="s">
        <v>1582</v>
      </c>
    </row>
    <row r="678" spans="1:4">
      <c r="A678" t="s">
        <v>156</v>
      </c>
      <c r="B678" t="s">
        <v>1605</v>
      </c>
      <c r="C678" t="s">
        <v>911</v>
      </c>
      <c r="D678" t="s">
        <v>156</v>
      </c>
    </row>
    <row r="679" spans="1:4">
      <c r="A679" t="s">
        <v>157</v>
      </c>
      <c r="B679" t="s">
        <v>1606</v>
      </c>
      <c r="C679" t="s">
        <v>2353</v>
      </c>
      <c r="D679" t="s">
        <v>157</v>
      </c>
    </row>
    <row r="680" spans="1:4">
      <c r="A680" t="s">
        <v>158</v>
      </c>
      <c r="B680" t="s">
        <v>1607</v>
      </c>
      <c r="C680" t="s">
        <v>912</v>
      </c>
      <c r="D680" t="s">
        <v>158</v>
      </c>
    </row>
    <row r="681" spans="1:4">
      <c r="A681" t="s">
        <v>377</v>
      </c>
      <c r="B681" t="s">
        <v>463</v>
      </c>
      <c r="C681" t="s">
        <v>913</v>
      </c>
      <c r="D681" t="s">
        <v>377</v>
      </c>
    </row>
    <row r="682" spans="1:4">
      <c r="A682" t="s">
        <v>1549</v>
      </c>
      <c r="B682" t="s">
        <v>1608</v>
      </c>
      <c r="C682" t="s">
        <v>914</v>
      </c>
      <c r="D682" t="s">
        <v>1549</v>
      </c>
    </row>
    <row r="683" spans="1:4">
      <c r="A683" t="s">
        <v>1780</v>
      </c>
      <c r="B683" t="s">
        <v>1609</v>
      </c>
      <c r="C683" t="s">
        <v>915</v>
      </c>
      <c r="D683" t="s">
        <v>1780</v>
      </c>
    </row>
    <row r="684" spans="1:4">
      <c r="A684" t="s">
        <v>1781</v>
      </c>
      <c r="B684" t="s">
        <v>1610</v>
      </c>
      <c r="C684" t="s">
        <v>916</v>
      </c>
      <c r="D684" t="s">
        <v>1781</v>
      </c>
    </row>
    <row r="685" spans="1:4">
      <c r="A685" t="s">
        <v>1782</v>
      </c>
      <c r="B685" t="s">
        <v>1611</v>
      </c>
      <c r="C685" t="s">
        <v>557</v>
      </c>
      <c r="D685" t="s">
        <v>1782</v>
      </c>
    </row>
    <row r="686" spans="1:4">
      <c r="A686" t="s">
        <v>1783</v>
      </c>
      <c r="B686" t="s">
        <v>1613</v>
      </c>
      <c r="C686" t="s">
        <v>558</v>
      </c>
      <c r="D686" t="s">
        <v>1783</v>
      </c>
    </row>
    <row r="687" spans="1:4">
      <c r="A687" t="s">
        <v>1784</v>
      </c>
      <c r="B687" t="s">
        <v>1721</v>
      </c>
      <c r="C687" t="s">
        <v>559</v>
      </c>
      <c r="D687" t="s">
        <v>1784</v>
      </c>
    </row>
    <row r="688" spans="1:4">
      <c r="A688" t="s">
        <v>1785</v>
      </c>
      <c r="B688" t="s">
        <v>174</v>
      </c>
      <c r="C688" t="s">
        <v>560</v>
      </c>
      <c r="D688" t="s">
        <v>1785</v>
      </c>
    </row>
    <row r="689" spans="1:4">
      <c r="A689" t="s">
        <v>1786</v>
      </c>
      <c r="B689" t="s">
        <v>1614</v>
      </c>
      <c r="C689" t="s">
        <v>561</v>
      </c>
      <c r="D689" t="s">
        <v>1786</v>
      </c>
    </row>
    <row r="690" spans="1:4">
      <c r="A690" t="s">
        <v>1787</v>
      </c>
      <c r="B690" t="s">
        <v>1612</v>
      </c>
      <c r="C690" t="s">
        <v>917</v>
      </c>
      <c r="D690" t="s">
        <v>1787</v>
      </c>
    </row>
    <row r="691" spans="1:4">
      <c r="A691" t="s">
        <v>1788</v>
      </c>
      <c r="B691" t="s">
        <v>1618</v>
      </c>
      <c r="C691" t="s">
        <v>918</v>
      </c>
      <c r="D691" t="s">
        <v>1788</v>
      </c>
    </row>
    <row r="692" spans="1:4">
      <c r="A692" t="s">
        <v>1789</v>
      </c>
      <c r="B692" t="s">
        <v>1615</v>
      </c>
      <c r="C692" t="s">
        <v>919</v>
      </c>
      <c r="D692" t="s">
        <v>1789</v>
      </c>
    </row>
    <row r="693" spans="1:4">
      <c r="A693" t="s">
        <v>1790</v>
      </c>
      <c r="B693" t="s">
        <v>172</v>
      </c>
      <c r="C693" t="s">
        <v>1442</v>
      </c>
      <c r="D693" t="s">
        <v>1790</v>
      </c>
    </row>
    <row r="694" spans="1:4">
      <c r="A694" t="s">
        <v>1791</v>
      </c>
      <c r="B694" t="s">
        <v>1616</v>
      </c>
      <c r="C694" t="s">
        <v>1443</v>
      </c>
      <c r="D694" t="s">
        <v>1791</v>
      </c>
    </row>
    <row r="695" spans="1:4">
      <c r="A695" t="s">
        <v>1792</v>
      </c>
      <c r="B695" t="s">
        <v>1617</v>
      </c>
      <c r="C695" t="s">
        <v>1444</v>
      </c>
      <c r="D695" t="s">
        <v>1792</v>
      </c>
    </row>
    <row r="696" spans="1:4">
      <c r="A696" t="s">
        <v>1793</v>
      </c>
      <c r="B696" t="s">
        <v>1619</v>
      </c>
      <c r="C696" t="s">
        <v>1445</v>
      </c>
      <c r="D696" t="s">
        <v>1793</v>
      </c>
    </row>
    <row r="697" spans="1:4">
      <c r="A697" t="s">
        <v>1794</v>
      </c>
      <c r="B697" t="s">
        <v>1862</v>
      </c>
      <c r="C697" t="s">
        <v>1446</v>
      </c>
      <c r="D697" t="s">
        <v>1794</v>
      </c>
    </row>
    <row r="698" spans="1:4">
      <c r="A698" t="s">
        <v>1795</v>
      </c>
      <c r="B698" t="s">
        <v>1872</v>
      </c>
      <c r="C698" t="s">
        <v>1447</v>
      </c>
      <c r="D698" t="s">
        <v>1795</v>
      </c>
    </row>
    <row r="699" spans="1:4">
      <c r="A699" t="s">
        <v>1796</v>
      </c>
      <c r="B699" t="s">
        <v>1873</v>
      </c>
      <c r="C699" t="s">
        <v>1448</v>
      </c>
      <c r="D699" t="s">
        <v>1796</v>
      </c>
    </row>
    <row r="700" spans="1:4">
      <c r="A700" t="s">
        <v>1797</v>
      </c>
      <c r="B700" t="s">
        <v>1874</v>
      </c>
      <c r="C700" t="s">
        <v>1449</v>
      </c>
      <c r="D700" t="s">
        <v>1797</v>
      </c>
    </row>
    <row r="701" spans="1:4">
      <c r="A701" t="s">
        <v>1798</v>
      </c>
      <c r="B701" t="s">
        <v>1875</v>
      </c>
      <c r="C701" t="s">
        <v>1450</v>
      </c>
      <c r="D701" t="s">
        <v>1798</v>
      </c>
    </row>
    <row r="702" spans="1:4">
      <c r="A702" t="s">
        <v>1620</v>
      </c>
      <c r="B702" t="s">
        <v>1876</v>
      </c>
      <c r="C702" t="s">
        <v>1451</v>
      </c>
      <c r="D702" t="s">
        <v>1620</v>
      </c>
    </row>
    <row r="703" spans="1:4">
      <c r="A703" t="s">
        <v>1621</v>
      </c>
      <c r="B703" t="s">
        <v>1877</v>
      </c>
      <c r="C703" t="s">
        <v>1452</v>
      </c>
      <c r="D703" t="s">
        <v>1621</v>
      </c>
    </row>
    <row r="704" spans="1:4">
      <c r="A704" t="s">
        <v>1622</v>
      </c>
      <c r="B704" t="s">
        <v>1717</v>
      </c>
      <c r="C704" t="s">
        <v>1453</v>
      </c>
      <c r="D704" t="s">
        <v>1622</v>
      </c>
    </row>
    <row r="705" spans="1:4">
      <c r="A705" t="s">
        <v>1623</v>
      </c>
      <c r="B705" t="s">
        <v>1878</v>
      </c>
      <c r="C705" t="s">
        <v>1454</v>
      </c>
      <c r="D705" t="s">
        <v>1623</v>
      </c>
    </row>
    <row r="706" spans="1:4">
      <c r="A706" t="s">
        <v>1624</v>
      </c>
      <c r="B706" t="s">
        <v>1879</v>
      </c>
      <c r="C706" t="s">
        <v>1455</v>
      </c>
      <c r="D706" t="s">
        <v>1624</v>
      </c>
    </row>
    <row r="707" spans="1:4">
      <c r="A707" t="s">
        <v>1937</v>
      </c>
      <c r="B707" t="s">
        <v>1871</v>
      </c>
      <c r="C707" t="s">
        <v>1456</v>
      </c>
      <c r="D707" t="s">
        <v>1937</v>
      </c>
    </row>
    <row r="708" spans="1:4">
      <c r="A708" t="s">
        <v>1624</v>
      </c>
      <c r="B708" t="s">
        <v>1880</v>
      </c>
      <c r="C708" t="s">
        <v>1455</v>
      </c>
      <c r="D708" t="s">
        <v>1624</v>
      </c>
    </row>
    <row r="709" spans="1:4">
      <c r="A709" t="s">
        <v>1625</v>
      </c>
      <c r="B709" t="s">
        <v>1881</v>
      </c>
      <c r="C709" t="s">
        <v>1457</v>
      </c>
      <c r="D709" t="s">
        <v>1625</v>
      </c>
    </row>
    <row r="710" spans="1:4">
      <c r="A710" t="s">
        <v>1626</v>
      </c>
      <c r="B710" t="s">
        <v>141</v>
      </c>
      <c r="C710" t="s">
        <v>494</v>
      </c>
      <c r="D710" t="s">
        <v>1626</v>
      </c>
    </row>
    <row r="711" spans="1:4">
      <c r="A711" t="s">
        <v>1950</v>
      </c>
      <c r="B711" t="s">
        <v>1882</v>
      </c>
      <c r="C711" t="s">
        <v>1458</v>
      </c>
      <c r="D711" t="s">
        <v>1950</v>
      </c>
    </row>
    <row r="712" spans="1:4">
      <c r="A712" t="s">
        <v>1627</v>
      </c>
      <c r="B712" t="s">
        <v>1720</v>
      </c>
      <c r="C712" t="s">
        <v>1459</v>
      </c>
      <c r="D712" t="s">
        <v>1627</v>
      </c>
    </row>
    <row r="713" spans="1:4">
      <c r="A713" t="s">
        <v>70</v>
      </c>
      <c r="B713" t="s">
        <v>1864</v>
      </c>
      <c r="C713" t="s">
        <v>493</v>
      </c>
      <c r="D713" t="s">
        <v>70</v>
      </c>
    </row>
    <row r="714" spans="1:4">
      <c r="A714" t="s">
        <v>1628</v>
      </c>
      <c r="B714" t="s">
        <v>1865</v>
      </c>
      <c r="C714" t="s">
        <v>1460</v>
      </c>
      <c r="D714" t="s">
        <v>1628</v>
      </c>
    </row>
    <row r="715" spans="1:4">
      <c r="A715" t="s">
        <v>1629</v>
      </c>
      <c r="B715" t="s">
        <v>1866</v>
      </c>
      <c r="C715" t="s">
        <v>1461</v>
      </c>
      <c r="D715" t="s">
        <v>1629</v>
      </c>
    </row>
    <row r="716" spans="1:4">
      <c r="A716" t="s">
        <v>1630</v>
      </c>
      <c r="B716" t="s">
        <v>1883</v>
      </c>
      <c r="C716" t="s">
        <v>1462</v>
      </c>
      <c r="D716" t="s">
        <v>1630</v>
      </c>
    </row>
    <row r="717" spans="1:4">
      <c r="A717" t="s">
        <v>1631</v>
      </c>
      <c r="B717" t="s">
        <v>1884</v>
      </c>
      <c r="C717" t="s">
        <v>1463</v>
      </c>
      <c r="D717" t="s">
        <v>1631</v>
      </c>
    </row>
    <row r="718" spans="1:4">
      <c r="A718" t="s">
        <v>1254</v>
      </c>
      <c r="B718" t="s">
        <v>1885</v>
      </c>
      <c r="C718" t="s">
        <v>1464</v>
      </c>
      <c r="D718" t="s">
        <v>1254</v>
      </c>
    </row>
    <row r="719" spans="1:4">
      <c r="A719" t="s">
        <v>1255</v>
      </c>
      <c r="B719" t="s">
        <v>1886</v>
      </c>
      <c r="C719" t="s">
        <v>1465</v>
      </c>
      <c r="D719" t="s">
        <v>1255</v>
      </c>
    </row>
    <row r="720" spans="1:4">
      <c r="A720" t="s">
        <v>1793</v>
      </c>
      <c r="B720" t="s">
        <v>1870</v>
      </c>
      <c r="C720" t="s">
        <v>1445</v>
      </c>
      <c r="D720" t="s">
        <v>1793</v>
      </c>
    </row>
    <row r="721" spans="1:4">
      <c r="A721" t="s">
        <v>1256</v>
      </c>
      <c r="B721" t="s">
        <v>1887</v>
      </c>
      <c r="C721" t="s">
        <v>1466</v>
      </c>
      <c r="D721" t="s">
        <v>1256</v>
      </c>
    </row>
    <row r="722" spans="1:4">
      <c r="A722" t="s">
        <v>1257</v>
      </c>
      <c r="B722" t="s">
        <v>1888</v>
      </c>
      <c r="C722" t="s">
        <v>1467</v>
      </c>
      <c r="D722" t="s">
        <v>1257</v>
      </c>
    </row>
    <row r="723" spans="1:4">
      <c r="A723" t="s">
        <v>1258</v>
      </c>
      <c r="B723" t="s">
        <v>1889</v>
      </c>
      <c r="C723" t="s">
        <v>1468</v>
      </c>
      <c r="D723" t="s">
        <v>1258</v>
      </c>
    </row>
    <row r="724" spans="1:4">
      <c r="A724" t="s">
        <v>1259</v>
      </c>
      <c r="B724" t="s">
        <v>1867</v>
      </c>
      <c r="C724" t="s">
        <v>1469</v>
      </c>
      <c r="D724" t="s">
        <v>1259</v>
      </c>
    </row>
    <row r="725" spans="1:4">
      <c r="A725" t="s">
        <v>1260</v>
      </c>
      <c r="B725" t="s">
        <v>1868</v>
      </c>
      <c r="C725" t="s">
        <v>1470</v>
      </c>
      <c r="D725" t="s">
        <v>1260</v>
      </c>
    </row>
    <row r="726" spans="1:4">
      <c r="A726" t="s">
        <v>1261</v>
      </c>
      <c r="B726" t="s">
        <v>1869</v>
      </c>
      <c r="C726" t="s">
        <v>1471</v>
      </c>
      <c r="D726" t="s">
        <v>1261</v>
      </c>
    </row>
    <row r="727" spans="1:4">
      <c r="A727" t="s">
        <v>1262</v>
      </c>
      <c r="B727" t="s">
        <v>1890</v>
      </c>
      <c r="C727" t="s">
        <v>1472</v>
      </c>
      <c r="D727" t="s">
        <v>1262</v>
      </c>
    </row>
    <row r="728" spans="1:4">
      <c r="A728" t="s">
        <v>19</v>
      </c>
      <c r="B728" t="s">
        <v>1891</v>
      </c>
      <c r="C728" t="s">
        <v>1473</v>
      </c>
      <c r="D728" t="s">
        <v>19</v>
      </c>
    </row>
    <row r="729" spans="1:4">
      <c r="A729" t="s">
        <v>20</v>
      </c>
      <c r="B729" t="s">
        <v>1892</v>
      </c>
      <c r="C729" t="s">
        <v>1474</v>
      </c>
      <c r="D729" t="s">
        <v>20</v>
      </c>
    </row>
    <row r="730" spans="1:4">
      <c r="A730" t="s">
        <v>313</v>
      </c>
      <c r="B730" t="s">
        <v>1893</v>
      </c>
      <c r="C730" t="s">
        <v>1475</v>
      </c>
      <c r="D730" t="s">
        <v>313</v>
      </c>
    </row>
    <row r="731" spans="1:4">
      <c r="A731" t="s">
        <v>1261</v>
      </c>
      <c r="B731" t="s">
        <v>1869</v>
      </c>
      <c r="C731" t="s">
        <v>1476</v>
      </c>
      <c r="D731" t="s">
        <v>1261</v>
      </c>
    </row>
    <row r="732" spans="1:4">
      <c r="A732" t="s">
        <v>1573</v>
      </c>
      <c r="B732" t="s">
        <v>1894</v>
      </c>
      <c r="C732" t="s">
        <v>1477</v>
      </c>
      <c r="D732" t="s">
        <v>1573</v>
      </c>
    </row>
    <row r="733" spans="1:4">
      <c r="A733" t="s">
        <v>1793</v>
      </c>
      <c r="B733" t="s">
        <v>1863</v>
      </c>
      <c r="C733" t="s">
        <v>1445</v>
      </c>
      <c r="D733" t="s">
        <v>1793</v>
      </c>
    </row>
    <row r="734" spans="1:4">
      <c r="A734" t="s">
        <v>314</v>
      </c>
      <c r="B734" t="s">
        <v>1632</v>
      </c>
      <c r="C734" t="s">
        <v>1478</v>
      </c>
      <c r="D734" t="s">
        <v>314</v>
      </c>
    </row>
    <row r="735" spans="1:4">
      <c r="A735" t="s">
        <v>315</v>
      </c>
      <c r="B735" t="s">
        <v>1633</v>
      </c>
      <c r="C735" t="s">
        <v>1479</v>
      </c>
      <c r="D735" t="s">
        <v>315</v>
      </c>
    </row>
    <row r="736" spans="1:4">
      <c r="A736" t="s">
        <v>316</v>
      </c>
      <c r="B736" t="s">
        <v>1634</v>
      </c>
      <c r="C736" t="s">
        <v>1480</v>
      </c>
      <c r="D736" t="s">
        <v>316</v>
      </c>
    </row>
    <row r="737" spans="1:4">
      <c r="A737" t="s">
        <v>317</v>
      </c>
      <c r="B737" t="s">
        <v>1635</v>
      </c>
      <c r="C737" t="s">
        <v>599</v>
      </c>
      <c r="D737" t="s">
        <v>317</v>
      </c>
    </row>
    <row r="738" spans="1:4">
      <c r="A738" t="s">
        <v>318</v>
      </c>
      <c r="B738" t="s">
        <v>1636</v>
      </c>
      <c r="C738" t="s">
        <v>600</v>
      </c>
      <c r="D738" t="s">
        <v>318</v>
      </c>
    </row>
    <row r="739" spans="1:4">
      <c r="A739" t="s">
        <v>319</v>
      </c>
      <c r="B739" t="s">
        <v>1638</v>
      </c>
      <c r="C739" t="s">
        <v>601</v>
      </c>
      <c r="D739" t="s">
        <v>319</v>
      </c>
    </row>
    <row r="740" spans="1:4">
      <c r="A740" t="s">
        <v>320</v>
      </c>
      <c r="B740" t="s">
        <v>1639</v>
      </c>
      <c r="C740" t="s">
        <v>602</v>
      </c>
      <c r="D740" t="s">
        <v>320</v>
      </c>
    </row>
    <row r="741" spans="1:4">
      <c r="A741" t="s">
        <v>321</v>
      </c>
      <c r="B741" t="s">
        <v>1640</v>
      </c>
      <c r="C741" t="s">
        <v>603</v>
      </c>
      <c r="D741" t="s">
        <v>321</v>
      </c>
    </row>
    <row r="742" spans="1:4">
      <c r="A742" t="s">
        <v>322</v>
      </c>
      <c r="B742" t="s">
        <v>398</v>
      </c>
      <c r="C742" t="s">
        <v>581</v>
      </c>
      <c r="D742" t="s">
        <v>322</v>
      </c>
    </row>
    <row r="743" spans="1:4">
      <c r="A743" t="s">
        <v>323</v>
      </c>
      <c r="B743" t="s">
        <v>1546</v>
      </c>
      <c r="C743" t="s">
        <v>604</v>
      </c>
      <c r="D743" t="s">
        <v>323</v>
      </c>
    </row>
    <row r="744" spans="1:4">
      <c r="A744" t="s">
        <v>70</v>
      </c>
      <c r="B744" t="s">
        <v>1637</v>
      </c>
      <c r="C744" t="s">
        <v>493</v>
      </c>
      <c r="D744" t="s">
        <v>70</v>
      </c>
    </row>
    <row r="745" spans="1:4">
      <c r="A745" t="s">
        <v>160</v>
      </c>
      <c r="B745" t="s">
        <v>1641</v>
      </c>
      <c r="C745" t="s">
        <v>1126</v>
      </c>
      <c r="D745" t="s">
        <v>160</v>
      </c>
    </row>
    <row r="746" spans="1:4">
      <c r="A746" t="s">
        <v>325</v>
      </c>
      <c r="B746" t="s">
        <v>0</v>
      </c>
      <c r="C746" t="s">
        <v>1127</v>
      </c>
      <c r="D746" t="s">
        <v>325</v>
      </c>
    </row>
    <row r="747" spans="1:4">
      <c r="A747" t="s">
        <v>1494</v>
      </c>
      <c r="B747" t="s">
        <v>1642</v>
      </c>
      <c r="C747" t="s">
        <v>509</v>
      </c>
      <c r="D747" t="s">
        <v>1494</v>
      </c>
    </row>
    <row r="748" spans="1:4">
      <c r="A748" t="s">
        <v>326</v>
      </c>
      <c r="B748" t="s">
        <v>1643</v>
      </c>
      <c r="C748" t="s">
        <v>1128</v>
      </c>
      <c r="D748" t="s">
        <v>326</v>
      </c>
    </row>
    <row r="749" spans="1:4">
      <c r="A749" t="s">
        <v>955</v>
      </c>
      <c r="B749" t="s">
        <v>301</v>
      </c>
      <c r="C749" t="s">
        <v>1129</v>
      </c>
      <c r="D749" t="s">
        <v>955</v>
      </c>
    </row>
    <row r="750" spans="1:4">
      <c r="A750" t="s">
        <v>2312</v>
      </c>
      <c r="B750" t="s">
        <v>1644</v>
      </c>
      <c r="C750" t="s">
        <v>191</v>
      </c>
      <c r="D750" t="s">
        <v>2312</v>
      </c>
    </row>
    <row r="751" spans="1:4">
      <c r="A751" t="s">
        <v>327</v>
      </c>
      <c r="B751" t="s">
        <v>1645</v>
      </c>
      <c r="C751" t="s">
        <v>190</v>
      </c>
      <c r="D751" t="s">
        <v>327</v>
      </c>
    </row>
    <row r="752" spans="1:4">
      <c r="A752" t="s">
        <v>956</v>
      </c>
      <c r="B752" t="s">
        <v>1646</v>
      </c>
      <c r="C752" t="s">
        <v>520</v>
      </c>
      <c r="D752" t="s">
        <v>956</v>
      </c>
    </row>
    <row r="753" spans="1:4">
      <c r="A753" t="s">
        <v>328</v>
      </c>
      <c r="B753" t="s">
        <v>1647</v>
      </c>
      <c r="C753" t="s">
        <v>1130</v>
      </c>
      <c r="D753" t="s">
        <v>328</v>
      </c>
    </row>
    <row r="754" spans="1:4">
      <c r="A754" t="s">
        <v>329</v>
      </c>
      <c r="B754" t="s">
        <v>1648</v>
      </c>
      <c r="C754" t="s">
        <v>1131</v>
      </c>
      <c r="D754" t="s">
        <v>329</v>
      </c>
    </row>
    <row r="755" spans="1:4">
      <c r="A755" t="s">
        <v>330</v>
      </c>
      <c r="B755" t="s">
        <v>1336</v>
      </c>
      <c r="C755" t="s">
        <v>1132</v>
      </c>
      <c r="D755" t="s">
        <v>330</v>
      </c>
    </row>
    <row r="756" spans="1:4">
      <c r="A756" t="s">
        <v>331</v>
      </c>
      <c r="B756" t="s">
        <v>1337</v>
      </c>
      <c r="C756" t="s">
        <v>1133</v>
      </c>
      <c r="D756" t="s">
        <v>331</v>
      </c>
    </row>
    <row r="757" spans="1:4">
      <c r="A757" t="s">
        <v>333</v>
      </c>
      <c r="B757" t="s">
        <v>1338</v>
      </c>
      <c r="C757" t="s">
        <v>1134</v>
      </c>
      <c r="D757" t="s">
        <v>333</v>
      </c>
    </row>
    <row r="758" spans="1:4">
      <c r="A758" t="s">
        <v>334</v>
      </c>
      <c r="B758" t="s">
        <v>1345</v>
      </c>
      <c r="C758" t="s">
        <v>1135</v>
      </c>
      <c r="D758" t="s">
        <v>334</v>
      </c>
    </row>
    <row r="759" spans="1:4">
      <c r="A759" t="s">
        <v>335</v>
      </c>
      <c r="B759" t="s">
        <v>1346</v>
      </c>
      <c r="C759" t="s">
        <v>1136</v>
      </c>
      <c r="D759" t="s">
        <v>335</v>
      </c>
    </row>
    <row r="760" spans="1:4">
      <c r="A760" t="s">
        <v>336</v>
      </c>
      <c r="B760" t="s">
        <v>1347</v>
      </c>
      <c r="C760" t="s">
        <v>1137</v>
      </c>
      <c r="D760" t="s">
        <v>336</v>
      </c>
    </row>
    <row r="761" spans="1:4">
      <c r="A761" t="s">
        <v>337</v>
      </c>
      <c r="B761" t="s">
        <v>347</v>
      </c>
      <c r="C761" t="s">
        <v>1138</v>
      </c>
      <c r="D761" t="s">
        <v>337</v>
      </c>
    </row>
    <row r="762" spans="1:4">
      <c r="A762" t="s">
        <v>1788</v>
      </c>
      <c r="B762" t="s">
        <v>1348</v>
      </c>
      <c r="C762" t="s">
        <v>1139</v>
      </c>
      <c r="D762" t="s">
        <v>1788</v>
      </c>
    </row>
    <row r="763" spans="1:4">
      <c r="A763" t="s">
        <v>1262</v>
      </c>
      <c r="B763" t="s">
        <v>1890</v>
      </c>
      <c r="C763" t="s">
        <v>1140</v>
      </c>
      <c r="D763" t="s">
        <v>1262</v>
      </c>
    </row>
    <row r="764" spans="1:4">
      <c r="A764" t="s">
        <v>338</v>
      </c>
      <c r="B764" t="s">
        <v>1349</v>
      </c>
      <c r="C764" t="s">
        <v>1141</v>
      </c>
      <c r="D764" t="s">
        <v>338</v>
      </c>
    </row>
    <row r="765" spans="1:4">
      <c r="A765" t="s">
        <v>339</v>
      </c>
      <c r="B765" t="s">
        <v>349</v>
      </c>
      <c r="C765" t="s">
        <v>1142</v>
      </c>
      <c r="D765" t="s">
        <v>339</v>
      </c>
    </row>
    <row r="766" spans="1:4">
      <c r="A766" t="s">
        <v>161</v>
      </c>
      <c r="B766" t="s">
        <v>1</v>
      </c>
      <c r="C766" t="s">
        <v>1143</v>
      </c>
      <c r="D766" t="s">
        <v>161</v>
      </c>
    </row>
    <row r="767" spans="1:4">
      <c r="A767" t="s">
        <v>162</v>
      </c>
      <c r="B767" t="s">
        <v>3</v>
      </c>
      <c r="C767" t="s">
        <v>1144</v>
      </c>
      <c r="D767" t="s">
        <v>162</v>
      </c>
    </row>
    <row r="768" spans="1:4">
      <c r="A768" t="s">
        <v>163</v>
      </c>
      <c r="B768" t="s">
        <v>2</v>
      </c>
      <c r="C768" t="s">
        <v>1145</v>
      </c>
      <c r="D768" t="s">
        <v>163</v>
      </c>
    </row>
    <row r="769" spans="1:4">
      <c r="A769" t="s">
        <v>164</v>
      </c>
      <c r="B769" t="s">
        <v>4</v>
      </c>
      <c r="C769" t="s">
        <v>1146</v>
      </c>
      <c r="D769" t="s">
        <v>164</v>
      </c>
    </row>
    <row r="770" spans="1:4">
      <c r="A770" t="s">
        <v>165</v>
      </c>
      <c r="B770" t="s">
        <v>5</v>
      </c>
      <c r="C770" t="s">
        <v>1538</v>
      </c>
      <c r="D770" t="s">
        <v>165</v>
      </c>
    </row>
    <row r="771" spans="1:4">
      <c r="A771" t="s">
        <v>166</v>
      </c>
      <c r="B771" t="s">
        <v>6</v>
      </c>
      <c r="C771" t="s">
        <v>1539</v>
      </c>
      <c r="D771" t="s">
        <v>166</v>
      </c>
    </row>
    <row r="772" spans="1:4">
      <c r="A772" t="s">
        <v>130</v>
      </c>
      <c r="B772" t="s">
        <v>7</v>
      </c>
      <c r="C772" t="s">
        <v>1540</v>
      </c>
      <c r="D772" t="s">
        <v>130</v>
      </c>
    </row>
    <row r="773" spans="1:4">
      <c r="A773" t="s">
        <v>1687</v>
      </c>
      <c r="B773" t="s">
        <v>8</v>
      </c>
      <c r="C773" t="s">
        <v>1020</v>
      </c>
      <c r="D773" t="s">
        <v>1687</v>
      </c>
    </row>
    <row r="774" spans="1:4">
      <c r="A774" t="s">
        <v>1688</v>
      </c>
      <c r="B774" t="s">
        <v>9</v>
      </c>
      <c r="C774" t="s">
        <v>1021</v>
      </c>
      <c r="D774" t="s">
        <v>1688</v>
      </c>
    </row>
    <row r="775" spans="1:4">
      <c r="A775" t="s">
        <v>1689</v>
      </c>
      <c r="B775" t="s">
        <v>10</v>
      </c>
      <c r="C775" t="s">
        <v>1022</v>
      </c>
      <c r="D775" t="s">
        <v>1689</v>
      </c>
    </row>
    <row r="776" spans="1:4">
      <c r="A776" t="s">
        <v>1691</v>
      </c>
      <c r="B776" t="s">
        <v>11</v>
      </c>
      <c r="C776" t="s">
        <v>1023</v>
      </c>
      <c r="D776" t="s">
        <v>1691</v>
      </c>
    </row>
    <row r="777" spans="1:4">
      <c r="A777" t="s">
        <v>2127</v>
      </c>
      <c r="B777" t="s">
        <v>296</v>
      </c>
      <c r="C777" t="s">
        <v>1024</v>
      </c>
      <c r="D777" t="s">
        <v>2127</v>
      </c>
    </row>
    <row r="778" spans="1:4">
      <c r="A778" t="s">
        <v>1164</v>
      </c>
      <c r="B778" t="s">
        <v>1165</v>
      </c>
      <c r="C778" t="s">
        <v>1025</v>
      </c>
      <c r="D778" t="s">
        <v>1164</v>
      </c>
    </row>
    <row r="779" spans="1:4">
      <c r="A779" t="s">
        <v>23</v>
      </c>
      <c r="B779" t="s">
        <v>297</v>
      </c>
      <c r="C779" t="s">
        <v>1026</v>
      </c>
      <c r="D779" t="s">
        <v>23</v>
      </c>
    </row>
    <row r="780" spans="1:4">
      <c r="A780" t="s">
        <v>2128</v>
      </c>
      <c r="B780" t="s">
        <v>298</v>
      </c>
      <c r="C780" t="s">
        <v>1027</v>
      </c>
      <c r="D780" t="s">
        <v>2128</v>
      </c>
    </row>
    <row r="781" spans="1:4">
      <c r="A781" t="s">
        <v>2005</v>
      </c>
      <c r="B781" t="s">
        <v>299</v>
      </c>
      <c r="C781" t="s">
        <v>1028</v>
      </c>
      <c r="D781" t="s">
        <v>2005</v>
      </c>
    </row>
    <row r="782" spans="1:4">
      <c r="A782" t="s">
        <v>2129</v>
      </c>
      <c r="B782" t="s">
        <v>300</v>
      </c>
      <c r="C782" t="s">
        <v>231</v>
      </c>
      <c r="D782" t="s">
        <v>2129</v>
      </c>
    </row>
    <row r="783" spans="1:4">
      <c r="A783" t="s">
        <v>2135</v>
      </c>
      <c r="B783" t="s">
        <v>12</v>
      </c>
      <c r="C783" t="s">
        <v>1029</v>
      </c>
      <c r="D783" t="s">
        <v>2135</v>
      </c>
    </row>
    <row r="784" spans="1:4">
      <c r="A784" t="s">
        <v>2136</v>
      </c>
      <c r="B784" t="s">
        <v>13</v>
      </c>
      <c r="C784" t="s">
        <v>1030</v>
      </c>
      <c r="D784" t="s">
        <v>2136</v>
      </c>
    </row>
    <row r="785" spans="1:4">
      <c r="A785" t="s">
        <v>1690</v>
      </c>
      <c r="B785" t="s">
        <v>14</v>
      </c>
      <c r="C785" t="s">
        <v>1031</v>
      </c>
      <c r="D785" t="s">
        <v>1690</v>
      </c>
    </row>
    <row r="786" spans="1:4">
      <c r="A786" t="s">
        <v>65</v>
      </c>
      <c r="B786" t="s">
        <v>829</v>
      </c>
      <c r="C786" t="s">
        <v>990</v>
      </c>
      <c r="D786" t="s">
        <v>65</v>
      </c>
    </row>
    <row r="787" spans="1:4">
      <c r="A787" t="s">
        <v>2141</v>
      </c>
      <c r="B787" t="s">
        <v>15</v>
      </c>
      <c r="C787" t="s">
        <v>1444</v>
      </c>
      <c r="D787" t="s">
        <v>2141</v>
      </c>
    </row>
    <row r="788" spans="1:4">
      <c r="A788" t="s">
        <v>1569</v>
      </c>
      <c r="B788" t="s">
        <v>16</v>
      </c>
      <c r="C788" t="s">
        <v>498</v>
      </c>
      <c r="D788" t="s">
        <v>1569</v>
      </c>
    </row>
    <row r="789" spans="1:4">
      <c r="A789" t="s">
        <v>1568</v>
      </c>
      <c r="B789" t="s">
        <v>1508</v>
      </c>
      <c r="C789" t="s">
        <v>497</v>
      </c>
      <c r="D789" t="s">
        <v>1568</v>
      </c>
    </row>
    <row r="790" spans="1:4">
      <c r="A790" t="s">
        <v>1571</v>
      </c>
      <c r="B790" t="s">
        <v>1517</v>
      </c>
      <c r="C790" t="s">
        <v>495</v>
      </c>
      <c r="D790" t="s">
        <v>1571</v>
      </c>
    </row>
    <row r="791" spans="1:4">
      <c r="A791" t="s">
        <v>1567</v>
      </c>
      <c r="B791" t="s">
        <v>17</v>
      </c>
      <c r="C791" t="s">
        <v>496</v>
      </c>
      <c r="D791" t="s">
        <v>1567</v>
      </c>
    </row>
    <row r="792" spans="1:4">
      <c r="A792" t="s">
        <v>1558</v>
      </c>
      <c r="B792" t="s">
        <v>18</v>
      </c>
      <c r="C792" t="s">
        <v>850</v>
      </c>
      <c r="D792" t="s">
        <v>1558</v>
      </c>
    </row>
    <row r="793" spans="1:4">
      <c r="A793" t="s">
        <v>2137</v>
      </c>
      <c r="B793" t="s">
        <v>278</v>
      </c>
      <c r="C793" t="s">
        <v>1032</v>
      </c>
      <c r="D793" t="s">
        <v>2137</v>
      </c>
    </row>
    <row r="794" spans="1:4">
      <c r="A794" t="s">
        <v>1573</v>
      </c>
      <c r="B794" t="s">
        <v>810</v>
      </c>
      <c r="C794" t="s">
        <v>1910</v>
      </c>
      <c r="D794" t="s">
        <v>1573</v>
      </c>
    </row>
    <row r="795" spans="1:4">
      <c r="A795" t="s">
        <v>1572</v>
      </c>
      <c r="B795" t="s">
        <v>279</v>
      </c>
      <c r="C795" t="s">
        <v>1033</v>
      </c>
      <c r="D795" t="s">
        <v>1572</v>
      </c>
    </row>
    <row r="796" spans="1:4">
      <c r="A796" t="s">
        <v>2138</v>
      </c>
      <c r="B796" t="s">
        <v>280</v>
      </c>
      <c r="C796" t="s">
        <v>1034</v>
      </c>
      <c r="D796" t="s">
        <v>2138</v>
      </c>
    </row>
    <row r="797" spans="1:4">
      <c r="A797" t="s">
        <v>1959</v>
      </c>
      <c r="B797" t="s">
        <v>281</v>
      </c>
      <c r="C797" t="s">
        <v>1035</v>
      </c>
      <c r="D797" t="s">
        <v>1959</v>
      </c>
    </row>
    <row r="798" spans="1:4">
      <c r="A798" t="s">
        <v>2139</v>
      </c>
      <c r="B798" t="s">
        <v>2247</v>
      </c>
      <c r="C798" t="s">
        <v>1036</v>
      </c>
      <c r="D798" t="s">
        <v>2139</v>
      </c>
    </row>
    <row r="799" spans="1:4">
      <c r="A799" t="s">
        <v>2140</v>
      </c>
      <c r="B799" t="s">
        <v>2248</v>
      </c>
      <c r="C799" t="s">
        <v>1037</v>
      </c>
      <c r="D799" t="s">
        <v>2140</v>
      </c>
    </row>
    <row r="800" spans="1:4">
      <c r="A800" t="s">
        <v>63</v>
      </c>
      <c r="B800" t="s">
        <v>1683</v>
      </c>
      <c r="C800" t="s">
        <v>199</v>
      </c>
      <c r="D800" t="s">
        <v>63</v>
      </c>
    </row>
    <row r="801" spans="1:4">
      <c r="A801" t="s">
        <v>2072</v>
      </c>
      <c r="B801" t="s">
        <v>2255</v>
      </c>
      <c r="C801" t="s">
        <v>1907</v>
      </c>
      <c r="D801" t="s">
        <v>2072</v>
      </c>
    </row>
    <row r="802" spans="1:4">
      <c r="A802" t="s">
        <v>391</v>
      </c>
      <c r="B802" t="s">
        <v>2256</v>
      </c>
      <c r="C802" t="s">
        <v>1038</v>
      </c>
      <c r="D802" t="s">
        <v>391</v>
      </c>
    </row>
    <row r="803" spans="1:4">
      <c r="A803" t="s">
        <v>392</v>
      </c>
      <c r="B803" t="s">
        <v>2259</v>
      </c>
      <c r="C803" t="s">
        <v>1039</v>
      </c>
      <c r="D803" t="s">
        <v>392</v>
      </c>
    </row>
    <row r="804" spans="1:4">
      <c r="A804" t="s">
        <v>2142</v>
      </c>
      <c r="B804" t="s">
        <v>2249</v>
      </c>
      <c r="C804" t="s">
        <v>1040</v>
      </c>
      <c r="D804" t="s">
        <v>2142</v>
      </c>
    </row>
    <row r="805" spans="1:4">
      <c r="A805" t="s">
        <v>2143</v>
      </c>
      <c r="B805" t="s">
        <v>2257</v>
      </c>
      <c r="C805" t="s">
        <v>1041</v>
      </c>
      <c r="D805" t="s">
        <v>2143</v>
      </c>
    </row>
    <row r="806" spans="1:4">
      <c r="A806" t="s">
        <v>394</v>
      </c>
      <c r="B806" t="s">
        <v>2258</v>
      </c>
      <c r="C806" t="s">
        <v>1042</v>
      </c>
      <c r="D806" t="s">
        <v>394</v>
      </c>
    </row>
    <row r="807" spans="1:4">
      <c r="A807" t="s">
        <v>393</v>
      </c>
      <c r="B807" t="s">
        <v>2260</v>
      </c>
      <c r="C807" t="s">
        <v>1043</v>
      </c>
      <c r="D807" t="s">
        <v>393</v>
      </c>
    </row>
    <row r="808" spans="1:4">
      <c r="A808" t="s">
        <v>2071</v>
      </c>
      <c r="B808" t="s">
        <v>2261</v>
      </c>
      <c r="C808" t="s">
        <v>1412</v>
      </c>
      <c r="D808" t="s">
        <v>2071</v>
      </c>
    </row>
    <row r="809" spans="1:4">
      <c r="A809" t="s">
        <v>2070</v>
      </c>
      <c r="B809" t="s">
        <v>2262</v>
      </c>
      <c r="C809" t="s">
        <v>1413</v>
      </c>
      <c r="D809" t="s">
        <v>2070</v>
      </c>
    </row>
    <row r="810" spans="1:4">
      <c r="A810" t="s">
        <v>2144</v>
      </c>
      <c r="B810" t="s">
        <v>1730</v>
      </c>
      <c r="C810" t="s">
        <v>1414</v>
      </c>
      <c r="D810" t="s">
        <v>2144</v>
      </c>
    </row>
    <row r="811" spans="1:4">
      <c r="A811" t="s">
        <v>2066</v>
      </c>
      <c r="B811" t="s">
        <v>2250</v>
      </c>
      <c r="C811" t="s">
        <v>1415</v>
      </c>
      <c r="D811" t="s">
        <v>2066</v>
      </c>
    </row>
    <row r="812" spans="1:4">
      <c r="A812" t="s">
        <v>2067</v>
      </c>
      <c r="B812" t="s">
        <v>2251</v>
      </c>
      <c r="C812" t="s">
        <v>1416</v>
      </c>
      <c r="D812" t="s">
        <v>2067</v>
      </c>
    </row>
    <row r="813" spans="1:4">
      <c r="A813" t="s">
        <v>2068</v>
      </c>
      <c r="B813" t="s">
        <v>2252</v>
      </c>
      <c r="C813" t="s">
        <v>1417</v>
      </c>
      <c r="D813" t="s">
        <v>2068</v>
      </c>
    </row>
    <row r="814" spans="1:4">
      <c r="A814" t="s">
        <v>2069</v>
      </c>
      <c r="B814" t="s">
        <v>2253</v>
      </c>
      <c r="C814" t="s">
        <v>1418</v>
      </c>
      <c r="D814" t="s">
        <v>2069</v>
      </c>
    </row>
    <row r="815" spans="1:4">
      <c r="A815" t="s">
        <v>2155</v>
      </c>
      <c r="B815" t="s">
        <v>2254</v>
      </c>
      <c r="C815" t="s">
        <v>86</v>
      </c>
      <c r="D815" t="s">
        <v>2155</v>
      </c>
    </row>
    <row r="816" spans="1:4">
      <c r="A816" t="s">
        <v>340</v>
      </c>
      <c r="B816" t="s">
        <v>2263</v>
      </c>
      <c r="C816" t="s">
        <v>87</v>
      </c>
      <c r="D816" t="s">
        <v>340</v>
      </c>
    </row>
    <row r="817" spans="1:4">
      <c r="A817" t="s">
        <v>2165</v>
      </c>
      <c r="B817" t="s">
        <v>2264</v>
      </c>
      <c r="C817" t="s">
        <v>88</v>
      </c>
      <c r="D817" t="s">
        <v>2165</v>
      </c>
    </row>
    <row r="818" spans="1:4">
      <c r="A818" t="s">
        <v>2156</v>
      </c>
      <c r="B818" t="s">
        <v>2265</v>
      </c>
      <c r="C818" t="s">
        <v>1271</v>
      </c>
      <c r="D818" t="s">
        <v>2156</v>
      </c>
    </row>
    <row r="819" spans="1:4">
      <c r="A819" t="s">
        <v>2157</v>
      </c>
      <c r="B819" t="s">
        <v>2266</v>
      </c>
      <c r="C819" t="s">
        <v>1272</v>
      </c>
      <c r="D819" t="s">
        <v>2157</v>
      </c>
    </row>
    <row r="820" spans="1:4">
      <c r="A820" t="s">
        <v>2158</v>
      </c>
      <c r="B820" t="s">
        <v>2267</v>
      </c>
      <c r="C820" t="s">
        <v>1273</v>
      </c>
      <c r="D820" t="s">
        <v>2158</v>
      </c>
    </row>
    <row r="821" spans="1:4">
      <c r="A821" t="s">
        <v>2159</v>
      </c>
      <c r="B821" t="s">
        <v>2268</v>
      </c>
      <c r="C821" t="s">
        <v>1274</v>
      </c>
      <c r="D821" t="s">
        <v>2159</v>
      </c>
    </row>
    <row r="822" spans="1:4">
      <c r="A822" t="s">
        <v>2160</v>
      </c>
      <c r="B822" t="s">
        <v>2269</v>
      </c>
      <c r="C822" t="s">
        <v>580</v>
      </c>
      <c r="D822" t="s">
        <v>2160</v>
      </c>
    </row>
    <row r="823" spans="1:4">
      <c r="A823" t="s">
        <v>395</v>
      </c>
      <c r="B823" s="119" t="s">
        <v>1939</v>
      </c>
      <c r="C823" t="s">
        <v>1275</v>
      </c>
      <c r="D823" t="s">
        <v>395</v>
      </c>
    </row>
    <row r="824" spans="1:4">
      <c r="A824" t="s">
        <v>2176</v>
      </c>
      <c r="B824" s="119" t="s">
        <v>1940</v>
      </c>
      <c r="C824" t="s">
        <v>1276</v>
      </c>
      <c r="D824" t="s">
        <v>2176</v>
      </c>
    </row>
    <row r="825" spans="1:4">
      <c r="A825" t="s">
        <v>2161</v>
      </c>
      <c r="B825" t="s">
        <v>1520</v>
      </c>
      <c r="C825" t="s">
        <v>1277</v>
      </c>
      <c r="D825" t="s">
        <v>2161</v>
      </c>
    </row>
    <row r="826" spans="1:4">
      <c r="A826" t="s">
        <v>2162</v>
      </c>
      <c r="B826" t="s">
        <v>1941</v>
      </c>
      <c r="C826" t="s">
        <v>1278</v>
      </c>
      <c r="D826" t="s">
        <v>2162</v>
      </c>
    </row>
    <row r="827" spans="1:4">
      <c r="A827" t="s">
        <v>2163</v>
      </c>
      <c r="B827" t="s">
        <v>1942</v>
      </c>
      <c r="C827" t="s">
        <v>1279</v>
      </c>
      <c r="D827" t="s">
        <v>2163</v>
      </c>
    </row>
    <row r="828" spans="1:4">
      <c r="A828" t="s">
        <v>395</v>
      </c>
      <c r="B828" s="119" t="s">
        <v>1939</v>
      </c>
      <c r="C828" t="s">
        <v>1280</v>
      </c>
      <c r="D828" t="s">
        <v>395</v>
      </c>
    </row>
    <row r="829" spans="1:4">
      <c r="A829" t="s">
        <v>2176</v>
      </c>
      <c r="B829" s="119" t="s">
        <v>1940</v>
      </c>
      <c r="C829" t="s">
        <v>1276</v>
      </c>
      <c r="D829" t="s">
        <v>2176</v>
      </c>
    </row>
    <row r="830" spans="1:4">
      <c r="A830" t="s">
        <v>2161</v>
      </c>
      <c r="B830" t="s">
        <v>1520</v>
      </c>
      <c r="C830" t="s">
        <v>1281</v>
      </c>
      <c r="D830" t="s">
        <v>2161</v>
      </c>
    </row>
    <row r="831" spans="1:4">
      <c r="A831" t="s">
        <v>2162</v>
      </c>
      <c r="B831" t="s">
        <v>1941</v>
      </c>
      <c r="C831" t="s">
        <v>1278</v>
      </c>
      <c r="D831" t="s">
        <v>2162</v>
      </c>
    </row>
    <row r="832" spans="1:4">
      <c r="A832" t="s">
        <v>2164</v>
      </c>
      <c r="B832" t="s">
        <v>1943</v>
      </c>
      <c r="C832" t="s">
        <v>1282</v>
      </c>
      <c r="D832" t="s">
        <v>2164</v>
      </c>
    </row>
    <row r="833" spans="1:4">
      <c r="A833" t="s">
        <v>2166</v>
      </c>
      <c r="B833" t="s">
        <v>1944</v>
      </c>
      <c r="C833" t="s">
        <v>1283</v>
      </c>
      <c r="D833" t="s">
        <v>2166</v>
      </c>
    </row>
    <row r="834" spans="1:4">
      <c r="A834" t="s">
        <v>2167</v>
      </c>
      <c r="B834" t="s">
        <v>1945</v>
      </c>
      <c r="C834" t="s">
        <v>1284</v>
      </c>
      <c r="D834" t="s">
        <v>2167</v>
      </c>
    </row>
    <row r="835" spans="1:4">
      <c r="A835" t="s">
        <v>1495</v>
      </c>
      <c r="B835" t="s">
        <v>1946</v>
      </c>
      <c r="C835" t="s">
        <v>1285</v>
      </c>
      <c r="D835" t="s">
        <v>1495</v>
      </c>
    </row>
    <row r="836" spans="1:4">
      <c r="A836" t="s">
        <v>2134</v>
      </c>
      <c r="B836" t="s">
        <v>1947</v>
      </c>
      <c r="C836" t="s">
        <v>1286</v>
      </c>
      <c r="D836" t="s">
        <v>2134</v>
      </c>
    </row>
    <row r="837" spans="1:4">
      <c r="A837" t="s">
        <v>674</v>
      </c>
      <c r="B837" t="s">
        <v>675</v>
      </c>
      <c r="C837" t="s">
        <v>1287</v>
      </c>
      <c r="D837" t="s">
        <v>674</v>
      </c>
    </row>
    <row r="838" spans="1:4">
      <c r="A838" s="2" t="s">
        <v>676</v>
      </c>
      <c r="B838" t="s">
        <v>416</v>
      </c>
      <c r="C838" t="s">
        <v>1288</v>
      </c>
      <c r="D838" s="2" t="s">
        <v>676</v>
      </c>
    </row>
    <row r="839" spans="1:4">
      <c r="A839" s="2" t="s">
        <v>413</v>
      </c>
      <c r="B839" t="s">
        <v>417</v>
      </c>
      <c r="C839" t="s">
        <v>1289</v>
      </c>
      <c r="D839" s="2" t="s">
        <v>413</v>
      </c>
    </row>
    <row r="840" spans="1:4">
      <c r="A840" s="2" t="s">
        <v>677</v>
      </c>
      <c r="B840" t="s">
        <v>418</v>
      </c>
      <c r="C840" t="s">
        <v>1290</v>
      </c>
      <c r="D840" s="2" t="s">
        <v>677</v>
      </c>
    </row>
    <row r="841" spans="1:4">
      <c r="A841" s="2" t="s">
        <v>2313</v>
      </c>
      <c r="B841" t="s">
        <v>419</v>
      </c>
      <c r="C841" t="s">
        <v>193</v>
      </c>
      <c r="D841" s="2" t="s">
        <v>2313</v>
      </c>
    </row>
    <row r="842" spans="1:4">
      <c r="A842" s="47" t="s">
        <v>420</v>
      </c>
      <c r="B842" t="s">
        <v>421</v>
      </c>
      <c r="C842" t="s">
        <v>1291</v>
      </c>
      <c r="D842" s="47" t="s">
        <v>420</v>
      </c>
    </row>
    <row r="843" spans="1:4">
      <c r="A843" s="47" t="s">
        <v>42</v>
      </c>
      <c r="B843" t="s">
        <v>43</v>
      </c>
      <c r="C843" t="s">
        <v>1292</v>
      </c>
      <c r="D843" s="47" t="s">
        <v>42</v>
      </c>
    </row>
    <row r="844" spans="1:4">
      <c r="A844" t="s">
        <v>1218</v>
      </c>
      <c r="B844" t="s">
        <v>863</v>
      </c>
      <c r="C844" t="s">
        <v>1293</v>
      </c>
      <c r="D844" t="s">
        <v>1218</v>
      </c>
    </row>
    <row r="845" spans="1:4">
      <c r="A845" t="s">
        <v>867</v>
      </c>
      <c r="B845" t="s">
        <v>868</v>
      </c>
      <c r="C845" t="s">
        <v>1294</v>
      </c>
      <c r="D845" t="s">
        <v>867</v>
      </c>
    </row>
    <row r="846" spans="1:4">
      <c r="A846" s="47" t="s">
        <v>864</v>
      </c>
      <c r="B846" t="s">
        <v>869</v>
      </c>
      <c r="C846" t="s">
        <v>1295</v>
      </c>
      <c r="D846" s="47" t="s">
        <v>864</v>
      </c>
    </row>
    <row r="847" spans="1:4">
      <c r="A847" t="s">
        <v>870</v>
      </c>
      <c r="B847" t="s">
        <v>1386</v>
      </c>
      <c r="C847" t="s">
        <v>1029</v>
      </c>
      <c r="D847" t="s">
        <v>870</v>
      </c>
    </row>
    <row r="848" spans="1:4">
      <c r="A848" t="s">
        <v>1215</v>
      </c>
      <c r="B848" t="s">
        <v>1387</v>
      </c>
      <c r="C848" t="s">
        <v>1296</v>
      </c>
      <c r="D848" t="s">
        <v>1215</v>
      </c>
    </row>
    <row r="849" spans="1:4">
      <c r="A849" t="s">
        <v>1799</v>
      </c>
      <c r="B849" t="s">
        <v>1801</v>
      </c>
      <c r="C849" t="s">
        <v>1297</v>
      </c>
      <c r="D849" t="s">
        <v>1799</v>
      </c>
    </row>
    <row r="850" spans="1:4">
      <c r="A850" t="s">
        <v>1800</v>
      </c>
      <c r="B850" t="s">
        <v>1233</v>
      </c>
      <c r="C850" t="s">
        <v>1298</v>
      </c>
      <c r="D850" t="s">
        <v>1800</v>
      </c>
    </row>
    <row r="851" spans="1:4">
      <c r="A851" t="s">
        <v>1802</v>
      </c>
      <c r="B851" t="s">
        <v>1803</v>
      </c>
      <c r="C851" t="s">
        <v>1299</v>
      </c>
      <c r="D851" t="s">
        <v>1802</v>
      </c>
    </row>
    <row r="852" spans="1:4">
      <c r="A852" t="s">
        <v>804</v>
      </c>
      <c r="B852" t="s">
        <v>211</v>
      </c>
      <c r="C852" t="s">
        <v>1300</v>
      </c>
      <c r="D852" t="s">
        <v>804</v>
      </c>
    </row>
    <row r="853" spans="1:4">
      <c r="A853" t="s">
        <v>805</v>
      </c>
      <c r="B853" t="s">
        <v>212</v>
      </c>
      <c r="C853" t="s">
        <v>1301</v>
      </c>
      <c r="D853" t="s">
        <v>805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40" t="s">
        <v>942</v>
      </c>
      <c r="B856" s="240" t="s">
        <v>943</v>
      </c>
      <c r="C856" t="s">
        <v>120</v>
      </c>
      <c r="D856" s="240" t="s">
        <v>942</v>
      </c>
    </row>
    <row r="857" spans="1:4">
      <c r="A857" t="s">
        <v>799</v>
      </c>
      <c r="B857" t="s">
        <v>76</v>
      </c>
      <c r="C857" t="s">
        <v>121</v>
      </c>
      <c r="D857" t="s">
        <v>799</v>
      </c>
    </row>
    <row r="858" spans="1:4">
      <c r="A858" s="47" t="s">
        <v>1266</v>
      </c>
      <c r="B858" t="s">
        <v>77</v>
      </c>
      <c r="C858" t="s">
        <v>122</v>
      </c>
      <c r="D858" s="47" t="s">
        <v>1266</v>
      </c>
    </row>
    <row r="859" spans="1:4">
      <c r="A859" s="47" t="s">
        <v>1652</v>
      </c>
      <c r="B859" t="s">
        <v>2026</v>
      </c>
      <c r="C859" t="s">
        <v>123</v>
      </c>
      <c r="D859" s="47" t="s">
        <v>1652</v>
      </c>
    </row>
    <row r="860" spans="1:4">
      <c r="A860" s="47" t="s">
        <v>1267</v>
      </c>
      <c r="B860" t="s">
        <v>78</v>
      </c>
      <c r="C860" t="s">
        <v>124</v>
      </c>
      <c r="D860" s="47" t="s">
        <v>1267</v>
      </c>
    </row>
    <row r="861" spans="1:4">
      <c r="A861" s="47" t="s">
        <v>1653</v>
      </c>
      <c r="B861" t="s">
        <v>2027</v>
      </c>
      <c r="C861" t="s">
        <v>125</v>
      </c>
      <c r="D861" s="47" t="s">
        <v>1653</v>
      </c>
    </row>
    <row r="862" spans="1:4">
      <c r="A862" s="47" t="s">
        <v>1269</v>
      </c>
      <c r="B862" t="s">
        <v>79</v>
      </c>
      <c r="C862" t="s">
        <v>126</v>
      </c>
      <c r="D862" s="47" t="s">
        <v>1269</v>
      </c>
    </row>
    <row r="863" spans="1:4">
      <c r="A863" s="47" t="s">
        <v>1655</v>
      </c>
      <c r="B863" t="s">
        <v>2028</v>
      </c>
      <c r="C863" t="s">
        <v>127</v>
      </c>
      <c r="D863" s="47" t="s">
        <v>1655</v>
      </c>
    </row>
    <row r="864" spans="1:4">
      <c r="A864" s="47" t="s">
        <v>1268</v>
      </c>
      <c r="B864" t="s">
        <v>2025</v>
      </c>
      <c r="C864" t="s">
        <v>128</v>
      </c>
      <c r="D864" s="47" t="s">
        <v>1268</v>
      </c>
    </row>
    <row r="865" spans="1:4">
      <c r="A865" s="47" t="s">
        <v>1654</v>
      </c>
      <c r="B865" t="s">
        <v>2029</v>
      </c>
      <c r="C865" t="s">
        <v>129</v>
      </c>
      <c r="D865" s="47" t="s">
        <v>1654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2009</v>
      </c>
      <c r="B867" t="s">
        <v>2013</v>
      </c>
      <c r="C867" t="s">
        <v>2013</v>
      </c>
      <c r="D867" t="s">
        <v>2009</v>
      </c>
    </row>
    <row r="868" spans="1:4">
      <c r="A868" t="s">
        <v>2010</v>
      </c>
      <c r="B868" t="s">
        <v>2014</v>
      </c>
      <c r="C868" t="s">
        <v>2014</v>
      </c>
      <c r="D868" t="s">
        <v>2010</v>
      </c>
    </row>
    <row r="869" spans="1:4">
      <c r="A869" t="s">
        <v>2011</v>
      </c>
      <c r="B869" t="s">
        <v>2015</v>
      </c>
      <c r="C869" t="s">
        <v>2015</v>
      </c>
      <c r="D869" t="s">
        <v>2011</v>
      </c>
    </row>
    <row r="870" spans="1:4">
      <c r="A870" t="s">
        <v>2303</v>
      </c>
      <c r="B870" t="s">
        <v>2308</v>
      </c>
      <c r="C870" t="s">
        <v>2308</v>
      </c>
      <c r="D870" t="s">
        <v>2303</v>
      </c>
    </row>
    <row r="871" spans="1:4">
      <c r="A871" s="2" t="s">
        <v>2000</v>
      </c>
      <c r="B871" s="2" t="s">
        <v>1339</v>
      </c>
      <c r="C871" s="2" t="s">
        <v>1339</v>
      </c>
      <c r="D871" s="2" t="s">
        <v>2000</v>
      </c>
    </row>
    <row r="872" spans="1:4">
      <c r="A872" s="2" t="s">
        <v>1270</v>
      </c>
      <c r="B872" s="2" t="s">
        <v>1340</v>
      </c>
      <c r="C872" s="2" t="s">
        <v>1340</v>
      </c>
      <c r="D872" s="2" t="s">
        <v>1270</v>
      </c>
    </row>
    <row r="873" spans="1:4">
      <c r="A873" s="2" t="s">
        <v>1649</v>
      </c>
      <c r="B873" s="2" t="s">
        <v>1341</v>
      </c>
      <c r="C873" s="2" t="s">
        <v>1341</v>
      </c>
      <c r="D873" s="2" t="s">
        <v>1649</v>
      </c>
    </row>
    <row r="874" spans="1:4">
      <c r="A874" s="2" t="s">
        <v>1650</v>
      </c>
      <c r="B874" s="2" t="s">
        <v>1342</v>
      </c>
      <c r="C874" s="2" t="s">
        <v>1342</v>
      </c>
      <c r="D874" s="2" t="s">
        <v>1650</v>
      </c>
    </row>
    <row r="875" spans="1:4">
      <c r="A875" s="2" t="s">
        <v>1651</v>
      </c>
      <c r="B875" s="2" t="s">
        <v>1343</v>
      </c>
      <c r="C875" s="2" t="s">
        <v>1343</v>
      </c>
      <c r="D875" s="2" t="s">
        <v>1651</v>
      </c>
    </row>
    <row r="876" spans="1:4">
      <c r="A876" s="2" t="s">
        <v>2001</v>
      </c>
      <c r="B876" s="2" t="s">
        <v>1344</v>
      </c>
      <c r="C876" s="2" t="s">
        <v>1344</v>
      </c>
      <c r="D876" s="2" t="s">
        <v>2001</v>
      </c>
    </row>
    <row r="877" spans="1:4">
      <c r="A877" s="2" t="s">
        <v>1431</v>
      </c>
      <c r="B877" s="2" t="s">
        <v>1734</v>
      </c>
      <c r="C877" s="2" t="s">
        <v>1734</v>
      </c>
      <c r="D877" s="2" t="s">
        <v>1431</v>
      </c>
    </row>
    <row r="878" spans="1:4">
      <c r="A878" t="s">
        <v>1732</v>
      </c>
      <c r="B878" t="s">
        <v>1733</v>
      </c>
      <c r="C878" t="s">
        <v>1733</v>
      </c>
      <c r="D878" t="s">
        <v>1732</v>
      </c>
    </row>
    <row r="879" spans="1:4">
      <c r="A879" t="s">
        <v>1912</v>
      </c>
      <c r="B879" t="s">
        <v>701</v>
      </c>
      <c r="C879" t="s">
        <v>701</v>
      </c>
      <c r="D879" t="s">
        <v>1912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2073</v>
      </c>
      <c r="B881" t="s">
        <v>2074</v>
      </c>
      <c r="C881" t="s">
        <v>2074</v>
      </c>
      <c r="D881" t="s">
        <v>2073</v>
      </c>
    </row>
    <row r="882" spans="1:4">
      <c r="A882" t="s">
        <v>1575</v>
      </c>
      <c r="B882" t="s">
        <v>1576</v>
      </c>
      <c r="C882" t="s">
        <v>524</v>
      </c>
      <c r="D882" t="s">
        <v>1575</v>
      </c>
    </row>
    <row r="883" spans="1:4">
      <c r="A883" t="s">
        <v>1481</v>
      </c>
      <c r="B883" s="119" t="s">
        <v>1482</v>
      </c>
      <c r="C883" t="s">
        <v>485</v>
      </c>
      <c r="D883" t="s">
        <v>1481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2010-11-24T16:57:44Z</cp:lastPrinted>
  <dcterms:created xsi:type="dcterms:W3CDTF">2004-07-22T05:50:45Z</dcterms:created>
  <dcterms:modified xsi:type="dcterms:W3CDTF">2012-12-18T19:17:37Z</dcterms:modified>
</cp:coreProperties>
</file>