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33" activeTab="1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Расх перем" sheetId="6" r:id="rId6"/>
    <sheet name="Услуги" sheetId="7" r:id="rId7"/>
    <sheet name="ФОТ" sheetId="8" r:id="rId8"/>
    <sheet name="Пост" sheetId="9" r:id="rId9"/>
    <sheet name="кр" sheetId="10" r:id="rId10"/>
    <sheet name="Инв" sheetId="11" r:id="rId11"/>
    <sheet name="безубыт" sheetId="12" r:id="rId12"/>
    <sheet name="Осн.пок-ли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8">#REF!</definedName>
    <definedName name="Ed." localSheetId="5">#REF!</definedName>
    <definedName name="Ed." localSheetId="6">#REF!</definedName>
    <definedName name="Ed." localSheetId="7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6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6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6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6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6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6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6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6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6">'[59]Главн'!$C$35</definedName>
    <definedName name="inf">'[21]Главн'!$C$35</definedName>
    <definedName name="kpn1" localSheetId="9">'[32]Главн'!$D$46</definedName>
    <definedName name="kpn1" localSheetId="6">'[59]Главн'!$D$46</definedName>
    <definedName name="kpn1">'[21]Главн'!$D$46</definedName>
    <definedName name="kpn2" localSheetId="9">'[32]Главн'!$E$46</definedName>
    <definedName name="kpn2" localSheetId="6">'[59]Главн'!$E$46</definedName>
    <definedName name="kpn2">'[21]Главн'!$E$46</definedName>
    <definedName name="kpn3" localSheetId="9">'[32]Главн'!$F$46</definedName>
    <definedName name="kpn3" localSheetId="6">'[59]Главн'!$F$46</definedName>
    <definedName name="kpn3">'[21]Главн'!$F$46</definedName>
    <definedName name="kpn4" localSheetId="9">'[32]Главн'!$G$46</definedName>
    <definedName name="kpn4" localSheetId="6">'[59]Главн'!$G$46</definedName>
    <definedName name="kpn4">'[21]Главн'!$G$46</definedName>
    <definedName name="kpn5" localSheetId="9">'[32]Главн'!$H$46</definedName>
    <definedName name="kpn5" localSheetId="6">'[59]Главн'!$H$46</definedName>
    <definedName name="kpn5">'[21]Главн'!$H$46</definedName>
    <definedName name="kpn6" localSheetId="9">'[32]Главн'!$I$46</definedName>
    <definedName name="kpn6" localSheetId="6">'[59]Главн'!$I$46</definedName>
    <definedName name="kpn6">'[21]Главн'!$I$46</definedName>
    <definedName name="kpn7" localSheetId="9">'[32]Главн'!$J$46</definedName>
    <definedName name="kpn7" localSheetId="6">'[59]Главн'!$J$46</definedName>
    <definedName name="kpn7">'[21]Главн'!$J$46</definedName>
    <definedName name="kpn8" localSheetId="9">'[32]Главн'!$K$46</definedName>
    <definedName name="kpn8" localSheetId="6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6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6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6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6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6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6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6">'[59]Главн'!$C$2</definedName>
    <definedName name="name">'[21]Главн'!$C$2</definedName>
    <definedName name="nds1" localSheetId="9">'[32]Главн'!$D$42</definedName>
    <definedName name="nds1" localSheetId="6">'[59]Главн'!$D$42</definedName>
    <definedName name="nds1">'[21]Главн'!$D$42</definedName>
    <definedName name="nds2" localSheetId="9">'[32]Главн'!$E$42</definedName>
    <definedName name="nds2" localSheetId="6">'[59]Главн'!$E$42</definedName>
    <definedName name="nds2">'[21]Главн'!$E$42</definedName>
    <definedName name="nds3" localSheetId="9">'[32]Главн'!$F$42</definedName>
    <definedName name="nds3" localSheetId="6">'[59]Главн'!$F$42</definedName>
    <definedName name="nds3">'[21]Главн'!$F$42</definedName>
    <definedName name="nds4" localSheetId="9">'[32]Главн'!$G$42</definedName>
    <definedName name="nds4" localSheetId="6">'[59]Главн'!$G$42</definedName>
    <definedName name="nds4">'[21]Главн'!$G$42</definedName>
    <definedName name="nds5" localSheetId="9">'[32]Главн'!$H$42</definedName>
    <definedName name="nds5" localSheetId="6">'[59]Главн'!$H$42</definedName>
    <definedName name="nds5">'[21]Главн'!$H$42</definedName>
    <definedName name="nds6" localSheetId="9">'[32]Главн'!$I$42</definedName>
    <definedName name="nds6" localSheetId="6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6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8">'[7]Свод'!#REF!</definedName>
    <definedName name="RUR" localSheetId="5">'[7]Свод'!#REF!</definedName>
    <definedName name="RUR" localSheetId="6">'[7]Свод'!#REF!</definedName>
    <definedName name="RUR" localSheetId="7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6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6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6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8">'[23]объекты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6">'[61]объекты обществаКокшетау'!#REF!</definedName>
    <definedName name="баланс_стоимость" localSheetId="7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6">#REF!</definedName>
    <definedName name="Вал">#REF!</definedName>
    <definedName name="ВалП1" localSheetId="2">#REF!</definedName>
    <definedName name="ВалП1" localSheetId="4">#REF!</definedName>
    <definedName name="ВалП1" localSheetId="8">#REF!</definedName>
    <definedName name="ВалП1" localSheetId="5">#REF!</definedName>
    <definedName name="ВалП1" localSheetId="6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6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6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8">'[23]объекты обществаКокшетау'!#REF!</definedName>
    <definedName name="всего_долл" localSheetId="5">'[23]объекты обществаКокшетау'!#REF!</definedName>
    <definedName name="всего_долл" localSheetId="6">'[61]объекты обществаКокшетау'!#REF!</definedName>
    <definedName name="всего_долл" localSheetId="7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8">#REF!</definedName>
    <definedName name="долл" localSheetId="5">#REF!</definedName>
    <definedName name="долл" localSheetId="6">#REF!</definedName>
    <definedName name="долл" localSheetId="7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6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6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8">#REF!</definedName>
    <definedName name="дсша" localSheetId="5">#REF!</definedName>
    <definedName name="дсша" localSheetId="6">#REF!</definedName>
    <definedName name="дсша" localSheetId="7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6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6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'Инв'!$4:$4</definedName>
    <definedName name="_xlnm.Print_Titles" localSheetId="9">'кр'!$A:$B</definedName>
    <definedName name="_xlnm.Print_Titles" localSheetId="6">'Услуги'!$A:$A</definedName>
    <definedName name="_xlnm.Print_Titles" localSheetId="7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6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6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6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6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8">#REF!</definedName>
    <definedName name="Инт" localSheetId="5">#REF!</definedName>
    <definedName name="Инт" localSheetId="6">#REF!</definedName>
    <definedName name="Инт" localSheetId="7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8">'[23]объекты обществаКокшетау'!#REF!</definedName>
    <definedName name="итого_в_долл" localSheetId="5">'[23]объекты обществаКокшетау'!#REF!</definedName>
    <definedName name="итого_в_долл" localSheetId="6">'[61]объекты обществаКокшетау'!#REF!</definedName>
    <definedName name="итого_в_долл" localSheetId="7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6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8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 localSheetId="7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8">#REF!</definedName>
    <definedName name="кндс" localSheetId="5">#REF!</definedName>
    <definedName name="кндс" localSheetId="6">#REF!</definedName>
    <definedName name="кндс" localSheetId="7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6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8">#REF!</definedName>
    <definedName name="компресс" localSheetId="5">#REF!</definedName>
    <definedName name="компресс" localSheetId="6">#REF!</definedName>
    <definedName name="компресс" localSheetId="7">#REF!</definedName>
    <definedName name="компресс">#REF!</definedName>
    <definedName name="кре" localSheetId="2">#REF!</definedName>
    <definedName name="кре" localSheetId="9">#REF!</definedName>
    <definedName name="кре" localSheetId="6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8">'[9]Общ_Д'!#REF!</definedName>
    <definedName name="Кредит_перераб" localSheetId="5">'[9]Общ_Д'!#REF!</definedName>
    <definedName name="Кредит_перераб" localSheetId="6">'[9]Общ_Д'!#REF!</definedName>
    <definedName name="Кредит_перераб" localSheetId="7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8">'[9]Общ_Д'!#REF!</definedName>
    <definedName name="Кредит_произв" localSheetId="5">'[9]Общ_Д'!#REF!</definedName>
    <definedName name="Кредит_произв" localSheetId="6">'[9]Общ_Д'!#REF!</definedName>
    <definedName name="Кредит_произв" localSheetId="7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8">'[9]Общ_Д'!#REF!</definedName>
    <definedName name="Кредит_производство" localSheetId="5">'[9]Общ_Д'!#REF!</definedName>
    <definedName name="Кредит_производство" localSheetId="6">'[9]Общ_Д'!#REF!</definedName>
    <definedName name="Кредит_производство" localSheetId="7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6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6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8">'[23]объекты обществаКокшетау'!#REF!</definedName>
    <definedName name="курс_НБРК" localSheetId="5">'[23]объекты обществаКокшетау'!#REF!</definedName>
    <definedName name="курс_НБРК" localSheetId="6">'[61]объекты обществаКокшетау'!#REF!</definedName>
    <definedName name="курс_НБРК" localSheetId="7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8">#REF!</definedName>
    <definedName name="Курс1" localSheetId="5">#REF!</definedName>
    <definedName name="Курс1" localSheetId="6">#REF!</definedName>
    <definedName name="Курс1" localSheetId="7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8">'[14]Финпоки1'!#REF!</definedName>
    <definedName name="Курс10" localSheetId="5">'[14]Финпоки1'!#REF!</definedName>
    <definedName name="Курс10" localSheetId="6">'[14]Финпоки1'!#REF!</definedName>
    <definedName name="Курс10" localSheetId="7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6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6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6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8">#REF!</definedName>
    <definedName name="металлоформы" localSheetId="5">#REF!</definedName>
    <definedName name="металлоформы" localSheetId="6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6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6">'[58]Исх'!$C$7</definedName>
    <definedName name="НДС" localSheetId="7">'ФОТ'!#REF!</definedName>
    <definedName name="ндс">'Исх'!$C$17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6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'1-Ф3'!$A$1:$AI$35</definedName>
    <definedName name="_xlnm.Print_Area" localSheetId="1">'2-ф2'!$A$1:$AI$28</definedName>
    <definedName name="_xlnm.Print_Area" localSheetId="2">'3-Баланс'!$A$1:$AI$26</definedName>
    <definedName name="_xlnm.Print_Area" localSheetId="10">'Инв'!$A$1:$Q$25</definedName>
    <definedName name="_xlnm.Print_Area" localSheetId="3">'Исх'!$A$1:$J$37</definedName>
    <definedName name="_xlnm.Print_Area" localSheetId="9">'кр'!$A$1:$DB$13</definedName>
    <definedName name="_xlnm.Print_Area" localSheetId="12">'Осн.пок-ли'!$A$1:$I$60</definedName>
    <definedName name="_xlnm.Print_Area" localSheetId="6">'Услуги'!$A$1:$AI$8</definedName>
    <definedName name="_xlnm.Print_Area" localSheetId="7">'ФОТ'!$A$1:$K$26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8">'2-ф2'!#REF!</definedName>
    <definedName name="обм" localSheetId="5">'2-ф2'!#REF!</definedName>
    <definedName name="обм" localSheetId="6">'Услуги'!#REF!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8">#REF!</definedName>
    <definedName name="оборудование_ЖД" localSheetId="5">#REF!</definedName>
    <definedName name="оборудование_ЖД" localSheetId="6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6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6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8">#REF!</definedName>
    <definedName name="подстанция" localSheetId="5">#REF!</definedName>
    <definedName name="подстанция" localSheetId="6">#REF!</definedName>
    <definedName name="подстанция" localSheetId="7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6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6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6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8">#REF!</definedName>
    <definedName name="рбу" localSheetId="5">#REF!</definedName>
    <definedName name="рбу" localSheetId="6">#REF!</definedName>
    <definedName name="рбу" localSheetId="7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6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8">#REF!</definedName>
    <definedName name="руб" localSheetId="5">#REF!</definedName>
    <definedName name="руб" localSheetId="6">#REF!</definedName>
    <definedName name="руб" localSheetId="7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8">'2-ф2'!#REF!</definedName>
    <definedName name="себ" localSheetId="5">'2-ф2'!#REF!</definedName>
    <definedName name="себ" localSheetId="6">'Услуги'!#REF!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8">#REF!</definedName>
    <definedName name="склад_продукции" localSheetId="5">#REF!</definedName>
    <definedName name="склад_продукции" localSheetId="6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8">#REF!</definedName>
    <definedName name="склад_цем" localSheetId="5">#REF!</definedName>
    <definedName name="склад_цем" localSheetId="6">#REF!</definedName>
    <definedName name="склад_цем" localSheetId="7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6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6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6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6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6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8">#REF!</definedName>
    <definedName name="спецодежда" localSheetId="5">#REF!</definedName>
    <definedName name="спецодежда" localSheetId="6">#REF!</definedName>
    <definedName name="спецодежда" localSheetId="7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6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6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6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6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6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6">'[61]объекты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6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6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6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6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6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8">#REF!</definedName>
    <definedName name="тг" localSheetId="5">#REF!</definedName>
    <definedName name="тг" localSheetId="6">#REF!</definedName>
    <definedName name="тг" localSheetId="7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8">#REF!</definedName>
    <definedName name="ТовРеал1" localSheetId="5">#REF!</definedName>
    <definedName name="ТовРеал1" localSheetId="6">#REF!</definedName>
    <definedName name="ТовРеал1" localSheetId="7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6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8">'[9]Дох'!#REF!</definedName>
    <definedName name="Цена_бобов" localSheetId="5">'[9]Дох'!#REF!</definedName>
    <definedName name="Цена_бобов" localSheetId="6">'[9]Дох'!#REF!</definedName>
    <definedName name="Цена_бобов" localSheetId="7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8">#REF!</definedName>
    <definedName name="цех_пби" localSheetId="5">#REF!</definedName>
    <definedName name="цех_пби" localSheetId="6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fullCalcOnLoad="1"/>
</workbook>
</file>

<file path=xl/sharedStrings.xml><?xml version="1.0" encoding="utf-8"?>
<sst xmlns="http://schemas.openxmlformats.org/spreadsheetml/2006/main" count="456" uniqueCount="317">
  <si>
    <t>Итого</t>
  </si>
  <si>
    <t>Налог на имущество</t>
  </si>
  <si>
    <t xml:space="preserve">Наименование          </t>
  </si>
  <si>
    <t>Остаток денежных средств на начало отчетного периода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</si>
  <si>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</si>
  <si>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</si>
  <si>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</si>
  <si>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</si>
  <si>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</si>
  <si>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</si>
  <si>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</si>
  <si>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</si>
  <si>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</si>
  <si>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</si>
  <si>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</si>
  <si>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</si>
  <si>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</si>
  <si>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</si>
  <si>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</si>
  <si>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</si>
  <si>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</si>
  <si>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</si>
  <si>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</si>
  <si>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</si>
  <si>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</si>
  <si>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</si>
  <si>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</si>
  <si>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</si>
  <si>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</si>
  <si>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</si>
  <si>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</si>
  <si>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</si>
  <si>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</si>
  <si>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</si>
  <si>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</si>
  <si>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</si>
  <si>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</si>
  <si>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</si>
  <si>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</si>
  <si>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</si>
  <si>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</si>
  <si>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</si>
  <si>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</si>
  <si>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Канцтовары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</si>
  <si>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</si>
  <si>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</si>
  <si>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</si>
  <si>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</si>
  <si>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</si>
  <si>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</si>
  <si>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</si>
  <si>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</si>
  <si>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</si>
  <si>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</si>
  <si>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</si>
  <si>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</si>
  <si>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</si>
  <si>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</si>
  <si>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</si>
  <si>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</si>
  <si>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</si>
  <si>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</si>
  <si>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</si>
  <si>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</si>
  <si>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</si>
  <si>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</si>
  <si>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</si>
  <si>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</si>
  <si>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</si>
  <si>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</si>
  <si>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</si>
  <si>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</si>
  <si>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</si>
  <si>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</si>
  <si>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</si>
  <si>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</si>
  <si>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</si>
  <si>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</si>
  <si>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</si>
  <si>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</si>
  <si>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</si>
  <si>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</si>
  <si>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</si>
  <si>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</si>
  <si>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</si>
  <si>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</si>
  <si>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</si>
  <si>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</si>
  <si>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</si>
  <si>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</si>
  <si>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</si>
  <si>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</si>
  <si>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</si>
  <si>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</si>
  <si>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</si>
  <si>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$ тыс.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</si>
  <si>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</si>
  <si>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</si>
  <si>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</si>
  <si>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Услуги банка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</si>
  <si>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</si>
  <si>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</si>
  <si>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</si>
  <si>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</si>
  <si>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</si>
  <si>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</si>
  <si>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</si>
  <si>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Услуги связи</t>
  </si>
  <si>
    <t>Отчет о доходах и расходах</t>
  </si>
  <si>
    <t>год</t>
  </si>
  <si>
    <t>Доход от реализации услуг</t>
  </si>
  <si>
    <t>МЗП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</si>
  <si>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</si>
  <si>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</si>
  <si>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</si>
  <si>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</si>
  <si>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</si>
  <si>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</si>
  <si>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Долгосрочные активы</t>
  </si>
  <si>
    <t>Основные средства</t>
  </si>
  <si>
    <t>Долгосрочная дебиторская задолженность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</si>
  <si>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</si>
  <si>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</si>
  <si>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</si>
  <si>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</si>
  <si>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</si>
  <si>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</si>
  <si>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</si>
  <si>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</si>
  <si>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</si>
  <si>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</si>
  <si>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</si>
  <si>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</si>
  <si>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</si>
  <si>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</si>
  <si>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</si>
  <si>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</si>
  <si>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</si>
  <si>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</si>
  <si>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</si>
  <si>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</si>
  <si>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</si>
  <si>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</si>
  <si>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</si>
  <si>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</si>
  <si>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</si>
  <si>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</si>
  <si>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</si>
  <si>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</si>
  <si>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</si>
  <si>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</si>
  <si>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</si>
  <si>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</si>
  <si>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</si>
  <si>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</si>
  <si>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</si>
  <si>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</si>
  <si>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</si>
  <si>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</si>
  <si>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</si>
  <si>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</si>
  <si>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</si>
  <si>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</si>
  <si>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</si>
  <si>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</si>
  <si>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</si>
  <si>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</si>
  <si>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</si>
  <si>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</si>
  <si>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</si>
  <si>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</si>
  <si>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</si>
  <si>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</si>
  <si>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</si>
  <si>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равными долями</t>
  </si>
  <si>
    <t>Льготный период погашения процентов, мес.</t>
  </si>
  <si>
    <t>Льготный период погашения основного долга,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</si>
  <si>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</si>
  <si>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</si>
  <si>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</si>
  <si>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</si>
  <si>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</si>
  <si>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Решение вопроса финансирования</t>
  </si>
  <si>
    <t>Получение кредита</t>
  </si>
  <si>
    <t>Здания и сооружения</t>
  </si>
  <si>
    <t>Наименование</t>
  </si>
  <si>
    <t>Налоги и обязательные платежи от ФОТ</t>
  </si>
  <si>
    <t>Вид налога</t>
  </si>
  <si>
    <t>Сумма, тыс.тг.</t>
  </si>
  <si>
    <t>Техника</t>
  </si>
  <si>
    <t>Продукция</t>
  </si>
  <si>
    <t>Срок погашения, лет</t>
  </si>
  <si>
    <t>Источник финансирования, тыс.тг.</t>
  </si>
  <si>
    <t>Доля собственного участия</t>
  </si>
  <si>
    <t>Собственные средства</t>
  </si>
  <si>
    <t>Финансовые показатели проекта</t>
  </si>
  <si>
    <t>уровень инфляции</t>
  </si>
  <si>
    <t>согласно налог.режиму КХ</t>
  </si>
  <si>
    <t>ИПН</t>
  </si>
  <si>
    <t>Земельный налог</t>
  </si>
  <si>
    <t>2013 год</t>
  </si>
  <si>
    <t>2014 год</t>
  </si>
  <si>
    <t>Цены</t>
  </si>
  <si>
    <t>Прочие налоги и сборы</t>
  </si>
  <si>
    <t>Адм.расходы</t>
  </si>
  <si>
    <t>Доход до налогов</t>
  </si>
  <si>
    <t>Основные показатели проекта</t>
  </si>
  <si>
    <t>Выручка, тыс.тг.</t>
  </si>
  <si>
    <t>Валовая прибыль, тыс.тг.</t>
  </si>
  <si>
    <t>Чистая прибыль, тыс.тг.</t>
  </si>
  <si>
    <t>Чистая рентабельность, %</t>
  </si>
  <si>
    <t>Чистый денежный поток (к изъятию), тыс.тг.</t>
  </si>
  <si>
    <t>Чистая прибыль</t>
  </si>
  <si>
    <t>Кумулятивная чистая прибыль</t>
  </si>
  <si>
    <t>Мероприятие</t>
  </si>
  <si>
    <t>Разработка бизнес-плана</t>
  </si>
  <si>
    <t>Прочие ОС</t>
  </si>
  <si>
    <t>Первоначальные инвестиции</t>
  </si>
  <si>
    <t>от оборота</t>
  </si>
  <si>
    <t>Подоходный налог ИП</t>
  </si>
  <si>
    <t>кВт</t>
  </si>
  <si>
    <t>Расходы</t>
  </si>
  <si>
    <t>Электроэнергия</t>
  </si>
  <si>
    <t>тенге/1 кВт*ч</t>
  </si>
  <si>
    <t>Переменные расходы</t>
  </si>
  <si>
    <t>Ед.изм.</t>
  </si>
  <si>
    <t>Цена, тг.</t>
  </si>
  <si>
    <t>Сумма, тг.</t>
  </si>
  <si>
    <t>кг</t>
  </si>
  <si>
    <t>тг./кг</t>
  </si>
  <si>
    <t>л</t>
  </si>
  <si>
    <t>Индивидуальный предприниматель</t>
  </si>
  <si>
    <t>Постоянные расходы в год</t>
  </si>
  <si>
    <t>Услуги связи + интернет</t>
  </si>
  <si>
    <t>Хоз.нужды</t>
  </si>
  <si>
    <t>Ставка, значение</t>
  </si>
  <si>
    <t>Примечание</t>
  </si>
  <si>
    <t>Подоходный, соц.налог ИП</t>
  </si>
  <si>
    <t>% повышения пост.расходов</t>
  </si>
  <si>
    <t>янв</t>
  </si>
  <si>
    <t>сен</t>
  </si>
  <si>
    <t>окт</t>
  </si>
  <si>
    <t>ноя</t>
  </si>
  <si>
    <t>дек</t>
  </si>
  <si>
    <t>Инвестиции, тыс.тг.</t>
  </si>
  <si>
    <t>окт.13</t>
  </si>
  <si>
    <t>Индекс окупаемости инвестиций (PI)</t>
  </si>
  <si>
    <t>Планируемая производственная программа</t>
  </si>
  <si>
    <t>Величина налоговых поступлений за 7 лет, тыс.тг.</t>
  </si>
  <si>
    <t>Найм персонала</t>
  </si>
  <si>
    <t>Открытие прачечной</t>
  </si>
  <si>
    <t>Кассовый аппарат</t>
  </si>
  <si>
    <t>Интернет-сайт</t>
  </si>
  <si>
    <t>Стирально-отжимная машина LG WD-1069BD3S</t>
  </si>
  <si>
    <t>http://www.d-servis.ru/prices</t>
  </si>
  <si>
    <t>Сушильная машина LG TD-V1329EA4</t>
  </si>
  <si>
    <t>Гладильный каток ГК-160М</t>
  </si>
  <si>
    <t>Вешало передвижное MOD 9.1</t>
  </si>
  <si>
    <t>Стеллаж RJ</t>
  </si>
  <si>
    <t>Стол производственный разборный</t>
  </si>
  <si>
    <t>Тележка ТП-130</t>
  </si>
  <si>
    <t>Производительность</t>
  </si>
  <si>
    <t>Загрузка белья</t>
  </si>
  <si>
    <t>кг/час</t>
  </si>
  <si>
    <t>Кол-во загрузок в день</t>
  </si>
  <si>
    <t>ед</t>
  </si>
  <si>
    <t>Общая производительность в день</t>
  </si>
  <si>
    <t>кг/день</t>
  </si>
  <si>
    <t>Кол-во рабочих дней в мес</t>
  </si>
  <si>
    <t>дн/мес</t>
  </si>
  <si>
    <t>Услуги стирки (с глажкой)</t>
  </si>
  <si>
    <t>тенге/кг</t>
  </si>
  <si>
    <t>Мощность оборудования</t>
  </si>
  <si>
    <t>все оборудование</t>
  </si>
  <si>
    <t>http://www.esalmaty.kz/?uin=1270095046</t>
  </si>
  <si>
    <t>Стиральный порошок</t>
  </si>
  <si>
    <t>Ополаскиватель (кондиционер)</t>
  </si>
  <si>
    <t>Отбеливатель</t>
  </si>
  <si>
    <t>тенге/л</t>
  </si>
  <si>
    <t>http://satu.kz/p768279-konditsionery-opolaskivateli-dlya.html</t>
  </si>
  <si>
    <t>Доходы</t>
  </si>
  <si>
    <t>Стирка и глажка белья</t>
  </si>
  <si>
    <t>в месяц</t>
  </si>
  <si>
    <t>Выручка</t>
  </si>
  <si>
    <t>Норма на 1 кг</t>
  </si>
  <si>
    <t>60-90 мл на 5 кг белья</t>
  </si>
  <si>
    <t>5-25 гр на 1 кг белья (по необходимости)</t>
  </si>
  <si>
    <t>Белье (сухое)</t>
  </si>
  <si>
    <t>Постоянные расходы в мес</t>
  </si>
  <si>
    <t>Услуги</t>
  </si>
  <si>
    <t>% загрузки</t>
  </si>
  <si>
    <t>Приемщик-сортировщик</t>
  </si>
  <si>
    <t>Рабочий по стирке</t>
  </si>
  <si>
    <t>Гладильщик</t>
  </si>
  <si>
    <t>Аренда помещения</t>
  </si>
  <si>
    <t>для развозки круп.клиентам</t>
  </si>
  <si>
    <t>Расходные материалы</t>
  </si>
  <si>
    <t>Прочие краткосрочные активы</t>
  </si>
  <si>
    <t>Максмальное кол-во белья</t>
  </si>
  <si>
    <t>Постоянные расходы на ед.</t>
  </si>
  <si>
    <t>Полная себестоимость</t>
  </si>
  <si>
    <t>тг/кг</t>
  </si>
  <si>
    <t>Аренда автомобиля (1-2 рейса в день)</t>
  </si>
  <si>
    <t>30 м2 *1 800 тг/м2</t>
  </si>
  <si>
    <t>http://himchistka-almaty.kz/03-09-ceny-na-stirku-postelnogo-belya.html</t>
  </si>
  <si>
    <t>15 кВт*8 час*25 дн*0,8</t>
  </si>
  <si>
    <t>окт.- дек.13</t>
  </si>
  <si>
    <t>Показатели эффективности проекта (2 год)</t>
  </si>
  <si>
    <t>2015 год</t>
  </si>
  <si>
    <t>Приобретение и установка оборудования</t>
  </si>
  <si>
    <t>Закуп расходного материала</t>
  </si>
  <si>
    <t>Запуск</t>
  </si>
  <si>
    <t>Рентабельность</t>
  </si>
  <si>
    <t>без учета амортизации и %</t>
  </si>
  <si>
    <t>Тип погашения основного долга</t>
  </si>
  <si>
    <t>Себестоимость реализ. услуг</t>
  </si>
  <si>
    <t>Доход от реализации</t>
  </si>
</sst>
</file>

<file path=xl/styles.xml><?xml version="1.0" encoding="utf-8"?>
<styleSheet xmlns="http://schemas.openxmlformats.org/spreadsheetml/2006/main">
  <numFmts count="5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i/>
      <sz val="10"/>
      <color theme="0" tint="-0.4999699890613556"/>
      <name val="Arial"/>
      <family val="2"/>
    </font>
    <font>
      <sz val="10"/>
      <color theme="3" tint="0.3999800086021423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" fillId="0" borderId="0">
      <alignment/>
      <protection/>
    </xf>
    <xf numFmtId="0" fontId="61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9" fontId="16" fillId="0" borderId="10" xfId="70" applyNumberFormat="1" applyFont="1" applyFill="1" applyBorder="1" applyAlignment="1">
      <alignment horizontal="right" wrapText="1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4" applyNumberFormat="1" applyFont="1" applyFill="1" applyBorder="1" applyAlignment="1">
      <alignment vertical="center" wrapText="1"/>
      <protection/>
    </xf>
    <xf numFmtId="172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72" fontId="16" fillId="0" borderId="10" xfId="70" applyNumberFormat="1" applyFont="1" applyFill="1" applyBorder="1" applyAlignment="1">
      <alignment horizontal="right" vertical="center"/>
      <protection/>
    </xf>
    <xf numFmtId="172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3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64" fillId="0" borderId="0" xfId="70" applyNumberFormat="1" applyFont="1" applyFill="1" applyBorder="1" applyAlignment="1">
      <alignment horizontal="left"/>
      <protection/>
    </xf>
    <xf numFmtId="9" fontId="64" fillId="0" borderId="0" xfId="70" applyNumberFormat="1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172" fontId="16" fillId="0" borderId="0" xfId="70" applyNumberFormat="1" applyFont="1" applyFill="1" applyBorder="1" applyAlignment="1" applyProtection="1">
      <alignment wrapText="1" shrinkToFit="1"/>
      <protection locked="0"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72" fontId="16" fillId="0" borderId="10" xfId="70" applyNumberFormat="1" applyFont="1" applyFill="1" applyBorder="1" applyAlignment="1">
      <alignment horizontal="center" vertical="top"/>
      <protection/>
    </xf>
    <xf numFmtId="172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72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72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172" fontId="65" fillId="0" borderId="0" xfId="70" applyNumberFormat="1" applyFont="1" applyFill="1" applyBorder="1" applyAlignment="1">
      <alignment wrapText="1" shrinkToFit="1"/>
      <protection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3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6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94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72" fontId="5" fillId="0" borderId="0" xfId="65" applyNumberFormat="1" applyFont="1" applyFill="1" applyProtection="1">
      <alignment/>
      <protection locked="0"/>
    </xf>
    <xf numFmtId="172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72" fontId="5" fillId="0" borderId="10" xfId="69" applyNumberFormat="1" applyFont="1" applyFill="1" applyBorder="1" applyAlignment="1">
      <alignment horizontal="right" vertical="center"/>
      <protection/>
    </xf>
    <xf numFmtId="172" fontId="5" fillId="0" borderId="10" xfId="65" applyNumberFormat="1" applyFont="1" applyFill="1" applyBorder="1" applyAlignment="1" applyProtection="1">
      <alignment/>
      <protection locked="0"/>
    </xf>
    <xf numFmtId="172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72" fontId="5" fillId="39" borderId="10" xfId="65" applyNumberFormat="1" applyFont="1" applyFill="1" applyBorder="1" applyAlignment="1" applyProtection="1">
      <alignment/>
      <protection locked="0"/>
    </xf>
    <xf numFmtId="172" fontId="5" fillId="0" borderId="0" xfId="65" applyNumberFormat="1" applyFont="1" applyFill="1" applyAlignment="1" applyProtection="1">
      <alignment/>
      <protection locked="0"/>
    </xf>
    <xf numFmtId="172" fontId="65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1" fillId="0" borderId="0" xfId="53" applyAlignment="1" applyProtection="1">
      <alignment/>
      <protection/>
    </xf>
    <xf numFmtId="3" fontId="5" fillId="0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0" fontId="44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left"/>
      <protection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/>
      <protection/>
    </xf>
    <xf numFmtId="0" fontId="16" fillId="0" borderId="0" xfId="0" applyFont="1" applyAlignment="1">
      <alignment/>
    </xf>
    <xf numFmtId="0" fontId="5" fillId="0" borderId="0" xfId="71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4" fontId="5" fillId="0" borderId="0" xfId="71" applyNumberFormat="1" applyFont="1" applyFill="1" applyBorder="1" applyAlignment="1">
      <alignment wrapText="1" shrinkToFit="1"/>
      <protection/>
    </xf>
    <xf numFmtId="0" fontId="5" fillId="0" borderId="10" xfId="0" applyFont="1" applyBorder="1" applyAlignment="1">
      <alignment horizontal="left" wrapText="1"/>
    </xf>
    <xf numFmtId="173" fontId="5" fillId="33" borderId="10" xfId="0" applyNumberFormat="1" applyFont="1" applyFill="1" applyBorder="1" applyAlignment="1">
      <alignment/>
    </xf>
    <xf numFmtId="0" fontId="5" fillId="0" borderId="10" xfId="71" applyFont="1" applyFill="1" applyBorder="1" applyAlignment="1">
      <alignment horizontal="left" vertical="top"/>
      <protection/>
    </xf>
    <xf numFmtId="3" fontId="14" fillId="0" borderId="0" xfId="0" applyNumberFormat="1" applyFont="1" applyAlignment="1">
      <alignment/>
    </xf>
    <xf numFmtId="0" fontId="66" fillId="0" borderId="0" xfId="66" applyFont="1" applyAlignment="1">
      <alignment vertical="center"/>
      <protection/>
    </xf>
    <xf numFmtId="0" fontId="66" fillId="0" borderId="0" xfId="66" applyFont="1" applyAlignment="1">
      <alignment horizontal="right" vertical="center"/>
      <protection/>
    </xf>
    <xf numFmtId="0" fontId="66" fillId="0" borderId="0" xfId="66" applyFont="1">
      <alignment/>
      <protection/>
    </xf>
    <xf numFmtId="0" fontId="67" fillId="2" borderId="11" xfId="67" applyFont="1" applyFill="1" applyBorder="1" applyAlignment="1">
      <alignment vertical="center"/>
      <protection/>
    </xf>
    <xf numFmtId="3" fontId="67" fillId="2" borderId="10" xfId="67" applyNumberFormat="1" applyFont="1" applyFill="1" applyBorder="1" applyAlignment="1">
      <alignment horizontal="center" vertical="center"/>
      <protection/>
    </xf>
    <xf numFmtId="0" fontId="66" fillId="0" borderId="10" xfId="66" applyFont="1" applyBorder="1" applyAlignment="1">
      <alignment vertical="center"/>
      <protection/>
    </xf>
    <xf numFmtId="3" fontId="66" fillId="0" borderId="10" xfId="66" applyNumberFormat="1" applyFont="1" applyFill="1" applyBorder="1" applyAlignment="1">
      <alignment horizontal="right" vertical="center"/>
      <protection/>
    </xf>
    <xf numFmtId="0" fontId="67" fillId="0" borderId="10" xfId="66" applyFont="1" applyBorder="1" applyAlignment="1">
      <alignment vertical="center"/>
      <protection/>
    </xf>
    <xf numFmtId="3" fontId="67" fillId="0" borderId="10" xfId="66" applyNumberFormat="1" applyFont="1" applyFill="1" applyBorder="1" applyAlignment="1">
      <alignment horizontal="right" vertical="center"/>
      <protection/>
    </xf>
    <xf numFmtId="0" fontId="66" fillId="0" borderId="0" xfId="66" applyFont="1" applyBorder="1" applyAlignment="1">
      <alignment vertical="center"/>
      <protection/>
    </xf>
    <xf numFmtId="3" fontId="66" fillId="0" borderId="0" xfId="66" applyNumberFormat="1" applyFont="1" applyBorder="1" applyAlignment="1">
      <alignment horizontal="right" vertical="center"/>
      <protection/>
    </xf>
    <xf numFmtId="49" fontId="66" fillId="0" borderId="10" xfId="66" applyNumberFormat="1" applyFont="1" applyFill="1" applyBorder="1" applyAlignment="1">
      <alignment horizontal="right" vertical="center"/>
      <protection/>
    </xf>
    <xf numFmtId="9" fontId="66" fillId="0" borderId="10" xfId="66" applyNumberFormat="1" applyFont="1" applyFill="1" applyBorder="1" applyAlignment="1">
      <alignment horizontal="right" vertical="center"/>
      <protection/>
    </xf>
    <xf numFmtId="9" fontId="67" fillId="0" borderId="10" xfId="66" applyNumberFormat="1" applyFont="1" applyFill="1" applyBorder="1" applyAlignment="1">
      <alignment horizontal="right" vertical="center"/>
      <protection/>
    </xf>
    <xf numFmtId="0" fontId="66" fillId="0" borderId="0" xfId="66" applyFont="1" applyBorder="1" applyAlignment="1">
      <alignment horizontal="left" vertical="center"/>
      <protection/>
    </xf>
    <xf numFmtId="0" fontId="66" fillId="0" borderId="0" xfId="66" applyFont="1" applyBorder="1" applyAlignment="1">
      <alignment horizontal="right" vertical="center"/>
      <protection/>
    </xf>
    <xf numFmtId="177" fontId="66" fillId="0" borderId="10" xfId="66" applyNumberFormat="1" applyFont="1" applyFill="1" applyBorder="1" applyAlignment="1">
      <alignment horizontal="right" vertical="center"/>
      <protection/>
    </xf>
    <xf numFmtId="0" fontId="67" fillId="0" borderId="0" xfId="66" applyFont="1" applyAlignment="1">
      <alignment vertical="center"/>
      <protection/>
    </xf>
    <xf numFmtId="0" fontId="66" fillId="0" borderId="10" xfId="66" applyFont="1" applyBorder="1" applyAlignment="1">
      <alignment vertical="center" wrapText="1"/>
      <protection/>
    </xf>
    <xf numFmtId="3" fontId="66" fillId="2" borderId="10" xfId="66" applyNumberFormat="1" applyFont="1" applyFill="1" applyBorder="1" applyAlignment="1">
      <alignment horizontal="right" vertical="center"/>
      <protection/>
    </xf>
    <xf numFmtId="0" fontId="67" fillId="2" borderId="10" xfId="66" applyFont="1" applyFill="1" applyBorder="1" applyAlignment="1">
      <alignment vertical="center"/>
      <protection/>
    </xf>
    <xf numFmtId="3" fontId="67" fillId="2" borderId="10" xfId="66" applyNumberFormat="1" applyFont="1" applyFill="1" applyBorder="1" applyAlignment="1">
      <alignment horizontal="right" vertical="center"/>
      <protection/>
    </xf>
    <xf numFmtId="49" fontId="66" fillId="0" borderId="10" xfId="66" applyNumberFormat="1" applyFont="1" applyFill="1" applyBorder="1" applyAlignment="1">
      <alignment horizontal="right" vertical="center" wrapText="1"/>
      <protection/>
    </xf>
    <xf numFmtId="0" fontId="66" fillId="0" borderId="0" xfId="66" applyFont="1" applyFill="1">
      <alignment/>
      <protection/>
    </xf>
    <xf numFmtId="0" fontId="5" fillId="33" borderId="10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horizontal="center" vertical="center"/>
    </xf>
    <xf numFmtId="0" fontId="5" fillId="0" borderId="10" xfId="66" applyFont="1" applyBorder="1" applyAlignment="1">
      <alignment vertical="center"/>
      <protection/>
    </xf>
    <xf numFmtId="0" fontId="16" fillId="0" borderId="10" xfId="66" applyFont="1" applyBorder="1" applyAlignment="1">
      <alignment vertical="center"/>
      <protection/>
    </xf>
    <xf numFmtId="177" fontId="16" fillId="0" borderId="0" xfId="0" applyNumberFormat="1" applyFont="1" applyAlignment="1">
      <alignment/>
    </xf>
    <xf numFmtId="0" fontId="5" fillId="0" borderId="0" xfId="66" applyFont="1" applyFill="1">
      <alignment/>
      <protection/>
    </xf>
    <xf numFmtId="0" fontId="16" fillId="2" borderId="10" xfId="0" applyFont="1" applyFill="1" applyBorder="1" applyAlignment="1">
      <alignment horizontal="center" vertical="center" wrapText="1"/>
    </xf>
    <xf numFmtId="177" fontId="5" fillId="35" borderId="10" xfId="0" applyNumberFormat="1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0" borderId="10" xfId="0" applyFont="1" applyBorder="1" applyAlignment="1">
      <alignment horizontal="center"/>
    </xf>
    <xf numFmtId="0" fontId="16" fillId="3" borderId="10" xfId="0" applyFont="1" applyFill="1" applyBorder="1" applyAlignment="1">
      <alignment/>
    </xf>
    <xf numFmtId="0" fontId="16" fillId="3" borderId="10" xfId="0" applyFont="1" applyFill="1" applyBorder="1" applyAlignment="1">
      <alignment horizontal="center"/>
    </xf>
    <xf numFmtId="177" fontId="16" fillId="3" borderId="10" xfId="0" applyNumberFormat="1" applyFont="1" applyFill="1" applyBorder="1" applyAlignment="1">
      <alignment horizontal="center"/>
    </xf>
    <xf numFmtId="3" fontId="16" fillId="3" borderId="10" xfId="0" applyNumberFormat="1" applyFont="1" applyFill="1" applyBorder="1" applyAlignment="1">
      <alignment horizontal="center" vertical="center"/>
    </xf>
    <xf numFmtId="3" fontId="16" fillId="3" borderId="10" xfId="0" applyNumberFormat="1" applyFont="1" applyFill="1" applyBorder="1" applyAlignment="1">
      <alignment/>
    </xf>
    <xf numFmtId="0" fontId="16" fillId="0" borderId="0" xfId="65" applyFont="1" applyFill="1" applyBorder="1" applyProtection="1">
      <alignment/>
      <protection locked="0"/>
    </xf>
    <xf numFmtId="3" fontId="5" fillId="0" borderId="0" xfId="65" applyNumberFormat="1" applyFont="1" applyFill="1" applyBorder="1" applyAlignment="1" applyProtection="1">
      <alignment horizontal="center"/>
      <protection locked="0"/>
    </xf>
    <xf numFmtId="173" fontId="17" fillId="0" borderId="10" xfId="65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9" fontId="17" fillId="35" borderId="10" xfId="0" applyNumberFormat="1" applyFont="1" applyFill="1" applyBorder="1" applyAlignment="1">
      <alignment/>
    </xf>
    <xf numFmtId="0" fontId="5" fillId="0" borderId="0" xfId="70" applyFont="1" applyFill="1" applyBorder="1" applyAlignment="1">
      <alignment horizontal="right" vertical="top"/>
      <protection/>
    </xf>
    <xf numFmtId="9" fontId="66" fillId="2" borderId="10" xfId="66" applyNumberFormat="1" applyFont="1" applyFill="1" applyBorder="1" applyAlignment="1">
      <alignment horizontal="right" vertical="center"/>
      <protection/>
    </xf>
    <xf numFmtId="3" fontId="5" fillId="35" borderId="10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center"/>
    </xf>
    <xf numFmtId="185" fontId="5" fillId="35" borderId="10" xfId="0" applyNumberFormat="1" applyFont="1" applyFill="1" applyBorder="1" applyAlignment="1">
      <alignment horizontal="center" vertical="center"/>
    </xf>
    <xf numFmtId="0" fontId="17" fillId="0" borderId="10" xfId="71" applyFont="1" applyFill="1" applyBorder="1" applyAlignment="1">
      <alignment horizontal="left" vertical="top"/>
      <protection/>
    </xf>
    <xf numFmtId="3" fontId="21" fillId="0" borderId="10" xfId="71" applyNumberFormat="1" applyFont="1" applyFill="1" applyBorder="1" applyAlignment="1">
      <alignment horizontal="center" vertical="center"/>
      <protection/>
    </xf>
    <xf numFmtId="3" fontId="17" fillId="0" borderId="10" xfId="71" applyNumberFormat="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/>
      <protection/>
    </xf>
    <xf numFmtId="9" fontId="17" fillId="35" borderId="10" xfId="71" applyNumberFormat="1" applyFont="1" applyFill="1" applyBorder="1" applyAlignment="1">
      <alignment horizontal="center" vertical="center"/>
      <protection/>
    </xf>
    <xf numFmtId="9" fontId="21" fillId="0" borderId="10" xfId="71" applyNumberFormat="1" applyFont="1" applyFill="1" applyBorder="1" applyAlignment="1">
      <alignment horizontal="center" vertical="center"/>
      <protection/>
    </xf>
    <xf numFmtId="9" fontId="17" fillId="0" borderId="10" xfId="71" applyNumberFormat="1" applyFont="1" applyFill="1" applyBorder="1" applyAlignment="1">
      <alignment horizontal="center" vertical="center"/>
      <protection/>
    </xf>
    <xf numFmtId="9" fontId="67" fillId="2" borderId="10" xfId="66" applyNumberFormat="1" applyFont="1" applyFill="1" applyBorder="1" applyAlignment="1">
      <alignment horizontal="center" vertical="center"/>
      <protection/>
    </xf>
    <xf numFmtId="0" fontId="67" fillId="2" borderId="10" xfId="67" applyFont="1" applyFill="1" applyBorder="1" applyAlignment="1">
      <alignment vertical="center"/>
      <protection/>
    </xf>
    <xf numFmtId="0" fontId="68" fillId="0" borderId="10" xfId="66" applyFont="1" applyBorder="1" applyAlignment="1">
      <alignment vertical="center"/>
      <protection/>
    </xf>
    <xf numFmtId="9" fontId="68" fillId="0" borderId="10" xfId="66" applyNumberFormat="1" applyFont="1" applyFill="1" applyBorder="1" applyAlignment="1">
      <alignment horizontal="right" vertical="center"/>
      <protection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2" xfId="0" applyNumberFormat="1" applyFont="1" applyBorder="1" applyAlignment="1">
      <alignment/>
    </xf>
    <xf numFmtId="9" fontId="21" fillId="3" borderId="12" xfId="0" applyNumberFormat="1" applyFont="1" applyFill="1" applyBorder="1" applyAlignment="1">
      <alignment/>
    </xf>
    <xf numFmtId="0" fontId="21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center"/>
    </xf>
    <xf numFmtId="0" fontId="21" fillId="3" borderId="11" xfId="0" applyFont="1" applyFill="1" applyBorder="1" applyAlignment="1">
      <alignment/>
    </xf>
    <xf numFmtId="0" fontId="21" fillId="3" borderId="16" xfId="0" applyFont="1" applyFill="1" applyBorder="1" applyAlignment="1">
      <alignment/>
    </xf>
    <xf numFmtId="4" fontId="66" fillId="0" borderId="10" xfId="66" applyNumberFormat="1" applyFont="1" applyFill="1" applyBorder="1" applyAlignment="1">
      <alignment horizontal="right" vertical="center"/>
      <protection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172" fontId="16" fillId="34" borderId="16" xfId="70" applyNumberFormat="1" applyFont="1" applyFill="1" applyBorder="1" applyAlignment="1">
      <alignment horizontal="center" vertical="center"/>
      <protection/>
    </xf>
    <xf numFmtId="0" fontId="16" fillId="34" borderId="16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7" xfId="70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0" fontId="16" fillId="34" borderId="17" xfId="7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16" fillId="2" borderId="10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34" borderId="17" xfId="71" applyFont="1" applyFill="1" applyBorder="1" applyAlignment="1">
      <alignment horizontal="center" vertical="center"/>
      <protection/>
    </xf>
    <xf numFmtId="0" fontId="16" fillId="34" borderId="18" xfId="7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72" fontId="16" fillId="34" borderId="11" xfId="70" applyNumberFormat="1" applyFont="1" applyFill="1" applyBorder="1" applyAlignment="1">
      <alignment horizontal="center" vertical="center" wrapText="1" shrinkToFit="1"/>
      <protection/>
    </xf>
    <xf numFmtId="172" fontId="16" fillId="34" borderId="16" xfId="70" applyNumberFormat="1" applyFont="1" applyFill="1" applyBorder="1" applyAlignment="1">
      <alignment horizontal="center" vertical="center" wrapText="1" shrinkToFit="1"/>
      <protection/>
    </xf>
    <xf numFmtId="172" fontId="16" fillId="34" borderId="12" xfId="70" applyNumberFormat="1" applyFont="1" applyFill="1" applyBorder="1" applyAlignment="1">
      <alignment horizontal="center" vertical="center" wrapText="1" shrinkToFi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67" fillId="2" borderId="13" xfId="67" applyFont="1" applyFill="1" applyBorder="1" applyAlignment="1">
      <alignment horizontal="left" vertical="center"/>
      <protection/>
    </xf>
    <xf numFmtId="0" fontId="67" fillId="2" borderId="14" xfId="67" applyFont="1" applyFill="1" applyBorder="1" applyAlignment="1">
      <alignment horizontal="left" vertical="center"/>
      <protection/>
    </xf>
    <xf numFmtId="3" fontId="67" fillId="2" borderId="11" xfId="67" applyNumberFormat="1" applyFont="1" applyFill="1" applyBorder="1" applyAlignment="1">
      <alignment horizontal="center" vertical="center"/>
      <protection/>
    </xf>
    <xf numFmtId="3" fontId="67" fillId="2" borderId="16" xfId="67" applyNumberFormat="1" applyFont="1" applyFill="1" applyBorder="1" applyAlignment="1">
      <alignment horizontal="center" vertical="center"/>
      <protection/>
    </xf>
    <xf numFmtId="3" fontId="67" fillId="2" borderId="12" xfId="67" applyNumberFormat="1" applyFont="1" applyFill="1" applyBorder="1" applyAlignment="1">
      <alignment horizontal="center" vertical="center"/>
      <protection/>
    </xf>
  </cellXfs>
  <cellStyles count="76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d-servis.ru/prices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salmaty.kz/?uin=1270095046" TargetMode="External" /><Relationship Id="rId2" Type="http://schemas.openxmlformats.org/officeDocument/2006/relationships/hyperlink" Target="http://satu.kz/p768279-konditsionery-opolaskivateli-dlya.html" TargetMode="External" /><Relationship Id="rId3" Type="http://schemas.openxmlformats.org/officeDocument/2006/relationships/hyperlink" Target="http://himchistka-almaty.kz/03-09-ceny-na-stirku-postelnogo-belya.html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T142"/>
  <sheetViews>
    <sheetView showGridLines="0" showZeros="0" zoomScalePageLayoutView="0" workbookViewId="0" topLeftCell="A1">
      <pane xSplit="3" ySplit="6" topLeftCell="L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L1" sqref="AL1:AL16384"/>
    </sheetView>
  </sheetViews>
  <sheetFormatPr defaultColWidth="8.625" defaultRowHeight="12.75" outlineLevelRow="1" outlineLevelCol="1"/>
  <cols>
    <col min="1" max="1" width="37.25390625" style="59" customWidth="1"/>
    <col min="2" max="2" width="10.125" style="60" customWidth="1"/>
    <col min="3" max="3" width="1.875" style="60" customWidth="1"/>
    <col min="4" max="6" width="7.75390625" style="6" hidden="1" customWidth="1" outlineLevel="1"/>
    <col min="7" max="7" width="8.125" style="56" hidden="1" customWidth="1" outlineLevel="1"/>
    <col min="8" max="8" width="8.125" style="6" hidden="1" customWidth="1" outlineLevel="1"/>
    <col min="9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8" width="7.625" style="6" hidden="1" customWidth="1" outlineLevel="1"/>
    <col min="29" max="29" width="8.75390625" style="7" customWidth="1" collapsed="1"/>
    <col min="30" max="32" width="8.625" style="7" customWidth="1"/>
    <col min="33" max="35" width="8.625" style="8" customWidth="1"/>
    <col min="36" max="42" width="8.75390625" style="8" bestFit="1" customWidth="1"/>
    <col min="43" max="16384" width="8.625" style="8" customWidth="1"/>
  </cols>
  <sheetData>
    <row r="1" spans="1:27" ht="12.75">
      <c r="A1" s="61" t="s">
        <v>160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MAX(K35:AF35)</f>
        <v>7969.608251235373</v>
      </c>
      <c r="B2" s="10">
        <f>MIN(I35:AH35)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Исх!$C$9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5" ht="15.75" customHeight="1">
      <c r="A5" s="306" t="s">
        <v>2</v>
      </c>
      <c r="B5" s="308" t="s">
        <v>86</v>
      </c>
      <c r="C5" s="15"/>
      <c r="D5" s="308">
        <v>2013</v>
      </c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>
        <v>2014</v>
      </c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15">
        <f>Q5+1</f>
        <v>2015</v>
      </c>
      <c r="AE5" s="15">
        <f>AD5+1</f>
        <v>2016</v>
      </c>
      <c r="AF5" s="15">
        <f>AE5+1</f>
        <v>2017</v>
      </c>
      <c r="AG5" s="15">
        <f>AF5+1</f>
        <v>2018</v>
      </c>
      <c r="AH5" s="15">
        <f>AG5+1</f>
        <v>2019</v>
      </c>
      <c r="AI5" s="15">
        <f>AH5+1</f>
        <v>2020</v>
      </c>
    </row>
    <row r="6" spans="1:35" ht="12.75">
      <c r="A6" s="307"/>
      <c r="B6" s="308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0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0</v>
      </c>
      <c r="AD6" s="15" t="s">
        <v>109</v>
      </c>
      <c r="AE6" s="15" t="s">
        <v>109</v>
      </c>
      <c r="AF6" s="15" t="s">
        <v>109</v>
      </c>
      <c r="AG6" s="15" t="s">
        <v>109</v>
      </c>
      <c r="AH6" s="15" t="s">
        <v>109</v>
      </c>
      <c r="AI6" s="15" t="s">
        <v>109</v>
      </c>
    </row>
    <row r="7" spans="1:35" s="21" customFormat="1" ht="25.5">
      <c r="A7" s="17" t="s">
        <v>3</v>
      </c>
      <c r="B7" s="18">
        <f>P7</f>
        <v>0</v>
      </c>
      <c r="C7" s="19"/>
      <c r="D7" s="20">
        <f>C35</f>
        <v>0</v>
      </c>
      <c r="E7" s="20">
        <f aca="true" t="shared" si="2" ref="E7:K7">D35</f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si="2"/>
        <v>0</v>
      </c>
      <c r="K7" s="20">
        <f t="shared" si="2"/>
        <v>0</v>
      </c>
      <c r="L7" s="20">
        <f>K35</f>
        <v>0</v>
      </c>
      <c r="M7" s="20">
        <f>L35</f>
        <v>0</v>
      </c>
      <c r="N7" s="20">
        <f>M35</f>
        <v>0</v>
      </c>
      <c r="O7" s="20">
        <f>N35</f>
        <v>0</v>
      </c>
      <c r="P7" s="20">
        <f>D7</f>
        <v>0</v>
      </c>
      <c r="Q7" s="20">
        <f>P35</f>
        <v>0</v>
      </c>
      <c r="R7" s="20">
        <f aca="true" t="shared" si="3" ref="R7:AA7">Q35</f>
        <v>0.8176449999999704</v>
      </c>
      <c r="S7" s="20">
        <f t="shared" si="3"/>
        <v>1.6352899999999408</v>
      </c>
      <c r="T7" s="20">
        <f t="shared" si="3"/>
        <v>40.15262699999994</v>
      </c>
      <c r="U7" s="20">
        <f t="shared" si="3"/>
        <v>2.148849776874954</v>
      </c>
      <c r="V7" s="20">
        <f t="shared" si="3"/>
        <v>2.2343265897949323</v>
      </c>
      <c r="W7" s="20">
        <f t="shared" si="3"/>
        <v>2.709365438759903</v>
      </c>
      <c r="X7" s="20">
        <f t="shared" si="3"/>
        <v>41.273658323769894</v>
      </c>
      <c r="Y7" s="20">
        <f t="shared" si="3"/>
        <v>80.22751324482488</v>
      </c>
      <c r="Z7" s="20">
        <f t="shared" si="3"/>
        <v>157.27062220192482</v>
      </c>
      <c r="AA7" s="20">
        <f t="shared" si="3"/>
        <v>234.70329319506976</v>
      </c>
      <c r="AB7" s="20">
        <f>AA35</f>
        <v>350.2252182242598</v>
      </c>
      <c r="AC7" s="20">
        <f>Q7</f>
        <v>0</v>
      </c>
      <c r="AD7" s="20">
        <f aca="true" t="shared" si="4" ref="AD7:AI7">AC35</f>
        <v>466.1367052894948</v>
      </c>
      <c r="AE7" s="20">
        <f t="shared" si="4"/>
        <v>1887.4603888838242</v>
      </c>
      <c r="AF7" s="20">
        <f t="shared" si="4"/>
        <v>4340.626079235373</v>
      </c>
      <c r="AG7" s="20">
        <f t="shared" si="4"/>
        <v>7969.608251235373</v>
      </c>
      <c r="AH7" s="20">
        <f t="shared" si="4"/>
        <v>12503.383031235373</v>
      </c>
      <c r="AI7" s="20">
        <f t="shared" si="4"/>
        <v>17037.157811235375</v>
      </c>
    </row>
    <row r="8" spans="1:35" s="21" customFormat="1" ht="12.75">
      <c r="A8" s="22" t="s">
        <v>9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5" s="21" customFormat="1" ht="12.75">
      <c r="A9" s="26" t="s">
        <v>16</v>
      </c>
      <c r="B9" s="27">
        <f>SUM(B10:B11)</f>
        <v>61236</v>
      </c>
      <c r="C9" s="27"/>
      <c r="D9" s="27">
        <f aca="true" t="shared" si="5" ref="D9:AI9">SUM(D10:D11)</f>
        <v>0</v>
      </c>
      <c r="E9" s="27">
        <f t="shared" si="5"/>
        <v>0</v>
      </c>
      <c r="F9" s="27">
        <f t="shared" si="5"/>
        <v>0</v>
      </c>
      <c r="G9" s="27">
        <f t="shared" si="5"/>
        <v>0</v>
      </c>
      <c r="H9" s="27">
        <f t="shared" si="5"/>
        <v>0</v>
      </c>
      <c r="I9" s="27">
        <f t="shared" si="5"/>
        <v>0</v>
      </c>
      <c r="J9" s="27">
        <f t="shared" si="5"/>
        <v>0</v>
      </c>
      <c r="K9" s="27">
        <f t="shared" si="5"/>
        <v>0</v>
      </c>
      <c r="L9" s="27">
        <f t="shared" si="5"/>
        <v>0</v>
      </c>
      <c r="M9" s="27">
        <f t="shared" si="5"/>
        <v>0</v>
      </c>
      <c r="N9" s="27">
        <f t="shared" si="5"/>
        <v>0</v>
      </c>
      <c r="O9" s="27">
        <f t="shared" si="5"/>
        <v>0</v>
      </c>
      <c r="P9" s="27">
        <f t="shared" si="5"/>
        <v>0</v>
      </c>
      <c r="Q9" s="27">
        <f t="shared" si="5"/>
        <v>420</v>
      </c>
      <c r="R9" s="27">
        <f t="shared" si="5"/>
        <v>420</v>
      </c>
      <c r="S9" s="27">
        <f t="shared" si="5"/>
        <v>462</v>
      </c>
      <c r="T9" s="27">
        <f t="shared" si="5"/>
        <v>462</v>
      </c>
      <c r="U9" s="27">
        <f t="shared" si="5"/>
        <v>504</v>
      </c>
      <c r="V9" s="27">
        <f t="shared" si="5"/>
        <v>504</v>
      </c>
      <c r="W9" s="27">
        <f t="shared" si="5"/>
        <v>546</v>
      </c>
      <c r="X9" s="27">
        <f t="shared" si="5"/>
        <v>546</v>
      </c>
      <c r="Y9" s="27">
        <f t="shared" si="5"/>
        <v>588</v>
      </c>
      <c r="Z9" s="27">
        <f t="shared" si="5"/>
        <v>588</v>
      </c>
      <c r="AA9" s="27">
        <f t="shared" si="5"/>
        <v>630</v>
      </c>
      <c r="AB9" s="27">
        <f t="shared" si="5"/>
        <v>630</v>
      </c>
      <c r="AC9" s="27">
        <f t="shared" si="5"/>
        <v>6300</v>
      </c>
      <c r="AD9" s="27">
        <f t="shared" si="5"/>
        <v>7560</v>
      </c>
      <c r="AE9" s="27">
        <f t="shared" si="5"/>
        <v>8064</v>
      </c>
      <c r="AF9" s="27">
        <f t="shared" si="5"/>
        <v>9072</v>
      </c>
      <c r="AG9" s="27">
        <f t="shared" si="5"/>
        <v>10080</v>
      </c>
      <c r="AH9" s="27">
        <f t="shared" si="5"/>
        <v>10080</v>
      </c>
      <c r="AI9" s="27">
        <f t="shared" si="5"/>
        <v>10080</v>
      </c>
    </row>
    <row r="10" spans="1:35" ht="12.75">
      <c r="A10" s="28" t="str">
        <f>'2-ф2'!A6</f>
        <v>Стирка и глажка белья</v>
      </c>
      <c r="B10" s="27">
        <f aca="true" t="shared" si="6" ref="B10:B17">P10+AC10+AD10+AE10+AF10+AG10+AH10+AI10</f>
        <v>61236</v>
      </c>
      <c r="C10" s="27"/>
      <c r="D10" s="29">
        <f>'2-ф2'!D6*Исх!$C$18</f>
        <v>0</v>
      </c>
      <c r="E10" s="29">
        <f>'2-ф2'!E6*Исх!$C$18</f>
        <v>0</v>
      </c>
      <c r="F10" s="29">
        <f>'2-ф2'!F6*Исх!$C$18</f>
        <v>0</v>
      </c>
      <c r="G10" s="29">
        <f>'2-ф2'!G6*Исх!$C$18</f>
        <v>0</v>
      </c>
      <c r="H10" s="29">
        <f>'2-ф2'!H6*Исх!$C$18</f>
        <v>0</v>
      </c>
      <c r="I10" s="29">
        <f>'2-ф2'!I6*Исх!$C$18</f>
        <v>0</v>
      </c>
      <c r="J10" s="29">
        <f>'2-ф2'!J6*Исх!$C$18</f>
        <v>0</v>
      </c>
      <c r="K10" s="29">
        <f>'2-ф2'!K6*Исх!$C$18</f>
        <v>0</v>
      </c>
      <c r="L10" s="29">
        <f>'2-ф2'!L6*Исх!$C$18</f>
        <v>0</v>
      </c>
      <c r="M10" s="29">
        <f>'2-ф2'!M6*Исх!$C$18</f>
        <v>0</v>
      </c>
      <c r="N10" s="29">
        <f>'2-ф2'!N6*Исх!$C$18</f>
        <v>0</v>
      </c>
      <c r="O10" s="29">
        <f>'2-ф2'!O6*Исх!$C$18</f>
        <v>0</v>
      </c>
      <c r="P10" s="27">
        <f>SUM(D10:O10)</f>
        <v>0</v>
      </c>
      <c r="Q10" s="29">
        <f>'2-ф2'!Q6*Исх!$C$18</f>
        <v>420</v>
      </c>
      <c r="R10" s="29">
        <f>'2-ф2'!R6*Исх!$C$18</f>
        <v>420</v>
      </c>
      <c r="S10" s="29">
        <f>'2-ф2'!S6*Исх!$C$18</f>
        <v>462</v>
      </c>
      <c r="T10" s="29">
        <f>'2-ф2'!T6*Исх!$C$18</f>
        <v>462</v>
      </c>
      <c r="U10" s="29">
        <f>'2-ф2'!U6*Исх!$C$18</f>
        <v>504</v>
      </c>
      <c r="V10" s="29">
        <f>'2-ф2'!V6*Исх!$C$18</f>
        <v>504</v>
      </c>
      <c r="W10" s="29">
        <f>'2-ф2'!W6*Исх!$C$18</f>
        <v>546</v>
      </c>
      <c r="X10" s="29">
        <f>'2-ф2'!X6*Исх!$C$18</f>
        <v>546</v>
      </c>
      <c r="Y10" s="29">
        <f>'2-ф2'!Y6*Исх!$C$18</f>
        <v>588</v>
      </c>
      <c r="Z10" s="29">
        <f>'2-ф2'!Z6*Исх!$C$18</f>
        <v>588</v>
      </c>
      <c r="AA10" s="29">
        <f>'2-ф2'!AA6*Исх!$C$18</f>
        <v>630</v>
      </c>
      <c r="AB10" s="29">
        <f>'2-ф2'!AB6*Исх!$C$18</f>
        <v>630</v>
      </c>
      <c r="AC10" s="27">
        <f>SUM(Q10:AB10)</f>
        <v>6300</v>
      </c>
      <c r="AD10" s="29">
        <f>'2-ф2'!AD6*Исх!$C$18</f>
        <v>7560</v>
      </c>
      <c r="AE10" s="29">
        <f>'2-ф2'!AE6*Исх!$C$18</f>
        <v>8064</v>
      </c>
      <c r="AF10" s="29">
        <f>'2-ф2'!AF6*Исх!$C$18</f>
        <v>9072</v>
      </c>
      <c r="AG10" s="29">
        <f>'2-ф2'!AG6*Исх!$C$18</f>
        <v>10080</v>
      </c>
      <c r="AH10" s="29">
        <f>'2-ф2'!AH6*Исх!$C$18</f>
        <v>10080</v>
      </c>
      <c r="AI10" s="29">
        <f>'2-ф2'!AI6*Исх!$C$18</f>
        <v>10080</v>
      </c>
    </row>
    <row r="11" spans="1:35" ht="12.75">
      <c r="A11" s="28">
        <f>'2-ф2'!A7</f>
        <v>0</v>
      </c>
      <c r="B11" s="27">
        <f t="shared" si="6"/>
        <v>0</v>
      </c>
      <c r="C11" s="27"/>
      <c r="D11" s="29">
        <f>'2-ф2'!D7*Исх!$C$18</f>
        <v>0</v>
      </c>
      <c r="E11" s="29">
        <f>'2-ф2'!E7*Исх!$C$18</f>
        <v>0</v>
      </c>
      <c r="F11" s="29">
        <f>'2-ф2'!F7*Исх!$C$18</f>
        <v>0</v>
      </c>
      <c r="G11" s="29">
        <f>'2-ф2'!G7*Исх!$C$18</f>
        <v>0</v>
      </c>
      <c r="H11" s="29">
        <f>'2-ф2'!H7*Исх!$C$18</f>
        <v>0</v>
      </c>
      <c r="I11" s="29">
        <f>'2-ф2'!I7*Исх!$C$18</f>
        <v>0</v>
      </c>
      <c r="J11" s="29">
        <f>'2-ф2'!J7*Исх!$C$18</f>
        <v>0</v>
      </c>
      <c r="K11" s="29">
        <f>'2-ф2'!K7*Исх!$C$18</f>
        <v>0</v>
      </c>
      <c r="L11" s="29">
        <f>'2-ф2'!L7*Исх!$C$18</f>
        <v>0</v>
      </c>
      <c r="M11" s="29">
        <f>'2-ф2'!M7*Исх!$C$18</f>
        <v>0</v>
      </c>
      <c r="N11" s="29">
        <f>'2-ф2'!N7*Исх!$C$18</f>
        <v>0</v>
      </c>
      <c r="O11" s="29">
        <f>'2-ф2'!O7*Исх!$C$18</f>
        <v>0</v>
      </c>
      <c r="P11" s="27">
        <f>SUM(D11:O11)</f>
        <v>0</v>
      </c>
      <c r="Q11" s="29">
        <f>'2-ф2'!Q7*Исх!$C$18</f>
        <v>0</v>
      </c>
      <c r="R11" s="29">
        <f>'2-ф2'!R7*Исх!$C$18</f>
        <v>0</v>
      </c>
      <c r="S11" s="29">
        <f>'2-ф2'!S7*Исх!$C$18</f>
        <v>0</v>
      </c>
      <c r="T11" s="29">
        <f>'2-ф2'!T7*Исх!$C$18</f>
        <v>0</v>
      </c>
      <c r="U11" s="29">
        <f>'2-ф2'!U7*Исх!$C$18</f>
        <v>0</v>
      </c>
      <c r="V11" s="29">
        <f>'2-ф2'!V7*Исх!$C$18</f>
        <v>0</v>
      </c>
      <c r="W11" s="29">
        <f>'2-ф2'!W7*Исх!$C$18</f>
        <v>0</v>
      </c>
      <c r="X11" s="29">
        <f>'2-ф2'!X7*Исх!$C$18</f>
        <v>0</v>
      </c>
      <c r="Y11" s="29">
        <f>'2-ф2'!Y7*Исх!$C$18</f>
        <v>0</v>
      </c>
      <c r="Z11" s="29">
        <f>'2-ф2'!Z7*Исх!$C$18</f>
        <v>0</v>
      </c>
      <c r="AA11" s="29">
        <f>'2-ф2'!AA7*Исх!$C$18</f>
        <v>0</v>
      </c>
      <c r="AB11" s="29">
        <f>'2-ф2'!AB7*Исх!$C$18</f>
        <v>0</v>
      </c>
      <c r="AC11" s="27">
        <f>SUM(Q11:AB11)</f>
        <v>0</v>
      </c>
      <c r="AD11" s="29">
        <f>'2-ф2'!AD7*Исх!$C$18</f>
        <v>0</v>
      </c>
      <c r="AE11" s="29">
        <f>'2-ф2'!AE7*Исх!$C$18</f>
        <v>0</v>
      </c>
      <c r="AF11" s="29">
        <f>'2-ф2'!AF7*Исх!$C$18</f>
        <v>0</v>
      </c>
      <c r="AG11" s="29">
        <f>'2-ф2'!AG7*Исх!$C$18</f>
        <v>0</v>
      </c>
      <c r="AH11" s="29">
        <f>'2-ф2'!AH7*Исх!$C$18</f>
        <v>0</v>
      </c>
      <c r="AI11" s="29">
        <f>'2-ф2'!AI7*Исх!$C$18</f>
        <v>0</v>
      </c>
    </row>
    <row r="12" spans="1:35" s="21" customFormat="1" ht="12.75">
      <c r="A12" s="30" t="s">
        <v>4</v>
      </c>
      <c r="B12" s="27">
        <f>SUM(B13:B17)</f>
        <v>38025.918905714636</v>
      </c>
      <c r="C12" s="27"/>
      <c r="D12" s="31">
        <f aca="true" t="shared" si="7" ref="D12:AI12">SUM(D13:D17)</f>
        <v>0</v>
      </c>
      <c r="E12" s="31">
        <f t="shared" si="7"/>
        <v>0</v>
      </c>
      <c r="F12" s="31">
        <f t="shared" si="7"/>
        <v>0</v>
      </c>
      <c r="G12" s="31">
        <f t="shared" si="7"/>
        <v>0</v>
      </c>
      <c r="H12" s="31">
        <f t="shared" si="7"/>
        <v>0</v>
      </c>
      <c r="I12" s="31">
        <f t="shared" si="7"/>
        <v>0</v>
      </c>
      <c r="J12" s="31">
        <f t="shared" si="7"/>
        <v>0</v>
      </c>
      <c r="K12" s="31">
        <f t="shared" si="7"/>
        <v>0</v>
      </c>
      <c r="L12" s="31">
        <f t="shared" si="7"/>
        <v>0</v>
      </c>
      <c r="M12" s="31">
        <f t="shared" si="7"/>
        <v>0</v>
      </c>
      <c r="N12" s="31">
        <f t="shared" si="7"/>
        <v>0</v>
      </c>
      <c r="O12" s="31">
        <f t="shared" si="7"/>
        <v>30.40308</v>
      </c>
      <c r="P12" s="31">
        <f t="shared" si="7"/>
        <v>30.40308</v>
      </c>
      <c r="Q12" s="31">
        <f t="shared" si="7"/>
        <v>419.18235500000003</v>
      </c>
      <c r="R12" s="31">
        <f t="shared" si="7"/>
        <v>419.18235500000003</v>
      </c>
      <c r="S12" s="31">
        <f t="shared" si="7"/>
        <v>423.482663</v>
      </c>
      <c r="T12" s="31">
        <f t="shared" si="7"/>
        <v>433.221713901125</v>
      </c>
      <c r="U12" s="31">
        <f t="shared" si="7"/>
        <v>437.13245986508</v>
      </c>
      <c r="V12" s="31">
        <f t="shared" si="7"/>
        <v>436.74289782903503</v>
      </c>
      <c r="W12" s="31">
        <f t="shared" si="7"/>
        <v>440.65364379299</v>
      </c>
      <c r="X12" s="31">
        <f t="shared" si="7"/>
        <v>440.264081756945</v>
      </c>
      <c r="Y12" s="31">
        <f t="shared" si="7"/>
        <v>444.17482772090005</v>
      </c>
      <c r="Z12" s="31">
        <f t="shared" si="7"/>
        <v>443.78526568485506</v>
      </c>
      <c r="AA12" s="31">
        <f t="shared" si="7"/>
        <v>447.69601164881</v>
      </c>
      <c r="AB12" s="31">
        <f t="shared" si="7"/>
        <v>447.306449612765</v>
      </c>
      <c r="AC12" s="31">
        <f t="shared" si="7"/>
        <v>5232.824724812505</v>
      </c>
      <c r="AD12" s="31">
        <f t="shared" si="7"/>
        <v>5337.291556541671</v>
      </c>
      <c r="AE12" s="31">
        <f t="shared" si="7"/>
        <v>5343.706056360451</v>
      </c>
      <c r="AF12" s="31">
        <f t="shared" si="7"/>
        <v>5443.017828</v>
      </c>
      <c r="AG12" s="31">
        <f t="shared" si="7"/>
        <v>5546.22522</v>
      </c>
      <c r="AH12" s="31">
        <f t="shared" si="7"/>
        <v>5546.22522</v>
      </c>
      <c r="AI12" s="31">
        <f t="shared" si="7"/>
        <v>5546.22522</v>
      </c>
    </row>
    <row r="13" spans="1:35" ht="12.75">
      <c r="A13" s="28" t="str">
        <f>'2-ф2'!A9</f>
        <v>Расходные материалы</v>
      </c>
      <c r="B13" s="27">
        <f>P13+AC13+AD13+AE13+AF13+AG13+AH13+AI13</f>
        <v>4463.172144</v>
      </c>
      <c r="C13" s="32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>
        <f>Q13</f>
        <v>30.40308</v>
      </c>
      <c r="P13" s="27">
        <f>SUM(D13:O13)</f>
        <v>30.40308</v>
      </c>
      <c r="Q13" s="29">
        <f>'2-ф2'!Q9</f>
        <v>30.40308</v>
      </c>
      <c r="R13" s="29">
        <f>'2-ф2'!R9</f>
        <v>30.40308</v>
      </c>
      <c r="S13" s="29">
        <f>'2-ф2'!S9</f>
        <v>33.443388</v>
      </c>
      <c r="T13" s="29">
        <f>'2-ф2'!T9</f>
        <v>33.443388</v>
      </c>
      <c r="U13" s="29">
        <f>'2-ф2'!U9</f>
        <v>36.483695999999995</v>
      </c>
      <c r="V13" s="29">
        <f>'2-ф2'!V9</f>
        <v>36.483695999999995</v>
      </c>
      <c r="W13" s="29">
        <f>'2-ф2'!W9</f>
        <v>39.524004</v>
      </c>
      <c r="X13" s="29">
        <f>'2-ф2'!X9</f>
        <v>39.524004</v>
      </c>
      <c r="Y13" s="29">
        <f>'2-ф2'!Y9</f>
        <v>42.564312</v>
      </c>
      <c r="Z13" s="29">
        <f>'2-ф2'!Z9</f>
        <v>42.564312</v>
      </c>
      <c r="AA13" s="29">
        <f>'2-ф2'!AA9</f>
        <v>45.60462</v>
      </c>
      <c r="AB13" s="29">
        <f>'2-ф2'!AB9</f>
        <v>45.60462</v>
      </c>
      <c r="AC13" s="27">
        <f>SUM(Q13:AB13)</f>
        <v>456.0462</v>
      </c>
      <c r="AD13" s="29">
        <f>'2-ф2'!AD9</f>
        <v>547.2554399999999</v>
      </c>
      <c r="AE13" s="29">
        <f>'2-ф2'!AE9</f>
        <v>583.7391359999999</v>
      </c>
      <c r="AF13" s="29">
        <f>'2-ф2'!AF9</f>
        <v>656.7065279999999</v>
      </c>
      <c r="AG13" s="29">
        <f>'2-ф2'!AG9</f>
        <v>729.67392</v>
      </c>
      <c r="AH13" s="29">
        <f>'2-ф2'!AH9</f>
        <v>729.67392</v>
      </c>
      <c r="AI13" s="29">
        <f>'2-ф2'!AI9</f>
        <v>729.67392</v>
      </c>
    </row>
    <row r="14" spans="1:35" ht="12.75">
      <c r="A14" s="28" t="s">
        <v>144</v>
      </c>
      <c r="B14" s="27">
        <f t="shared" si="6"/>
        <v>31599.059100000006</v>
      </c>
      <c r="C14" s="2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7">
        <f>SUM(D14:O14)</f>
        <v>0</v>
      </c>
      <c r="Q14" s="29">
        <f>(Пост!$D$15-Пост!$D$6)*Исх!$C$18+Пост!$D$6+Пост!$D$17+Пост!$D$20</f>
        <v>376.179275</v>
      </c>
      <c r="R14" s="29">
        <f>(Пост!$D$15-Пост!$D$6)*Исх!$C$18+Пост!$D$6+Пост!$D$17+Пост!$D$20</f>
        <v>376.179275</v>
      </c>
      <c r="S14" s="29">
        <f>(Пост!$D$15-Пост!$D$6)*Исх!$C$18+Пост!$D$6+Пост!$D$17+Пост!$D$20</f>
        <v>376.179275</v>
      </c>
      <c r="T14" s="29">
        <f>(Пост!$D$15-Пост!$D$6)*Исх!$C$18+Пост!$D$6+Пост!$D$17+Пост!$D$20</f>
        <v>376.179275</v>
      </c>
      <c r="U14" s="29">
        <f>(Пост!$D$15-Пост!$D$6)*Исх!$C$18+Пост!$D$6+Пост!$D$17+Пост!$D$20</f>
        <v>376.179275</v>
      </c>
      <c r="V14" s="29">
        <f>(Пост!$D$15-Пост!$D$6)*Исх!$C$18+Пост!$D$6+Пост!$D$17+Пост!$D$20</f>
        <v>376.179275</v>
      </c>
      <c r="W14" s="29">
        <f>(Пост!$D$15-Пост!$D$6)*Исх!$C$18+Пост!$D$6+Пост!$D$17+Пост!$D$20</f>
        <v>376.179275</v>
      </c>
      <c r="X14" s="29">
        <f>(Пост!$D$15-Пост!$D$6)*Исх!$C$18+Пост!$D$6+Пост!$D$17+Пост!$D$20</f>
        <v>376.179275</v>
      </c>
      <c r="Y14" s="29">
        <f>(Пост!$D$15-Пост!$D$6)*Исх!$C$18+Пост!$D$6+Пост!$D$17+Пост!$D$20</f>
        <v>376.179275</v>
      </c>
      <c r="Z14" s="29">
        <f>(Пост!$D$15-Пост!$D$6)*Исх!$C$18+Пост!$D$6+Пост!$D$17+Пост!$D$20</f>
        <v>376.179275</v>
      </c>
      <c r="AA14" s="29">
        <f>(Пост!$D$15-Пост!$D$6)*Исх!$C$18+Пост!$D$6+Пост!$D$17+Пост!$D$20</f>
        <v>376.179275</v>
      </c>
      <c r="AB14" s="29">
        <f>(Пост!$D$15-Пост!$D$6)*Исх!$C$18+Пост!$D$6+Пост!$D$17+Пост!$D$20</f>
        <v>376.179275</v>
      </c>
      <c r="AC14" s="27">
        <f>SUM(Q14:AB14)</f>
        <v>4514.1513</v>
      </c>
      <c r="AD14" s="29">
        <f>((Пост!E15-Пост!E6)*Исх!$C$18+Пост!E6+Пост!E17+Пост!E20)*12</f>
        <v>4514.1513</v>
      </c>
      <c r="AE14" s="29">
        <f>((Пост!F15-Пост!F6)*Исх!$C$18+Пост!F6+Пост!F17+Пост!F20)*12</f>
        <v>4514.1513</v>
      </c>
      <c r="AF14" s="29">
        <f>((Пост!G15-Пост!G6)*Исх!$C$18+Пост!G6+Пост!G17+Пост!G20)*12</f>
        <v>4514.1513</v>
      </c>
      <c r="AG14" s="29">
        <f>((Пост!H15-Пост!H6)*Исх!$C$18+Пост!H6+Пост!H17+Пост!H20)*12</f>
        <v>4514.1513</v>
      </c>
      <c r="AH14" s="29">
        <f>((Пост!I15-Пост!I6)*Исх!$C$18+Пост!I6+Пост!I17+Пост!I20)*12</f>
        <v>4514.1513</v>
      </c>
      <c r="AI14" s="29">
        <f>((Пост!J15-Пост!J6)*Исх!$C$18+Пост!J6+Пост!J17+Пост!J20)*12</f>
        <v>4514.1513</v>
      </c>
    </row>
    <row r="15" spans="1:35" ht="12.75">
      <c r="A15" s="28" t="s">
        <v>52</v>
      </c>
      <c r="B15" s="27">
        <f t="shared" si="6"/>
        <v>126.60766171462538</v>
      </c>
      <c r="C15" s="27"/>
      <c r="D15" s="29">
        <f>кр!C11</f>
        <v>0</v>
      </c>
      <c r="E15" s="29">
        <f>кр!D11</f>
        <v>0</v>
      </c>
      <c r="F15" s="29">
        <f>кр!E11</f>
        <v>0</v>
      </c>
      <c r="G15" s="29">
        <f>кр!F11</f>
        <v>0</v>
      </c>
      <c r="H15" s="29">
        <f>кр!G11</f>
        <v>0</v>
      </c>
      <c r="I15" s="29">
        <f>кр!H11</f>
        <v>0</v>
      </c>
      <c r="J15" s="29">
        <f>кр!I11</f>
        <v>0</v>
      </c>
      <c r="K15" s="29">
        <f>кр!J11</f>
        <v>0</v>
      </c>
      <c r="L15" s="29">
        <f>кр!K11</f>
        <v>0</v>
      </c>
      <c r="M15" s="29">
        <f>кр!L11</f>
        <v>0</v>
      </c>
      <c r="N15" s="29">
        <f>кр!M11</f>
        <v>0</v>
      </c>
      <c r="O15" s="29">
        <f>кр!N11</f>
        <v>0</v>
      </c>
      <c r="P15" s="27">
        <f>SUM(D15:O15)</f>
        <v>0</v>
      </c>
      <c r="Q15" s="29">
        <f>кр!P11</f>
        <v>0</v>
      </c>
      <c r="R15" s="29">
        <f>кр!Q11</f>
        <v>0</v>
      </c>
      <c r="S15" s="29">
        <f>кр!R11</f>
        <v>0</v>
      </c>
      <c r="T15" s="29">
        <f>кр!S11</f>
        <v>9.739050901125001</v>
      </c>
      <c r="U15" s="29">
        <f>кр!T11</f>
        <v>9.34948886508</v>
      </c>
      <c r="V15" s="29">
        <f>кр!U11</f>
        <v>8.959926829035002</v>
      </c>
      <c r="W15" s="29">
        <f>кр!V11</f>
        <v>8.570364792990002</v>
      </c>
      <c r="X15" s="29">
        <f>кр!W11</f>
        <v>8.180802756945003</v>
      </c>
      <c r="Y15" s="29">
        <f>кр!X11</f>
        <v>7.791240720900003</v>
      </c>
      <c r="Z15" s="29">
        <f>кр!Y11</f>
        <v>7.401678684855003</v>
      </c>
      <c r="AA15" s="29">
        <f>кр!Z11</f>
        <v>7.012116648810005</v>
      </c>
      <c r="AB15" s="29">
        <f>кр!AA11</f>
        <v>6.622554612765005</v>
      </c>
      <c r="AC15" s="27">
        <f>SUM(Q15:AB15)</f>
        <v>73.62722481250502</v>
      </c>
      <c r="AD15" s="33">
        <f>кр!AO11</f>
        <v>49.084816541670065</v>
      </c>
      <c r="AE15" s="33">
        <f>кр!BB11</f>
        <v>3.895620360450064</v>
      </c>
      <c r="AF15" s="33">
        <f>кр!BO11</f>
        <v>6.366462912410498E-14</v>
      </c>
      <c r="AG15" s="33">
        <f>кр!CB11</f>
        <v>6.366462912410498E-14</v>
      </c>
      <c r="AH15" s="33">
        <f>кр!CO11</f>
        <v>6.366462912410498E-14</v>
      </c>
      <c r="AI15" s="33">
        <f>кр!DB11</f>
        <v>6.366462912410498E-14</v>
      </c>
    </row>
    <row r="16" spans="1:35" ht="12.75">
      <c r="A16" s="28" t="s">
        <v>199</v>
      </c>
      <c r="B16" s="27">
        <f t="shared" si="6"/>
        <v>1837.08</v>
      </c>
      <c r="C16" s="27"/>
      <c r="D16" s="29">
        <f>'2-ф2'!D16</f>
        <v>0</v>
      </c>
      <c r="E16" s="29">
        <f>'2-ф2'!E16</f>
        <v>0</v>
      </c>
      <c r="F16" s="29">
        <f>'2-ф2'!F16</f>
        <v>0</v>
      </c>
      <c r="G16" s="29">
        <f>'2-ф2'!G16</f>
        <v>0</v>
      </c>
      <c r="H16" s="29">
        <f>'2-ф2'!H16</f>
        <v>0</v>
      </c>
      <c r="I16" s="29">
        <f>'2-ф2'!I16</f>
        <v>0</v>
      </c>
      <c r="J16" s="29">
        <f>'2-ф2'!J16</f>
        <v>0</v>
      </c>
      <c r="K16" s="29">
        <f>'2-ф2'!K16</f>
        <v>0</v>
      </c>
      <c r="L16" s="29">
        <f>'2-ф2'!L16</f>
        <v>0</v>
      </c>
      <c r="M16" s="29">
        <f>'2-ф2'!M16</f>
        <v>0</v>
      </c>
      <c r="N16" s="29">
        <f>'2-ф2'!N16</f>
        <v>0</v>
      </c>
      <c r="O16" s="29">
        <f>'2-ф2'!O16</f>
        <v>0</v>
      </c>
      <c r="P16" s="27">
        <f>SUM(D16:O16)</f>
        <v>0</v>
      </c>
      <c r="Q16" s="29">
        <f>'2-ф2'!Q16</f>
        <v>12.6</v>
      </c>
      <c r="R16" s="29">
        <f>'2-ф2'!R16</f>
        <v>12.6</v>
      </c>
      <c r="S16" s="29">
        <f>'2-ф2'!S16</f>
        <v>13.86</v>
      </c>
      <c r="T16" s="29">
        <f>'2-ф2'!T16</f>
        <v>13.86</v>
      </c>
      <c r="U16" s="29">
        <f>'2-ф2'!U16</f>
        <v>15.12</v>
      </c>
      <c r="V16" s="29">
        <f>'2-ф2'!V16</f>
        <v>15.12</v>
      </c>
      <c r="W16" s="29">
        <f>'2-ф2'!W16</f>
        <v>16.38</v>
      </c>
      <c r="X16" s="29">
        <f>'2-ф2'!X16</f>
        <v>16.38</v>
      </c>
      <c r="Y16" s="29">
        <f>'2-ф2'!Y16</f>
        <v>17.64</v>
      </c>
      <c r="Z16" s="29">
        <f>'2-ф2'!Z16</f>
        <v>17.64</v>
      </c>
      <c r="AA16" s="29">
        <f>'2-ф2'!AA16</f>
        <v>18.9</v>
      </c>
      <c r="AB16" s="29">
        <f>'2-ф2'!AB16</f>
        <v>18.9</v>
      </c>
      <c r="AC16" s="27">
        <f>SUM(Q16:AB16)</f>
        <v>189</v>
      </c>
      <c r="AD16" s="29">
        <f>'2-ф2'!AD16</f>
        <v>226.79999999999998</v>
      </c>
      <c r="AE16" s="29">
        <f>'2-ф2'!AE16</f>
        <v>241.92</v>
      </c>
      <c r="AF16" s="29">
        <f>'2-ф2'!AF16</f>
        <v>272.15999999999997</v>
      </c>
      <c r="AG16" s="29">
        <f>'2-ф2'!AG16</f>
        <v>302.4</v>
      </c>
      <c r="AH16" s="29">
        <f>'2-ф2'!AH16</f>
        <v>302.4</v>
      </c>
      <c r="AI16" s="29">
        <f>'2-ф2'!AI16</f>
        <v>302.4</v>
      </c>
    </row>
    <row r="17" spans="1:35" ht="12.75">
      <c r="A17" s="28" t="s">
        <v>31</v>
      </c>
      <c r="B17" s="27">
        <f t="shared" si="6"/>
        <v>0</v>
      </c>
      <c r="C17" s="27"/>
      <c r="D17" s="29">
        <f>'2-ф2'!D31</f>
        <v>0</v>
      </c>
      <c r="E17" s="29">
        <f>'2-ф2'!E31</f>
        <v>0</v>
      </c>
      <c r="F17" s="29">
        <f>'2-ф2'!F31</f>
        <v>0</v>
      </c>
      <c r="G17" s="29">
        <f>'2-ф2'!G31</f>
        <v>0</v>
      </c>
      <c r="H17" s="29">
        <f>'2-ф2'!H31</f>
        <v>0</v>
      </c>
      <c r="I17" s="29">
        <f>'2-ф2'!I31</f>
        <v>0</v>
      </c>
      <c r="J17" s="29">
        <f>'2-ф2'!J31</f>
        <v>0</v>
      </c>
      <c r="K17" s="29">
        <f>'2-ф2'!K31</f>
        <v>0</v>
      </c>
      <c r="L17" s="29">
        <f>'2-ф2'!L31</f>
        <v>0</v>
      </c>
      <c r="M17" s="29">
        <f>'2-ф2'!M31</f>
        <v>0</v>
      </c>
      <c r="N17" s="29">
        <f>'2-ф2'!N31</f>
        <v>0</v>
      </c>
      <c r="O17" s="29">
        <f>'2-ф2'!O31</f>
        <v>0</v>
      </c>
      <c r="P17" s="27">
        <f>SUM(D17:O17)</f>
        <v>0</v>
      </c>
      <c r="Q17" s="29">
        <f>'2-ф2'!Q31</f>
        <v>0</v>
      </c>
      <c r="R17" s="29">
        <f>'2-ф2'!R31</f>
        <v>0</v>
      </c>
      <c r="S17" s="29">
        <f>'2-ф2'!S31</f>
        <v>0</v>
      </c>
      <c r="T17" s="29">
        <f>'2-ф2'!T31</f>
        <v>0</v>
      </c>
      <c r="U17" s="29">
        <f>'2-ф2'!U31</f>
        <v>0</v>
      </c>
      <c r="V17" s="29">
        <f>'2-ф2'!V31</f>
        <v>0</v>
      </c>
      <c r="W17" s="29">
        <f>'2-ф2'!W31</f>
        <v>0</v>
      </c>
      <c r="X17" s="29">
        <f>'2-ф2'!X31</f>
        <v>0</v>
      </c>
      <c r="Y17" s="29">
        <f>'2-ф2'!Y31</f>
        <v>0</v>
      </c>
      <c r="Z17" s="29">
        <f>'2-ф2'!Z31</f>
        <v>0</v>
      </c>
      <c r="AA17" s="29">
        <f>'2-ф2'!AA31</f>
        <v>0</v>
      </c>
      <c r="AB17" s="29">
        <f>'2-ф2'!AB31</f>
        <v>0</v>
      </c>
      <c r="AC17" s="27">
        <f>SUM(Q17:AB17)</f>
        <v>0</v>
      </c>
      <c r="AD17" s="29">
        <f>'2-ф2'!AD31</f>
        <v>0</v>
      </c>
      <c r="AE17" s="29">
        <f>'2-ф2'!AE31</f>
        <v>0</v>
      </c>
      <c r="AF17" s="29">
        <f>'2-ф2'!AF31</f>
        <v>0</v>
      </c>
      <c r="AG17" s="29">
        <f>'2-ф2'!AG31</f>
        <v>0</v>
      </c>
      <c r="AH17" s="29">
        <f>'2-ф2'!AH31</f>
        <v>0</v>
      </c>
      <c r="AI17" s="29">
        <f>'2-ф2'!AI31</f>
        <v>0</v>
      </c>
    </row>
    <row r="18" spans="1:35" s="21" customFormat="1" ht="25.5">
      <c r="A18" s="34" t="s">
        <v>17</v>
      </c>
      <c r="B18" s="18">
        <f>B9-B12</f>
        <v>23210.081094285364</v>
      </c>
      <c r="C18" s="18"/>
      <c r="D18" s="18">
        <f aca="true" t="shared" si="8" ref="D18:AI18">D9-D12</f>
        <v>0</v>
      </c>
      <c r="E18" s="18">
        <f t="shared" si="8"/>
        <v>0</v>
      </c>
      <c r="F18" s="18">
        <f t="shared" si="8"/>
        <v>0</v>
      </c>
      <c r="G18" s="18">
        <f t="shared" si="8"/>
        <v>0</v>
      </c>
      <c r="H18" s="18">
        <f t="shared" si="8"/>
        <v>0</v>
      </c>
      <c r="I18" s="18">
        <f t="shared" si="8"/>
        <v>0</v>
      </c>
      <c r="J18" s="18">
        <f t="shared" si="8"/>
        <v>0</v>
      </c>
      <c r="K18" s="18">
        <f t="shared" si="8"/>
        <v>0</v>
      </c>
      <c r="L18" s="18">
        <f t="shared" si="8"/>
        <v>0</v>
      </c>
      <c r="M18" s="18">
        <f t="shared" si="8"/>
        <v>0</v>
      </c>
      <c r="N18" s="18">
        <f t="shared" si="8"/>
        <v>0</v>
      </c>
      <c r="O18" s="18">
        <f t="shared" si="8"/>
        <v>-30.40308</v>
      </c>
      <c r="P18" s="18">
        <f t="shared" si="8"/>
        <v>-30.40308</v>
      </c>
      <c r="Q18" s="18">
        <f t="shared" si="8"/>
        <v>0.8176449999999704</v>
      </c>
      <c r="R18" s="18">
        <f t="shared" si="8"/>
        <v>0.8176449999999704</v>
      </c>
      <c r="S18" s="18">
        <f t="shared" si="8"/>
        <v>38.517337</v>
      </c>
      <c r="T18" s="18">
        <f t="shared" si="8"/>
        <v>28.778286098875014</v>
      </c>
      <c r="U18" s="18">
        <f t="shared" si="8"/>
        <v>66.86754013491998</v>
      </c>
      <c r="V18" s="18">
        <f t="shared" si="8"/>
        <v>67.25710217096497</v>
      </c>
      <c r="W18" s="18">
        <f t="shared" si="8"/>
        <v>105.34635620700999</v>
      </c>
      <c r="X18" s="18">
        <f t="shared" si="8"/>
        <v>105.73591824305498</v>
      </c>
      <c r="Y18" s="18">
        <f t="shared" si="8"/>
        <v>143.82517227909995</v>
      </c>
      <c r="Z18" s="18">
        <f t="shared" si="8"/>
        <v>144.21473431514494</v>
      </c>
      <c r="AA18" s="18">
        <f t="shared" si="8"/>
        <v>182.30398835119001</v>
      </c>
      <c r="AB18" s="18">
        <f t="shared" si="8"/>
        <v>182.693550387235</v>
      </c>
      <c r="AC18" s="18">
        <f t="shared" si="8"/>
        <v>1067.1752751874947</v>
      </c>
      <c r="AD18" s="18">
        <f t="shared" si="8"/>
        <v>2222.7084434583294</v>
      </c>
      <c r="AE18" s="18">
        <f t="shared" si="8"/>
        <v>2720.293943639549</v>
      </c>
      <c r="AF18" s="18">
        <f t="shared" si="8"/>
        <v>3628.982172</v>
      </c>
      <c r="AG18" s="18">
        <f t="shared" si="8"/>
        <v>4533.77478</v>
      </c>
      <c r="AH18" s="18">
        <f t="shared" si="8"/>
        <v>4533.77478</v>
      </c>
      <c r="AI18" s="18">
        <f t="shared" si="8"/>
        <v>4533.77478</v>
      </c>
    </row>
    <row r="19" spans="1:35" s="21" customFormat="1" ht="12.75">
      <c r="A19" s="22" t="s">
        <v>18</v>
      </c>
      <c r="B19" s="23"/>
      <c r="C19" s="23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5"/>
      <c r="AD19" s="35"/>
      <c r="AE19" s="35"/>
      <c r="AF19" s="35"/>
      <c r="AG19" s="35"/>
      <c r="AH19" s="35"/>
      <c r="AI19" s="35"/>
    </row>
    <row r="20" spans="1:35" s="21" customFormat="1" ht="12.75">
      <c r="A20" s="26" t="s">
        <v>5</v>
      </c>
      <c r="B20" s="27"/>
      <c r="C20" s="27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7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7"/>
      <c r="AD20" s="27"/>
      <c r="AE20" s="27"/>
      <c r="AF20" s="27"/>
      <c r="AG20" s="27"/>
      <c r="AH20" s="27"/>
      <c r="AI20" s="27"/>
    </row>
    <row r="21" spans="1:35" s="21" customFormat="1" ht="12.75">
      <c r="A21" s="26" t="s">
        <v>6</v>
      </c>
      <c r="B21" s="27">
        <f>SUM(B22:B23)</f>
        <v>1908.5133600000001</v>
      </c>
      <c r="C21" s="27"/>
      <c r="D21" s="27">
        <f aca="true" t="shared" si="9" ref="D21:AC21">SUM(D22:D23)</f>
        <v>0</v>
      </c>
      <c r="E21" s="27">
        <f t="shared" si="9"/>
        <v>0</v>
      </c>
      <c r="F21" s="27">
        <f t="shared" si="9"/>
        <v>0</v>
      </c>
      <c r="G21" s="27">
        <f t="shared" si="9"/>
        <v>0</v>
      </c>
      <c r="H21" s="27">
        <f>SUM(H22:H23)</f>
        <v>0</v>
      </c>
      <c r="I21" s="27">
        <f t="shared" si="9"/>
        <v>0</v>
      </c>
      <c r="J21" s="27">
        <f t="shared" si="9"/>
        <v>0</v>
      </c>
      <c r="K21" s="27">
        <f t="shared" si="9"/>
        <v>0</v>
      </c>
      <c r="L21" s="27">
        <f t="shared" si="9"/>
        <v>0</v>
      </c>
      <c r="M21" s="27">
        <f t="shared" si="9"/>
        <v>1908.5133600000001</v>
      </c>
      <c r="N21" s="27">
        <f t="shared" si="9"/>
        <v>0</v>
      </c>
      <c r="O21" s="27">
        <f t="shared" si="9"/>
        <v>0</v>
      </c>
      <c r="P21" s="27">
        <f t="shared" si="9"/>
        <v>1908.5133600000001</v>
      </c>
      <c r="Q21" s="27">
        <f t="shared" si="9"/>
        <v>0</v>
      </c>
      <c r="R21" s="27">
        <f t="shared" si="9"/>
        <v>0</v>
      </c>
      <c r="S21" s="27">
        <f t="shared" si="9"/>
        <v>0</v>
      </c>
      <c r="T21" s="27">
        <f t="shared" si="9"/>
        <v>0</v>
      </c>
      <c r="U21" s="27">
        <f t="shared" si="9"/>
        <v>0</v>
      </c>
      <c r="V21" s="27">
        <f t="shared" si="9"/>
        <v>0</v>
      </c>
      <c r="W21" s="27">
        <f t="shared" si="9"/>
        <v>0</v>
      </c>
      <c r="X21" s="27">
        <f t="shared" si="9"/>
        <v>0</v>
      </c>
      <c r="Y21" s="27">
        <f t="shared" si="9"/>
        <v>0</v>
      </c>
      <c r="Z21" s="27">
        <f t="shared" si="9"/>
        <v>0</v>
      </c>
      <c r="AA21" s="27">
        <f t="shared" si="9"/>
        <v>0</v>
      </c>
      <c r="AB21" s="27">
        <f t="shared" si="9"/>
        <v>0</v>
      </c>
      <c r="AC21" s="27">
        <f t="shared" si="9"/>
        <v>0</v>
      </c>
      <c r="AD21" s="27">
        <f aca="true" t="shared" si="10" ref="AD21:AI21">SUM(AD22:AD23)</f>
        <v>0</v>
      </c>
      <c r="AE21" s="27">
        <f t="shared" si="10"/>
        <v>0</v>
      </c>
      <c r="AF21" s="27">
        <f t="shared" si="10"/>
        <v>0</v>
      </c>
      <c r="AG21" s="27">
        <f t="shared" si="10"/>
        <v>0</v>
      </c>
      <c r="AH21" s="27">
        <f t="shared" si="10"/>
        <v>0</v>
      </c>
      <c r="AI21" s="27">
        <f t="shared" si="10"/>
        <v>0</v>
      </c>
    </row>
    <row r="22" spans="1:35" ht="12.75">
      <c r="A22" s="37" t="s">
        <v>19</v>
      </c>
      <c r="B22" s="27">
        <f>P22+AC22+AD22+AE22+AF22+AG22+AH22+AI22</f>
        <v>1908.5133600000001</v>
      </c>
      <c r="C22" s="27"/>
      <c r="D22" s="29">
        <f>Инв!E19</f>
        <v>0</v>
      </c>
      <c r="E22" s="29">
        <f>Инв!F19</f>
        <v>0</v>
      </c>
      <c r="F22" s="29">
        <f>Инв!G19</f>
        <v>0</v>
      </c>
      <c r="G22" s="29">
        <f>Инв!H19</f>
        <v>0</v>
      </c>
      <c r="H22" s="29">
        <f>Инв!I19</f>
        <v>0</v>
      </c>
      <c r="I22" s="29">
        <f>Инв!J19</f>
        <v>0</v>
      </c>
      <c r="J22" s="29">
        <f>Инв!K19</f>
        <v>0</v>
      </c>
      <c r="K22" s="29"/>
      <c r="L22" s="29">
        <f>Инв!M19</f>
        <v>0</v>
      </c>
      <c r="M22" s="29">
        <f>Инв!N19</f>
        <v>1908.5133600000001</v>
      </c>
      <c r="N22" s="29">
        <f>Инв!O19</f>
        <v>0</v>
      </c>
      <c r="O22" s="29">
        <f>Инв!P19</f>
        <v>0</v>
      </c>
      <c r="P22" s="27">
        <f>SUM(D22:O22)</f>
        <v>1908.5133600000001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7">
        <f>SUM(Q22:AB22)</f>
        <v>0</v>
      </c>
      <c r="AD22" s="27"/>
      <c r="AE22" s="27"/>
      <c r="AF22" s="27"/>
      <c r="AG22" s="27"/>
      <c r="AH22" s="27"/>
      <c r="AI22" s="27"/>
    </row>
    <row r="23" spans="1:35" ht="12.75" outlineLevel="1">
      <c r="A23" s="37"/>
      <c r="B23" s="27">
        <f>P23+AC23+AD23+AE23+AF23+AG23+AH23+AI23</f>
        <v>0</v>
      </c>
      <c r="C23" s="27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7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7"/>
      <c r="AD23" s="27"/>
      <c r="AE23" s="27"/>
      <c r="AF23" s="27"/>
      <c r="AG23" s="27"/>
      <c r="AH23" s="27"/>
      <c r="AI23" s="27"/>
    </row>
    <row r="24" spans="1:35" s="21" customFormat="1" ht="25.5">
      <c r="A24" s="38" t="s">
        <v>20</v>
      </c>
      <c r="B24" s="18">
        <f>B20-B21</f>
        <v>-1908.5133600000001</v>
      </c>
      <c r="C24" s="18"/>
      <c r="D24" s="18">
        <f>D20-D21</f>
        <v>0</v>
      </c>
      <c r="E24" s="18">
        <f aca="true" t="shared" si="11" ref="E24:O24">E20-E21</f>
        <v>0</v>
      </c>
      <c r="F24" s="18">
        <f t="shared" si="11"/>
        <v>0</v>
      </c>
      <c r="G24" s="18">
        <f t="shared" si="11"/>
        <v>0</v>
      </c>
      <c r="H24" s="18">
        <f t="shared" si="11"/>
        <v>0</v>
      </c>
      <c r="I24" s="18">
        <f t="shared" si="11"/>
        <v>0</v>
      </c>
      <c r="J24" s="18">
        <f>J20-J21</f>
        <v>0</v>
      </c>
      <c r="K24" s="18">
        <f t="shared" si="11"/>
        <v>0</v>
      </c>
      <c r="L24" s="18">
        <f t="shared" si="11"/>
        <v>0</v>
      </c>
      <c r="M24" s="18">
        <f t="shared" si="11"/>
        <v>-1908.5133600000001</v>
      </c>
      <c r="N24" s="18">
        <f t="shared" si="11"/>
        <v>0</v>
      </c>
      <c r="O24" s="18">
        <f t="shared" si="11"/>
        <v>0</v>
      </c>
      <c r="P24" s="18">
        <f>SUM(D24:O24)</f>
        <v>-1908.5133600000001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</row>
    <row r="25" spans="1:35" s="42" customFormat="1" ht="12.75">
      <c r="A25" s="39" t="s">
        <v>21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1"/>
      <c r="AD25" s="41"/>
      <c r="AE25" s="41"/>
      <c r="AF25" s="41"/>
      <c r="AG25" s="41"/>
      <c r="AH25" s="41"/>
      <c r="AI25" s="41"/>
    </row>
    <row r="26" spans="1:35" s="21" customFormat="1" ht="12.75">
      <c r="A26" s="22" t="s">
        <v>22</v>
      </c>
      <c r="B26" s="23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35"/>
      <c r="AD26" s="35"/>
      <c r="AE26" s="35"/>
      <c r="AF26" s="35"/>
      <c r="AG26" s="35"/>
      <c r="AH26" s="35"/>
      <c r="AI26" s="35"/>
    </row>
    <row r="27" spans="1:35" s="21" customFormat="1" ht="12.75">
      <c r="A27" s="26" t="s">
        <v>5</v>
      </c>
      <c r="B27" s="27">
        <f>SUM(B28:B29)</f>
        <v>1938.9164400000002</v>
      </c>
      <c r="C27" s="27"/>
      <c r="D27" s="27">
        <f>SUM(D28:D29)</f>
        <v>0</v>
      </c>
      <c r="E27" s="27">
        <f aca="true" t="shared" si="12" ref="E27:O27">SUM(E28:E29)</f>
        <v>0</v>
      </c>
      <c r="F27" s="27">
        <f t="shared" si="12"/>
        <v>0</v>
      </c>
      <c r="G27" s="27">
        <f t="shared" si="12"/>
        <v>0</v>
      </c>
      <c r="H27" s="27">
        <f t="shared" si="12"/>
        <v>0</v>
      </c>
      <c r="I27" s="27">
        <f t="shared" si="12"/>
        <v>0</v>
      </c>
      <c r="J27" s="27">
        <f t="shared" si="12"/>
        <v>0</v>
      </c>
      <c r="K27" s="27">
        <f t="shared" si="12"/>
        <v>0</v>
      </c>
      <c r="L27" s="27">
        <f t="shared" si="12"/>
        <v>0</v>
      </c>
      <c r="M27" s="27">
        <f t="shared" si="12"/>
        <v>1908.5133600000001</v>
      </c>
      <c r="N27" s="27">
        <f t="shared" si="12"/>
        <v>0</v>
      </c>
      <c r="O27" s="27">
        <f t="shared" si="12"/>
        <v>30.40308</v>
      </c>
      <c r="P27" s="27">
        <f aca="true" t="shared" si="13" ref="P27:AD27">SUM(P28:P29)</f>
        <v>1938.9164400000002</v>
      </c>
      <c r="Q27" s="27">
        <f t="shared" si="13"/>
        <v>0</v>
      </c>
      <c r="R27" s="27">
        <f t="shared" si="13"/>
        <v>0</v>
      </c>
      <c r="S27" s="27">
        <f t="shared" si="13"/>
        <v>0</v>
      </c>
      <c r="T27" s="27">
        <f t="shared" si="13"/>
        <v>0</v>
      </c>
      <c r="U27" s="27">
        <f t="shared" si="13"/>
        <v>0</v>
      </c>
      <c r="V27" s="27">
        <f t="shared" si="13"/>
        <v>0</v>
      </c>
      <c r="W27" s="27">
        <f t="shared" si="13"/>
        <v>0</v>
      </c>
      <c r="X27" s="27">
        <f t="shared" si="13"/>
        <v>0</v>
      </c>
      <c r="Y27" s="27">
        <f t="shared" si="13"/>
        <v>0</v>
      </c>
      <c r="Z27" s="27">
        <f t="shared" si="13"/>
        <v>0</v>
      </c>
      <c r="AA27" s="27">
        <f t="shared" si="13"/>
        <v>0</v>
      </c>
      <c r="AB27" s="27">
        <f t="shared" si="13"/>
        <v>0</v>
      </c>
      <c r="AC27" s="27">
        <f t="shared" si="13"/>
        <v>0</v>
      </c>
      <c r="AD27" s="27">
        <f t="shared" si="13"/>
        <v>0</v>
      </c>
      <c r="AE27" s="27">
        <f>SUM(AE28:AE29)</f>
        <v>0</v>
      </c>
      <c r="AF27" s="27">
        <f>SUM(AF28:AF29)</f>
        <v>0</v>
      </c>
      <c r="AG27" s="27">
        <f>SUM(AG28:AG29)</f>
        <v>0</v>
      </c>
      <c r="AH27" s="27">
        <f>SUM(AH28:AH29)</f>
        <v>0</v>
      </c>
      <c r="AI27" s="27">
        <f>SUM(AI28:AI29)</f>
        <v>0</v>
      </c>
    </row>
    <row r="28" spans="1:35" ht="12.75" customHeight="1">
      <c r="A28" s="37" t="s">
        <v>54</v>
      </c>
      <c r="B28" s="27">
        <f>P28+AC28+AD28+AE28+AF28+AG28+AH28+AI28</f>
        <v>316.680084</v>
      </c>
      <c r="C28" s="27"/>
      <c r="D28" s="29">
        <f>(-D18-D24)*Исх!$C$8</f>
        <v>0</v>
      </c>
      <c r="E28" s="29">
        <f>(-E18-E24)*Исх!$C$8</f>
        <v>0</v>
      </c>
      <c r="F28" s="29">
        <f>(-F18-F24)*Исх!$C$8</f>
        <v>0</v>
      </c>
      <c r="G28" s="29"/>
      <c r="H28" s="29"/>
      <c r="I28" s="29"/>
      <c r="J28" s="29"/>
      <c r="K28" s="29">
        <f>Инв!L5*Исх!$C$19</f>
        <v>0</v>
      </c>
      <c r="L28" s="29">
        <f>Инв!M5*Исх!$C$19</f>
        <v>0</v>
      </c>
      <c r="M28" s="29">
        <f>M22*0.15</f>
        <v>286.27700400000003</v>
      </c>
      <c r="N28" s="29">
        <f>N14</f>
        <v>0</v>
      </c>
      <c r="O28" s="29">
        <f>O13</f>
        <v>30.40308</v>
      </c>
      <c r="P28" s="27">
        <f>SUM(D28:O28)</f>
        <v>316.680084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7">
        <f>SUM(Q28:AB28)</f>
        <v>0</v>
      </c>
      <c r="AD28" s="27"/>
      <c r="AE28" s="27"/>
      <c r="AF28" s="27"/>
      <c r="AG28" s="27"/>
      <c r="AH28" s="27"/>
      <c r="AI28" s="27"/>
    </row>
    <row r="29" spans="1:35" ht="12.75">
      <c r="A29" s="43" t="s">
        <v>159</v>
      </c>
      <c r="B29" s="27">
        <f>P29+AC29+AD29+AE29+AF29+AG29+AH29+AI29</f>
        <v>1622.2363560000001</v>
      </c>
      <c r="C29" s="27"/>
      <c r="D29" s="44">
        <f>(-D18-D24)-D28</f>
        <v>0</v>
      </c>
      <c r="E29" s="44">
        <f>(-E18-E24)-E28</f>
        <v>0</v>
      </c>
      <c r="F29" s="44">
        <f>(-F18-F24)-F28</f>
        <v>0</v>
      </c>
      <c r="G29" s="44"/>
      <c r="H29" s="44"/>
      <c r="I29" s="44"/>
      <c r="J29" s="44">
        <f>Инв!K19</f>
        <v>0</v>
      </c>
      <c r="K29" s="44">
        <f>Инв!L19-'1-Ф3'!K28</f>
        <v>0</v>
      </c>
      <c r="L29" s="44">
        <f>Инв!M19-'1-Ф3'!L28</f>
        <v>0</v>
      </c>
      <c r="M29" s="44">
        <f>Инв!N19-'1-Ф3'!M28</f>
        <v>1622.2363560000001</v>
      </c>
      <c r="N29" s="44"/>
      <c r="O29" s="44"/>
      <c r="P29" s="27">
        <f>SUM(D29:O29)</f>
        <v>1622.2363560000001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27">
        <f>SUM(Q29:AB29)</f>
        <v>0</v>
      </c>
      <c r="AD29" s="27"/>
      <c r="AE29" s="27"/>
      <c r="AF29" s="27"/>
      <c r="AG29" s="27"/>
      <c r="AH29" s="27"/>
      <c r="AI29" s="27"/>
    </row>
    <row r="30" spans="1:35" s="21" customFormat="1" ht="12.75">
      <c r="A30" s="26" t="s">
        <v>6</v>
      </c>
      <c r="B30" s="27">
        <f>SUM(B31:B32)</f>
        <v>1669.5515830499999</v>
      </c>
      <c r="C30" s="27"/>
      <c r="D30" s="27">
        <f>SUM(D31:D32)</f>
        <v>0</v>
      </c>
      <c r="E30" s="27">
        <f aca="true" t="shared" si="14" ref="E30:AF30">SUM(E31:E32)</f>
        <v>0</v>
      </c>
      <c r="F30" s="27">
        <f t="shared" si="14"/>
        <v>0</v>
      </c>
      <c r="G30" s="27">
        <f t="shared" si="14"/>
        <v>0</v>
      </c>
      <c r="H30" s="27">
        <f t="shared" si="14"/>
        <v>0</v>
      </c>
      <c r="I30" s="27">
        <f>SUM(I31:I32)</f>
        <v>0</v>
      </c>
      <c r="J30" s="27">
        <f t="shared" si="14"/>
        <v>0</v>
      </c>
      <c r="K30" s="27">
        <f t="shared" si="14"/>
        <v>0</v>
      </c>
      <c r="L30" s="27">
        <f t="shared" si="14"/>
        <v>0</v>
      </c>
      <c r="M30" s="27">
        <f t="shared" si="14"/>
        <v>0</v>
      </c>
      <c r="N30" s="27">
        <f t="shared" si="14"/>
        <v>0</v>
      </c>
      <c r="O30" s="27">
        <f t="shared" si="14"/>
        <v>0</v>
      </c>
      <c r="P30" s="27">
        <f t="shared" si="14"/>
        <v>0</v>
      </c>
      <c r="Q30" s="27">
        <f t="shared" si="14"/>
        <v>0</v>
      </c>
      <c r="R30" s="27">
        <f t="shared" si="14"/>
        <v>0</v>
      </c>
      <c r="S30" s="27">
        <f t="shared" si="14"/>
        <v>0</v>
      </c>
      <c r="T30" s="27">
        <f t="shared" si="14"/>
        <v>66.782063322</v>
      </c>
      <c r="U30" s="27">
        <f t="shared" si="14"/>
        <v>66.782063322</v>
      </c>
      <c r="V30" s="27">
        <f t="shared" si="14"/>
        <v>66.782063322</v>
      </c>
      <c r="W30" s="27">
        <f t="shared" si="14"/>
        <v>66.782063322</v>
      </c>
      <c r="X30" s="27">
        <f t="shared" si="14"/>
        <v>66.782063322</v>
      </c>
      <c r="Y30" s="27">
        <f t="shared" si="14"/>
        <v>66.782063322</v>
      </c>
      <c r="Z30" s="27">
        <f t="shared" si="14"/>
        <v>66.782063322</v>
      </c>
      <c r="AA30" s="27">
        <f t="shared" si="14"/>
        <v>66.782063322</v>
      </c>
      <c r="AB30" s="27">
        <f t="shared" si="14"/>
        <v>66.782063322</v>
      </c>
      <c r="AC30" s="27">
        <f t="shared" si="14"/>
        <v>601.038569898</v>
      </c>
      <c r="AD30" s="27">
        <f t="shared" si="14"/>
        <v>801.384759864</v>
      </c>
      <c r="AE30" s="27">
        <f t="shared" si="14"/>
        <v>267.128253288</v>
      </c>
      <c r="AF30" s="27">
        <f t="shared" si="14"/>
        <v>0</v>
      </c>
      <c r="AG30" s="27">
        <f>SUM(AG31:AG32)</f>
        <v>0</v>
      </c>
      <c r="AH30" s="27">
        <f>SUM(AH31:AH32)</f>
        <v>0</v>
      </c>
      <c r="AI30" s="27">
        <f>SUM(AI31:AI32)</f>
        <v>0</v>
      </c>
    </row>
    <row r="31" spans="1:35" ht="12.75">
      <c r="A31" s="28" t="s">
        <v>30</v>
      </c>
      <c r="B31" s="27">
        <f>P31+AC31+AD31+AE31+AF31+AG31+AH31+AI31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27">
        <f>SUM(D31:O31)</f>
        <v>0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27">
        <f>SUM(Q31:AB31)</f>
        <v>0</v>
      </c>
      <c r="AD31" s="33"/>
      <c r="AE31" s="27"/>
      <c r="AF31" s="27"/>
      <c r="AG31" s="27"/>
      <c r="AH31" s="27"/>
      <c r="AI31" s="27"/>
    </row>
    <row r="32" spans="1:35" ht="13.5" customHeight="1">
      <c r="A32" s="37" t="s">
        <v>158</v>
      </c>
      <c r="B32" s="27">
        <f>P32+AC32+AD32+AE32+AF32+AG32+AH32+AI32</f>
        <v>1669.5515830499999</v>
      </c>
      <c r="C32" s="27"/>
      <c r="D32" s="33">
        <f>кр!C10</f>
        <v>0</v>
      </c>
      <c r="E32" s="33">
        <f>кр!D10</f>
        <v>0</v>
      </c>
      <c r="F32" s="33">
        <f>кр!E10</f>
        <v>0</v>
      </c>
      <c r="G32" s="33">
        <f>кр!F10</f>
        <v>0</v>
      </c>
      <c r="H32" s="33">
        <f>кр!G10</f>
        <v>0</v>
      </c>
      <c r="I32" s="33">
        <f>кр!H10</f>
        <v>0</v>
      </c>
      <c r="J32" s="33">
        <f>кр!I10</f>
        <v>0</v>
      </c>
      <c r="K32" s="33">
        <f>кр!J10</f>
        <v>0</v>
      </c>
      <c r="L32" s="33">
        <f>кр!K10</f>
        <v>0</v>
      </c>
      <c r="M32" s="33">
        <f>кр!L10</f>
        <v>0</v>
      </c>
      <c r="N32" s="33">
        <f>кр!M10</f>
        <v>0</v>
      </c>
      <c r="O32" s="33">
        <f>кр!N10</f>
        <v>0</v>
      </c>
      <c r="P32" s="27">
        <f>SUM(D32:O32)</f>
        <v>0</v>
      </c>
      <c r="Q32" s="33">
        <f>кр!P10</f>
        <v>0</v>
      </c>
      <c r="R32" s="33">
        <f>кр!Q10</f>
        <v>0</v>
      </c>
      <c r="S32" s="33">
        <f>кр!R10</f>
        <v>0</v>
      </c>
      <c r="T32" s="33">
        <f>кр!S10</f>
        <v>66.782063322</v>
      </c>
      <c r="U32" s="33">
        <f>кр!T10</f>
        <v>66.782063322</v>
      </c>
      <c r="V32" s="33">
        <f>кр!U10</f>
        <v>66.782063322</v>
      </c>
      <c r="W32" s="33">
        <f>кр!V10</f>
        <v>66.782063322</v>
      </c>
      <c r="X32" s="33">
        <f>кр!W10</f>
        <v>66.782063322</v>
      </c>
      <c r="Y32" s="33">
        <f>кр!X10</f>
        <v>66.782063322</v>
      </c>
      <c r="Z32" s="33">
        <f>кр!Y10</f>
        <v>66.782063322</v>
      </c>
      <c r="AA32" s="33">
        <f>кр!Z10</f>
        <v>66.782063322</v>
      </c>
      <c r="AB32" s="33">
        <f>кр!AA10</f>
        <v>66.782063322</v>
      </c>
      <c r="AC32" s="27">
        <f>SUM(Q32:AB32)</f>
        <v>601.038569898</v>
      </c>
      <c r="AD32" s="33">
        <f>кр!AO10</f>
        <v>801.384759864</v>
      </c>
      <c r="AE32" s="33">
        <f>кр!BB10</f>
        <v>267.128253288</v>
      </c>
      <c r="AF32" s="33">
        <f>кр!BO10</f>
        <v>0</v>
      </c>
      <c r="AG32" s="33">
        <f>кр!CB10</f>
        <v>0</v>
      </c>
      <c r="AH32" s="33">
        <f>кр!CO10</f>
        <v>0</v>
      </c>
      <c r="AI32" s="33">
        <f>кр!DB10</f>
        <v>0</v>
      </c>
    </row>
    <row r="33" spans="1:35" s="21" customFormat="1" ht="25.5">
      <c r="A33" s="38" t="s">
        <v>23</v>
      </c>
      <c r="B33" s="18">
        <f>B27-B30</f>
        <v>269.36485695000033</v>
      </c>
      <c r="C33" s="18"/>
      <c r="D33" s="18">
        <f>D27-D30</f>
        <v>0</v>
      </c>
      <c r="E33" s="18">
        <f aca="true" t="shared" si="15" ref="E33:AF33">E27-E30</f>
        <v>0</v>
      </c>
      <c r="F33" s="18">
        <f t="shared" si="15"/>
        <v>0</v>
      </c>
      <c r="G33" s="18">
        <f t="shared" si="15"/>
        <v>0</v>
      </c>
      <c r="H33" s="18">
        <f t="shared" si="15"/>
        <v>0</v>
      </c>
      <c r="I33" s="18">
        <f t="shared" si="15"/>
        <v>0</v>
      </c>
      <c r="J33" s="18">
        <f t="shared" si="15"/>
        <v>0</v>
      </c>
      <c r="K33" s="18">
        <f t="shared" si="15"/>
        <v>0</v>
      </c>
      <c r="L33" s="18">
        <f t="shared" si="15"/>
        <v>0</v>
      </c>
      <c r="M33" s="18">
        <f t="shared" si="15"/>
        <v>1908.5133600000001</v>
      </c>
      <c r="N33" s="18">
        <f t="shared" si="15"/>
        <v>0</v>
      </c>
      <c r="O33" s="18">
        <f t="shared" si="15"/>
        <v>30.40308</v>
      </c>
      <c r="P33" s="18">
        <f t="shared" si="15"/>
        <v>1938.9164400000002</v>
      </c>
      <c r="Q33" s="18">
        <f t="shared" si="15"/>
        <v>0</v>
      </c>
      <c r="R33" s="18">
        <f t="shared" si="15"/>
        <v>0</v>
      </c>
      <c r="S33" s="18">
        <f t="shared" si="15"/>
        <v>0</v>
      </c>
      <c r="T33" s="18">
        <f t="shared" si="15"/>
        <v>-66.782063322</v>
      </c>
      <c r="U33" s="18">
        <f t="shared" si="15"/>
        <v>-66.782063322</v>
      </c>
      <c r="V33" s="18">
        <f t="shared" si="15"/>
        <v>-66.782063322</v>
      </c>
      <c r="W33" s="18">
        <f t="shared" si="15"/>
        <v>-66.782063322</v>
      </c>
      <c r="X33" s="18">
        <f t="shared" si="15"/>
        <v>-66.782063322</v>
      </c>
      <c r="Y33" s="18">
        <f t="shared" si="15"/>
        <v>-66.782063322</v>
      </c>
      <c r="Z33" s="18">
        <f t="shared" si="15"/>
        <v>-66.782063322</v>
      </c>
      <c r="AA33" s="18">
        <f t="shared" si="15"/>
        <v>-66.782063322</v>
      </c>
      <c r="AB33" s="18">
        <f t="shared" si="15"/>
        <v>-66.782063322</v>
      </c>
      <c r="AC33" s="18">
        <f t="shared" si="15"/>
        <v>-601.038569898</v>
      </c>
      <c r="AD33" s="18">
        <f t="shared" si="15"/>
        <v>-801.384759864</v>
      </c>
      <c r="AE33" s="18">
        <f t="shared" si="15"/>
        <v>-267.128253288</v>
      </c>
      <c r="AF33" s="18">
        <f t="shared" si="15"/>
        <v>0</v>
      </c>
      <c r="AG33" s="18">
        <f>AG27-AG30</f>
        <v>0</v>
      </c>
      <c r="AH33" s="18">
        <f>AH27-AH30</f>
        <v>0</v>
      </c>
      <c r="AI33" s="18">
        <f>AI27-AI30</f>
        <v>0</v>
      </c>
    </row>
    <row r="34" spans="1:35" s="47" customFormat="1" ht="12.75">
      <c r="A34" s="45" t="s">
        <v>24</v>
      </c>
      <c r="B34" s="46">
        <f>B18+B24+B33</f>
        <v>21570.932591235363</v>
      </c>
      <c r="C34" s="27"/>
      <c r="D34" s="46">
        <f>D18+D24+D33</f>
        <v>0</v>
      </c>
      <c r="E34" s="46">
        <f aca="true" t="shared" si="16" ref="E34:AF34">E18+E24+E33</f>
        <v>0</v>
      </c>
      <c r="F34" s="46">
        <f t="shared" si="16"/>
        <v>0</v>
      </c>
      <c r="G34" s="46">
        <f t="shared" si="16"/>
        <v>0</v>
      </c>
      <c r="H34" s="46">
        <f t="shared" si="16"/>
        <v>0</v>
      </c>
      <c r="I34" s="46">
        <f t="shared" si="16"/>
        <v>0</v>
      </c>
      <c r="J34" s="46">
        <f t="shared" si="16"/>
        <v>0</v>
      </c>
      <c r="K34" s="46">
        <f t="shared" si="16"/>
        <v>0</v>
      </c>
      <c r="L34" s="46">
        <f t="shared" si="16"/>
        <v>0</v>
      </c>
      <c r="M34" s="46">
        <f t="shared" si="16"/>
        <v>0</v>
      </c>
      <c r="N34" s="46">
        <f t="shared" si="16"/>
        <v>0</v>
      </c>
      <c r="O34" s="46">
        <f t="shared" si="16"/>
        <v>0</v>
      </c>
      <c r="P34" s="46">
        <f t="shared" si="16"/>
        <v>0</v>
      </c>
      <c r="Q34" s="46">
        <f t="shared" si="16"/>
        <v>0.8176449999999704</v>
      </c>
      <c r="R34" s="46">
        <f t="shared" si="16"/>
        <v>0.8176449999999704</v>
      </c>
      <c r="S34" s="46">
        <f t="shared" si="16"/>
        <v>38.517337</v>
      </c>
      <c r="T34" s="46">
        <f t="shared" si="16"/>
        <v>-38.003777223124985</v>
      </c>
      <c r="U34" s="46">
        <f t="shared" si="16"/>
        <v>0.08547681291997833</v>
      </c>
      <c r="V34" s="46">
        <f t="shared" si="16"/>
        <v>0.47503884896497084</v>
      </c>
      <c r="W34" s="46">
        <f t="shared" si="16"/>
        <v>38.56429288500999</v>
      </c>
      <c r="X34" s="46">
        <f t="shared" si="16"/>
        <v>38.95385492105498</v>
      </c>
      <c r="Y34" s="46">
        <f t="shared" si="16"/>
        <v>77.04310895709995</v>
      </c>
      <c r="Z34" s="46">
        <f t="shared" si="16"/>
        <v>77.43267099314494</v>
      </c>
      <c r="AA34" s="46">
        <f t="shared" si="16"/>
        <v>115.52192502919002</v>
      </c>
      <c r="AB34" s="46">
        <f t="shared" si="16"/>
        <v>115.91148706523501</v>
      </c>
      <c r="AC34" s="46">
        <f>AC18+AC24+AC33</f>
        <v>466.13670528949467</v>
      </c>
      <c r="AD34" s="46">
        <f t="shared" si="16"/>
        <v>1421.3236835943294</v>
      </c>
      <c r="AE34" s="46">
        <f t="shared" si="16"/>
        <v>2453.165690351549</v>
      </c>
      <c r="AF34" s="46">
        <f t="shared" si="16"/>
        <v>3628.982172</v>
      </c>
      <c r="AG34" s="46">
        <f>AG18+AG24+AG33</f>
        <v>4533.77478</v>
      </c>
      <c r="AH34" s="46">
        <f>AH18+AH24+AH33</f>
        <v>4533.77478</v>
      </c>
      <c r="AI34" s="46">
        <f>AI18+AI24+AI33</f>
        <v>4533.77478</v>
      </c>
    </row>
    <row r="35" spans="1:46" s="21" customFormat="1" ht="12.75">
      <c r="A35" s="48" t="s">
        <v>53</v>
      </c>
      <c r="B35" s="27">
        <f>B7+B18+B24+B33</f>
        <v>21570.932591235363</v>
      </c>
      <c r="C35" s="49"/>
      <c r="D35" s="50">
        <f aca="true" t="shared" si="17" ref="D35:O35">D7+D18+D24+D33</f>
        <v>0</v>
      </c>
      <c r="E35" s="50">
        <f t="shared" si="17"/>
        <v>0</v>
      </c>
      <c r="F35" s="50">
        <f t="shared" si="17"/>
        <v>0</v>
      </c>
      <c r="G35" s="50">
        <f t="shared" si="17"/>
        <v>0</v>
      </c>
      <c r="H35" s="50">
        <f t="shared" si="17"/>
        <v>0</v>
      </c>
      <c r="I35" s="50">
        <f t="shared" si="17"/>
        <v>0</v>
      </c>
      <c r="J35" s="50">
        <f t="shared" si="17"/>
        <v>0</v>
      </c>
      <c r="K35" s="50">
        <f t="shared" si="17"/>
        <v>0</v>
      </c>
      <c r="L35" s="50">
        <f t="shared" si="17"/>
        <v>0</v>
      </c>
      <c r="M35" s="50">
        <f t="shared" si="17"/>
        <v>0</v>
      </c>
      <c r="N35" s="50">
        <f t="shared" si="17"/>
        <v>0</v>
      </c>
      <c r="O35" s="50">
        <f t="shared" si="17"/>
        <v>0</v>
      </c>
      <c r="P35" s="51">
        <f>O35</f>
        <v>0</v>
      </c>
      <c r="Q35" s="50">
        <f>P35+Q18+Q24+Q33</f>
        <v>0.8176449999999704</v>
      </c>
      <c r="R35" s="50">
        <f aca="true" t="shared" si="18" ref="R35:AB35">Q35+R18+R24+R33</f>
        <v>1.6352899999999408</v>
      </c>
      <c r="S35" s="50">
        <f t="shared" si="18"/>
        <v>40.15262699999994</v>
      </c>
      <c r="T35" s="50">
        <f t="shared" si="18"/>
        <v>2.148849776874954</v>
      </c>
      <c r="U35" s="50">
        <f t="shared" si="18"/>
        <v>2.2343265897949323</v>
      </c>
      <c r="V35" s="50">
        <f t="shared" si="18"/>
        <v>2.709365438759903</v>
      </c>
      <c r="W35" s="50">
        <f t="shared" si="18"/>
        <v>41.273658323769894</v>
      </c>
      <c r="X35" s="50">
        <f t="shared" si="18"/>
        <v>80.22751324482488</v>
      </c>
      <c r="Y35" s="50">
        <f t="shared" si="18"/>
        <v>157.27062220192482</v>
      </c>
      <c r="Z35" s="50">
        <f t="shared" si="18"/>
        <v>234.70329319506976</v>
      </c>
      <c r="AA35" s="50">
        <f t="shared" si="18"/>
        <v>350.2252182242598</v>
      </c>
      <c r="AB35" s="50">
        <f t="shared" si="18"/>
        <v>466.1367052894948</v>
      </c>
      <c r="AC35" s="50">
        <f>AB35</f>
        <v>466.1367052894948</v>
      </c>
      <c r="AD35" s="50">
        <f aca="true" t="shared" si="19" ref="AD35:AI35">AC35+AD18+AD24+AD33</f>
        <v>1887.4603888838242</v>
      </c>
      <c r="AE35" s="50">
        <f t="shared" si="19"/>
        <v>4340.626079235373</v>
      </c>
      <c r="AF35" s="50">
        <f t="shared" si="19"/>
        <v>7969.608251235373</v>
      </c>
      <c r="AG35" s="50">
        <f t="shared" si="19"/>
        <v>12503.383031235373</v>
      </c>
      <c r="AH35" s="50">
        <f t="shared" si="19"/>
        <v>17037.157811235375</v>
      </c>
      <c r="AI35" s="50">
        <f t="shared" si="19"/>
        <v>21570.932591235374</v>
      </c>
      <c r="AJ35" s="7">
        <v>2013</v>
      </c>
      <c r="AK35" s="7">
        <f aca="true" t="shared" si="20" ref="AK35:AN36">AJ35+1</f>
        <v>2014</v>
      </c>
      <c r="AL35" s="7">
        <f t="shared" si="20"/>
        <v>2015</v>
      </c>
      <c r="AM35" s="7">
        <f t="shared" si="20"/>
        <v>2016</v>
      </c>
      <c r="AN35" s="7">
        <f t="shared" si="20"/>
        <v>2017</v>
      </c>
      <c r="AO35" s="7">
        <f aca="true" t="shared" si="21" ref="AO35:AT36">AN35+1</f>
        <v>2018</v>
      </c>
      <c r="AP35" s="7">
        <f t="shared" si="21"/>
        <v>2019</v>
      </c>
      <c r="AQ35" s="7">
        <f t="shared" si="21"/>
        <v>2020</v>
      </c>
      <c r="AR35" s="7">
        <f t="shared" si="21"/>
        <v>2021</v>
      </c>
      <c r="AS35" s="7">
        <f t="shared" si="21"/>
        <v>2022</v>
      </c>
      <c r="AT35" s="7">
        <f t="shared" si="21"/>
        <v>2023</v>
      </c>
    </row>
    <row r="36" spans="1:46" ht="12.75">
      <c r="A36" s="52"/>
      <c r="B36" s="53">
        <f>AI35</f>
        <v>21570.932591235374</v>
      </c>
      <c r="C36" s="54"/>
      <c r="D36" s="55">
        <f aca="true" t="shared" si="22" ref="D36:AB36">D7+D34-D35</f>
        <v>0</v>
      </c>
      <c r="E36" s="55">
        <f t="shared" si="22"/>
        <v>0</v>
      </c>
      <c r="F36" s="55">
        <f t="shared" si="22"/>
        <v>0</v>
      </c>
      <c r="G36" s="55">
        <f t="shared" si="22"/>
        <v>0</v>
      </c>
      <c r="H36" s="55">
        <f t="shared" si="22"/>
        <v>0</v>
      </c>
      <c r="I36" s="55">
        <f t="shared" si="22"/>
        <v>0</v>
      </c>
      <c r="J36" s="55">
        <f t="shared" si="22"/>
        <v>0</v>
      </c>
      <c r="K36" s="55">
        <f t="shared" si="22"/>
        <v>0</v>
      </c>
      <c r="L36" s="55">
        <f t="shared" si="22"/>
        <v>0</v>
      </c>
      <c r="M36" s="55">
        <f t="shared" si="22"/>
        <v>0</v>
      </c>
      <c r="N36" s="55">
        <f t="shared" si="22"/>
        <v>0</v>
      </c>
      <c r="O36" s="55">
        <f t="shared" si="22"/>
        <v>0</v>
      </c>
      <c r="P36" s="55">
        <f t="shared" si="22"/>
        <v>0</v>
      </c>
      <c r="Q36" s="55">
        <f t="shared" si="22"/>
        <v>0</v>
      </c>
      <c r="R36" s="55">
        <f t="shared" si="22"/>
        <v>0</v>
      </c>
      <c r="S36" s="55">
        <f t="shared" si="22"/>
        <v>0</v>
      </c>
      <c r="T36" s="55">
        <f t="shared" si="22"/>
        <v>0</v>
      </c>
      <c r="U36" s="55">
        <f t="shared" si="22"/>
        <v>0</v>
      </c>
      <c r="V36" s="55">
        <f t="shared" si="22"/>
        <v>0</v>
      </c>
      <c r="W36" s="55">
        <f t="shared" si="22"/>
        <v>0</v>
      </c>
      <c r="X36" s="55">
        <f t="shared" si="22"/>
        <v>0</v>
      </c>
      <c r="Y36" s="55">
        <f t="shared" si="22"/>
        <v>0</v>
      </c>
      <c r="Z36" s="55">
        <f t="shared" si="22"/>
        <v>0</v>
      </c>
      <c r="AA36" s="55">
        <f t="shared" si="22"/>
        <v>0</v>
      </c>
      <c r="AB36" s="55">
        <f t="shared" si="22"/>
        <v>0</v>
      </c>
      <c r="AC36" s="55"/>
      <c r="AD36" s="55">
        <f aca="true" t="shared" si="23" ref="AD36:AI36">AD7+AD34-AD35</f>
        <v>0</v>
      </c>
      <c r="AE36" s="55">
        <f t="shared" si="23"/>
        <v>0</v>
      </c>
      <c r="AF36" s="55">
        <f t="shared" si="23"/>
        <v>0</v>
      </c>
      <c r="AG36" s="55">
        <f t="shared" si="23"/>
        <v>0</v>
      </c>
      <c r="AH36" s="55">
        <f t="shared" si="23"/>
        <v>0</v>
      </c>
      <c r="AI36" s="55">
        <f t="shared" si="23"/>
        <v>0</v>
      </c>
      <c r="AJ36" s="62">
        <v>0</v>
      </c>
      <c r="AK36" s="62">
        <f t="shared" si="20"/>
        <v>1</v>
      </c>
      <c r="AL36" s="62">
        <f t="shared" si="20"/>
        <v>2</v>
      </c>
      <c r="AM36" s="62">
        <f t="shared" si="20"/>
        <v>3</v>
      </c>
      <c r="AN36" s="62">
        <f t="shared" si="20"/>
        <v>4</v>
      </c>
      <c r="AO36" s="62">
        <f t="shared" si="21"/>
        <v>5</v>
      </c>
      <c r="AP36" s="62">
        <f t="shared" si="21"/>
        <v>6</v>
      </c>
      <c r="AQ36" s="62">
        <f t="shared" si="21"/>
        <v>7</v>
      </c>
      <c r="AR36" s="62">
        <f t="shared" si="21"/>
        <v>8</v>
      </c>
      <c r="AS36" s="62">
        <f t="shared" si="21"/>
        <v>9</v>
      </c>
      <c r="AT36" s="62">
        <f t="shared" si="21"/>
        <v>10</v>
      </c>
    </row>
    <row r="37" spans="1:46" ht="12.75">
      <c r="A37" s="52" t="s">
        <v>59</v>
      </c>
      <c r="B37" s="63">
        <f>B35-B36</f>
        <v>0</v>
      </c>
      <c r="C37" s="54"/>
      <c r="Q37" s="57"/>
      <c r="AJ37" s="57">
        <f>P34</f>
        <v>0</v>
      </c>
      <c r="AK37" s="57">
        <f aca="true" t="shared" si="24" ref="AK37:AP37">AC34</f>
        <v>466.13670528949467</v>
      </c>
      <c r="AL37" s="57">
        <f t="shared" si="24"/>
        <v>1421.3236835943294</v>
      </c>
      <c r="AM37" s="57">
        <f t="shared" si="24"/>
        <v>2453.165690351549</v>
      </c>
      <c r="AN37" s="57">
        <f t="shared" si="24"/>
        <v>3628.982172</v>
      </c>
      <c r="AO37" s="57">
        <f t="shared" si="24"/>
        <v>4533.77478</v>
      </c>
      <c r="AP37" s="57">
        <f t="shared" si="24"/>
        <v>4533.77478</v>
      </c>
      <c r="AQ37" s="57">
        <f>AP37+AH32+AH15</f>
        <v>4533.77478</v>
      </c>
      <c r="AR37" s="57">
        <f>AQ37</f>
        <v>4533.77478</v>
      </c>
      <c r="AS37" s="57">
        <f>AR37</f>
        <v>4533.77478</v>
      </c>
      <c r="AT37" s="57">
        <f>AS37</f>
        <v>4533.77478</v>
      </c>
    </row>
    <row r="38" spans="1:46" ht="12.75">
      <c r="A38" s="52" t="s">
        <v>60</v>
      </c>
      <c r="B38" s="54"/>
      <c r="C38" s="54"/>
      <c r="AJ38" s="57">
        <f>AJ37+P32+P31+P15</f>
        <v>0</v>
      </c>
      <c r="AK38" s="57">
        <f aca="true" t="shared" si="25" ref="AK38:AP38">AK37+AC32+AC31+AC15</f>
        <v>1140.8024999999998</v>
      </c>
      <c r="AL38" s="57">
        <f t="shared" si="25"/>
        <v>2271.7932599999995</v>
      </c>
      <c r="AM38" s="57">
        <f t="shared" si="25"/>
        <v>2724.1895639999993</v>
      </c>
      <c r="AN38" s="57">
        <f t="shared" si="25"/>
        <v>3628.982172</v>
      </c>
      <c r="AO38" s="57">
        <f t="shared" si="25"/>
        <v>4533.77478</v>
      </c>
      <c r="AP38" s="57">
        <f t="shared" si="25"/>
        <v>4533.77478</v>
      </c>
      <c r="AQ38" s="57">
        <f>AQ37+AJ32+AJ31+AJ15</f>
        <v>4533.77478</v>
      </c>
      <c r="AR38" s="57">
        <f>AR37+AK32+AK31+AK15</f>
        <v>4533.77478</v>
      </c>
      <c r="AS38" s="57">
        <f>AS37+AL32+AL31+AL15</f>
        <v>4533.77478</v>
      </c>
      <c r="AT38" s="57">
        <f>AT37+AM32+AM31+AM15</f>
        <v>4533.77478</v>
      </c>
    </row>
    <row r="39" spans="1:46" ht="12.75">
      <c r="A39" s="52" t="s">
        <v>61</v>
      </c>
      <c r="B39" s="54"/>
      <c r="C39" s="54"/>
      <c r="V39" s="57"/>
      <c r="AJ39" s="57">
        <f>P27</f>
        <v>1938.9164400000002</v>
      </c>
      <c r="AK39" s="57">
        <f>AC27</f>
        <v>0</v>
      </c>
      <c r="AL39" s="57"/>
      <c r="AM39" s="57"/>
      <c r="AN39" s="57"/>
      <c r="AO39" s="57"/>
      <c r="AP39" s="57"/>
      <c r="AQ39" s="57"/>
      <c r="AR39" s="57"/>
      <c r="AS39" s="57"/>
      <c r="AT39" s="57"/>
    </row>
    <row r="40" spans="1:46" ht="12.75">
      <c r="A40" s="64" t="s">
        <v>62</v>
      </c>
      <c r="B40" s="54"/>
      <c r="C40" s="54"/>
      <c r="AJ40" s="65">
        <f aca="true" t="shared" si="26" ref="AJ40:AP40">AJ38-AJ39</f>
        <v>-1938.9164400000002</v>
      </c>
      <c r="AK40" s="65">
        <f t="shared" si="26"/>
        <v>1140.8024999999998</v>
      </c>
      <c r="AL40" s="65">
        <f t="shared" si="26"/>
        <v>2271.7932599999995</v>
      </c>
      <c r="AM40" s="65">
        <f t="shared" si="26"/>
        <v>2724.1895639999993</v>
      </c>
      <c r="AN40" s="65">
        <f t="shared" si="26"/>
        <v>3628.982172</v>
      </c>
      <c r="AO40" s="65">
        <f t="shared" si="26"/>
        <v>4533.77478</v>
      </c>
      <c r="AP40" s="65">
        <f t="shared" si="26"/>
        <v>4533.77478</v>
      </c>
      <c r="AQ40" s="65">
        <f>AQ38-AQ39</f>
        <v>4533.77478</v>
      </c>
      <c r="AR40" s="65">
        <f>AR38-AR39</f>
        <v>4533.77478</v>
      </c>
      <c r="AS40" s="65">
        <f>AS38-AS39</f>
        <v>4533.77478</v>
      </c>
      <c r="AT40" s="65">
        <f>AT38-AT39</f>
        <v>4533.77478</v>
      </c>
    </row>
    <row r="41" spans="1:46" ht="12.75">
      <c r="A41" s="66" t="s">
        <v>63</v>
      </c>
      <c r="B41" s="54"/>
      <c r="C41" s="54"/>
      <c r="AJ41" s="67">
        <f>AJ40/(1+Исх!$C$7)^'1-Ф3'!AJ36</f>
        <v>-1938.9164400000002</v>
      </c>
      <c r="AK41" s="67">
        <f>AK40/(1+Исх!$C$7)^'1-Ф3'!AK36</f>
        <v>1066.1705607476633</v>
      </c>
      <c r="AL41" s="67">
        <f>AL40/(1+Исх!$C$7)^'1-Ф3'!AL36</f>
        <v>1984.272215914053</v>
      </c>
      <c r="AM41" s="67">
        <f>AM40/(1+Исх!$C$7)^'1-Ф3'!AM36</f>
        <v>2223.750157341415</v>
      </c>
      <c r="AN41" s="67">
        <f>AN40/(1+Исх!$C$7)^'1-Ф3'!AN36</f>
        <v>2768.533123624629</v>
      </c>
      <c r="AO41" s="67">
        <f>AO40/(1+Исх!$C$7)^'1-Ф3'!AO36</f>
        <v>3232.5187590316086</v>
      </c>
      <c r="AP41" s="67">
        <f>AP40/(1+Исх!$C$7)^'1-Ф3'!AP36</f>
        <v>3021.04556918842</v>
      </c>
      <c r="AQ41" s="67">
        <f>AQ40/(1+Исх!$C$7)^'1-Ф3'!AQ36</f>
        <v>2823.4070740078687</v>
      </c>
      <c r="AR41" s="67">
        <f>AR40/(1+Исх!$C$7)^'1-Ф3'!AR36</f>
        <v>2638.698200007354</v>
      </c>
      <c r="AS41" s="67">
        <f>AS40/(1+Исх!$C$7)^'1-Ф3'!AS36</f>
        <v>2466.073084119022</v>
      </c>
      <c r="AT41" s="67">
        <f>AT40/(1+Исх!$C$7)^'1-Ф3'!AT36</f>
        <v>2304.7412001112357</v>
      </c>
    </row>
    <row r="42" spans="1:46" ht="12.75">
      <c r="A42" s="64" t="s">
        <v>64</v>
      </c>
      <c r="B42" s="54"/>
      <c r="C42" s="54"/>
      <c r="AJ42" s="65">
        <f>AJ40</f>
        <v>-1938.9164400000002</v>
      </c>
      <c r="AK42" s="65">
        <f aca="true" t="shared" si="27" ref="AK42:AN43">AJ42+AK40</f>
        <v>-798.1139400000004</v>
      </c>
      <c r="AL42" s="65">
        <f t="shared" si="27"/>
        <v>1473.679319999999</v>
      </c>
      <c r="AM42" s="65">
        <f t="shared" si="27"/>
        <v>4197.868883999999</v>
      </c>
      <c r="AN42" s="65">
        <f t="shared" si="27"/>
        <v>7826.851055999999</v>
      </c>
      <c r="AO42" s="65">
        <f aca="true" t="shared" si="28" ref="AO42:AT43">AN42+AO40</f>
        <v>12360.625836</v>
      </c>
      <c r="AP42" s="65">
        <f t="shared" si="28"/>
        <v>16894.400616</v>
      </c>
      <c r="AQ42" s="65">
        <f t="shared" si="28"/>
        <v>21428.175396</v>
      </c>
      <c r="AR42" s="65">
        <f t="shared" si="28"/>
        <v>25961.950176</v>
      </c>
      <c r="AS42" s="65">
        <f t="shared" si="28"/>
        <v>30495.724956</v>
      </c>
      <c r="AT42" s="65">
        <f t="shared" si="28"/>
        <v>35029.499736</v>
      </c>
    </row>
    <row r="43" spans="1:46" ht="12.75">
      <c r="A43" s="66" t="s">
        <v>65</v>
      </c>
      <c r="B43" s="54"/>
      <c r="C43" s="54"/>
      <c r="AJ43" s="67">
        <f>AJ41</f>
        <v>-1938.9164400000002</v>
      </c>
      <c r="AK43" s="67">
        <f t="shared" si="27"/>
        <v>-872.7458792523369</v>
      </c>
      <c r="AL43" s="67">
        <f t="shared" si="27"/>
        <v>1111.5263366617162</v>
      </c>
      <c r="AM43" s="67">
        <f t="shared" si="27"/>
        <v>3335.276494003131</v>
      </c>
      <c r="AN43" s="67">
        <f t="shared" si="27"/>
        <v>6103.8096176277595</v>
      </c>
      <c r="AO43" s="67">
        <f t="shared" si="28"/>
        <v>9336.328376659369</v>
      </c>
      <c r="AP43" s="67">
        <f t="shared" si="28"/>
        <v>12357.373945847788</v>
      </c>
      <c r="AQ43" s="67">
        <f t="shared" si="28"/>
        <v>15180.781019855658</v>
      </c>
      <c r="AR43" s="67">
        <f t="shared" si="28"/>
        <v>17819.479219863013</v>
      </c>
      <c r="AS43" s="67">
        <f t="shared" si="28"/>
        <v>20285.552303982036</v>
      </c>
      <c r="AT43" s="67">
        <f t="shared" si="28"/>
        <v>22590.29350409327</v>
      </c>
    </row>
    <row r="44" spans="1:46" ht="12.75">
      <c r="A44" s="52" t="s">
        <v>66</v>
      </c>
      <c r="B44" s="54"/>
      <c r="C44" s="54"/>
      <c r="AJ44" s="57">
        <f>NPV(Исх!$C$7,'1-Ф3'!$AJ38:AJ38)</f>
        <v>0</v>
      </c>
      <c r="AK44" s="57">
        <f>NPV(Исх!$C$7,'1-Ф3'!$AJ38:AK38)</f>
        <v>996.4210848109002</v>
      </c>
      <c r="AL44" s="57">
        <f>NPV(Исх!$C$7,'1-Ф3'!$AJ38:AL38)</f>
        <v>2850.881099683847</v>
      </c>
      <c r="AM44" s="57">
        <f>NPV(Исх!$C$7,'1-Ф3'!$AJ38:AM38)</f>
        <v>4929.152274769281</v>
      </c>
      <c r="AN44" s="57">
        <f>NPV(Исх!$C$7,'1-Ф3'!$AJ38:AN38)</f>
        <v>7516.5664089979055</v>
      </c>
      <c r="AO44" s="57">
        <f>NPV(Исх!$C$7,'1-Ф3'!$AJ38:AO38)</f>
        <v>10537.611978186324</v>
      </c>
      <c r="AP44" s="57">
        <f>NPV(Исх!$C$7,'1-Ф3'!$AJ38:AP38)</f>
        <v>13361.019052194193</v>
      </c>
      <c r="AQ44" s="57">
        <f>NPV(Исх!$C$7,'1-Ф3'!$AJ38:AQ38)</f>
        <v>15999.717252201546</v>
      </c>
      <c r="AR44" s="57">
        <f>NPV(Исх!$C$7,'1-Ф3'!$AJ38:AR38)</f>
        <v>18465.79033632057</v>
      </c>
      <c r="AS44" s="57">
        <f>NPV(Исх!$C$7,'1-Ф3'!$AJ38:AS38)</f>
        <v>20770.5315364318</v>
      </c>
      <c r="AT44" s="57">
        <f>NPV(Исх!$C$7,'1-Ф3'!$AJ38:AT38)</f>
        <v>22924.495274853518</v>
      </c>
    </row>
    <row r="45" spans="1:46" ht="12.75">
      <c r="A45" s="52" t="s">
        <v>67</v>
      </c>
      <c r="B45" s="54"/>
      <c r="C45" s="54"/>
      <c r="AJ45" s="57">
        <f>NPV(Исх!$C$7,'1-Ф3'!$AJ39:AJ39)</f>
        <v>1812.0714392523366</v>
      </c>
      <c r="AK45" s="57">
        <f>NPV(Исх!$C$7,'1-Ф3'!$AJ39:AK39)</f>
        <v>1812.0714392523366</v>
      </c>
      <c r="AL45" s="57">
        <f>NPV(Исх!$C$7,'1-Ф3'!$AJ39:AL39)</f>
        <v>1812.0714392523366</v>
      </c>
      <c r="AM45" s="57">
        <f>NPV(Исх!$C$7,'1-Ф3'!$AJ39:AM39)</f>
        <v>1812.0714392523366</v>
      </c>
      <c r="AN45" s="57">
        <f>NPV(Исх!$C$7,'1-Ф3'!$AJ39:AN39)</f>
        <v>1812.0714392523366</v>
      </c>
      <c r="AO45" s="57">
        <f>NPV(Исх!$C$7,'1-Ф3'!$AJ39:AO39)</f>
        <v>1812.0714392523366</v>
      </c>
      <c r="AP45" s="57">
        <f>NPV(Исх!$C$7,'1-Ф3'!$AJ39:AP39)</f>
        <v>1812.0714392523366</v>
      </c>
      <c r="AQ45" s="57">
        <f>NPV(Исх!$C$7,'1-Ф3'!$AJ39:AQ39)</f>
        <v>1812.0714392523366</v>
      </c>
      <c r="AR45" s="57">
        <f>NPV(Исх!$C$7,'1-Ф3'!$AJ39:AR39)</f>
        <v>1812.0714392523366</v>
      </c>
      <c r="AS45" s="57">
        <f>NPV(Исх!$C$7,'1-Ф3'!$AJ39:AS39)</f>
        <v>1812.0714392523366</v>
      </c>
      <c r="AT45" s="57">
        <f>NPV(Исх!$C$7,'1-Ф3'!$AJ39:AT39)</f>
        <v>1812.0714392523366</v>
      </c>
    </row>
    <row r="46" spans="1:46" ht="12.75">
      <c r="A46" s="52" t="s">
        <v>68</v>
      </c>
      <c r="B46" s="54"/>
      <c r="C46" s="54"/>
      <c r="AJ46" s="57">
        <f aca="true" t="shared" si="29" ref="AJ46:AP46">AJ44-AJ45</f>
        <v>-1812.0714392523366</v>
      </c>
      <c r="AK46" s="57">
        <f t="shared" si="29"/>
        <v>-815.6503544414364</v>
      </c>
      <c r="AL46" s="57">
        <f t="shared" si="29"/>
        <v>1038.8096604315103</v>
      </c>
      <c r="AM46" s="57">
        <f t="shared" si="29"/>
        <v>3117.080835516944</v>
      </c>
      <c r="AN46" s="57">
        <f t="shared" si="29"/>
        <v>5704.494969745569</v>
      </c>
      <c r="AO46" s="57">
        <f t="shared" si="29"/>
        <v>8725.540538933987</v>
      </c>
      <c r="AP46" s="57">
        <f t="shared" si="29"/>
        <v>11548.947612941856</v>
      </c>
      <c r="AQ46" s="57">
        <f>AQ44-AQ45</f>
        <v>14187.64581294921</v>
      </c>
      <c r="AR46" s="57">
        <f>AR44-AR45</f>
        <v>16653.718897068233</v>
      </c>
      <c r="AS46" s="57">
        <f>AS44-AS45</f>
        <v>18958.460097179464</v>
      </c>
      <c r="AT46" s="57">
        <f>AT44-AT45</f>
        <v>21112.42383560118</v>
      </c>
    </row>
    <row r="47" spans="1:46" ht="12.75">
      <c r="A47" s="52" t="s">
        <v>69</v>
      </c>
      <c r="B47" s="54"/>
      <c r="C47" s="54"/>
      <c r="AJ47" s="68">
        <f aca="true" t="shared" si="30" ref="AJ47:AP47">AJ44/AJ45</f>
        <v>0</v>
      </c>
      <c r="AK47" s="68">
        <f t="shared" si="30"/>
        <v>0.5498795815809696</v>
      </c>
      <c r="AL47" s="68">
        <f t="shared" si="30"/>
        <v>1.5732719129771864</v>
      </c>
      <c r="AM47" s="68">
        <f t="shared" si="30"/>
        <v>2.7201754676973753</v>
      </c>
      <c r="AN47" s="68">
        <f t="shared" si="30"/>
        <v>4.148051917919556</v>
      </c>
      <c r="AO47" s="68">
        <f t="shared" si="30"/>
        <v>5.815229879973252</v>
      </c>
      <c r="AP47" s="68">
        <f t="shared" si="30"/>
        <v>7.373340124883249</v>
      </c>
      <c r="AQ47" s="68">
        <f>AQ44/AQ45</f>
        <v>8.829517923864554</v>
      </c>
      <c r="AR47" s="68">
        <f>AR44/AR45</f>
        <v>10.190431754688206</v>
      </c>
      <c r="AS47" s="68">
        <f>AS44/AS45</f>
        <v>11.462313839570118</v>
      </c>
      <c r="AT47" s="68">
        <f>AT44/AT45</f>
        <v>12.650988685254152</v>
      </c>
    </row>
    <row r="48" spans="1:46" ht="12.75">
      <c r="A48" s="52" t="s">
        <v>70</v>
      </c>
      <c r="B48" s="54"/>
      <c r="C48" s="54"/>
      <c r="AG48" s="69" t="str">
        <f>IF(ISERROR(IRR($AJ40:AJ$40))," ",IF(IRR($AJ40:AJ$40)&lt;0," ",IRR($AJ40:AJ$40)))</f>
        <v> </v>
      </c>
      <c r="AH48" s="69"/>
      <c r="AI48" s="69"/>
      <c r="AJ48" s="69" t="str">
        <f>IF(ISERROR(IRR($AJ40:AJ$40))," ",IF(IRR($AJ40:AJ$40)&lt;0," ",IRR($AJ40:AJ$40)))</f>
        <v> </v>
      </c>
      <c r="AK48" s="69" t="str">
        <f>IF(ISERROR(IRR($AJ40:AK$40))," ",IF(IRR($AJ40:AK$40)&lt;0," ",IRR($AJ40:AK$40)))</f>
        <v> </v>
      </c>
      <c r="AL48" s="69">
        <f>IF(ISERROR(IRR($AJ40:AL$40))," ",IF(IRR($AJ40:AL$40)&lt;0," ",IRR($AJ40:AL$40)))</f>
        <v>0.415892772087463</v>
      </c>
      <c r="AM48" s="69">
        <f>IF(ISERROR(IRR($AJ40:AM$40))," ",IF(IRR($AJ40:AM$40)&lt;0," ",IRR($AJ40:AM$40)))</f>
        <v>0.7326342448015595</v>
      </c>
      <c r="AN48" s="69">
        <f>IF(ISERROR(IRR($AJ40:AN$40))," ",IF(IRR($AJ40:AN$40)&lt;0," ",IRR($AJ40:AN$40)))</f>
        <v>0.8849144159410336</v>
      </c>
      <c r="AO48" s="69">
        <f>IF(ISERROR(IRR($AJ40:AO$40))," ",IF(IRR($AJ40:AO$40)&lt;0," ",IRR($AJ40:AO$40)))</f>
        <v>0.9595475460829559</v>
      </c>
      <c r="AP48" s="69">
        <f>IF(ISERROR(IRR($AJ40:AP$40))," ",IF(IRR($AJ40:AP$40)&lt;0," ",IRR($AJ40:AP$40)))</f>
        <v>0.9913933487380158</v>
      </c>
      <c r="AQ48" s="69">
        <f>IF(ISERROR(IRR($AJ40:AQ$40))," ",IF(IRR($AJ40:AQ$40)&lt;0," ",IRR($AJ40:AQ$40)))</f>
        <v>1.0059028863721515</v>
      </c>
      <c r="AR48" s="69">
        <f>IF(ISERROR(IRR($AJ40:AR$40))," ",IF(IRR($AJ40:AR$40)&lt;0," ",IRR($AJ40:AR$40)))</f>
        <v>1.0127539972700355</v>
      </c>
      <c r="AS48" s="69">
        <f>IF(ISERROR(IRR($AJ40:AS$40))," ",IF(IRR($AJ40:AS$40)&lt;0," ",IRR($AJ40:AS$40)))</f>
        <v>1.0160556146883701</v>
      </c>
      <c r="AT48" s="69">
        <f>IF(ISERROR(IRR($AJ40:AT$40))," ",IF(IRR($AJ40:AT$40)&lt;0," ",IRR($AJ40:AT$40)))</f>
        <v>1.0176655470499747</v>
      </c>
    </row>
    <row r="49" spans="1:3" ht="12.75">
      <c r="A49" s="70" t="s">
        <v>32</v>
      </c>
      <c r="B49" s="58">
        <f>AK36-AK42/AL40</f>
        <v>1.3513145117791223</v>
      </c>
      <c r="C49" s="54"/>
    </row>
    <row r="50" spans="1:3" ht="12.75">
      <c r="A50" s="70" t="s">
        <v>27</v>
      </c>
      <c r="B50" s="58">
        <f>AK36-AK43/AL41</f>
        <v>1.43983172885899</v>
      </c>
      <c r="C50" s="54"/>
    </row>
    <row r="51" spans="1:3" ht="12.75">
      <c r="A51" s="52"/>
      <c r="B51" s="54"/>
      <c r="C51" s="54"/>
    </row>
    <row r="52" spans="1:3" ht="12.75">
      <c r="A52" s="52"/>
      <c r="B52" s="54"/>
      <c r="C52" s="54"/>
    </row>
    <row r="53" spans="1:3" ht="12.75">
      <c r="A53" s="52"/>
      <c r="B53" s="54"/>
      <c r="C53" s="54"/>
    </row>
    <row r="54" spans="1:3" ht="12.75">
      <c r="A54" s="52"/>
      <c r="B54" s="54"/>
      <c r="C54" s="54"/>
    </row>
    <row r="55" spans="1:3" ht="12.75">
      <c r="A55" s="52"/>
      <c r="B55" s="54"/>
      <c r="C55" s="54"/>
    </row>
    <row r="56" spans="1:3" ht="12.75">
      <c r="A56" s="52"/>
      <c r="B56" s="54"/>
      <c r="C56" s="54"/>
    </row>
    <row r="57" spans="1:3" ht="12.75">
      <c r="A57" s="52"/>
      <c r="B57" s="54"/>
      <c r="C57" s="54"/>
    </row>
    <row r="58" spans="1:3" ht="12.75">
      <c r="A58" s="52"/>
      <c r="B58" s="54"/>
      <c r="C58" s="54"/>
    </row>
    <row r="59" spans="1:3" ht="12.75">
      <c r="A59" s="52"/>
      <c r="B59" s="54"/>
      <c r="C59" s="54"/>
    </row>
    <row r="60" spans="1:3" ht="12.75">
      <c r="A60" s="52"/>
      <c r="B60" s="54"/>
      <c r="C60" s="54"/>
    </row>
    <row r="61" spans="1:3" ht="12.75">
      <c r="A61" s="52"/>
      <c r="B61" s="54"/>
      <c r="C61" s="54"/>
    </row>
    <row r="62" spans="1:3" ht="12.75">
      <c r="A62" s="52"/>
      <c r="B62" s="54"/>
      <c r="C62" s="54"/>
    </row>
    <row r="63" spans="1:3" ht="12.75">
      <c r="A63" s="52"/>
      <c r="B63" s="54"/>
      <c r="C63" s="54"/>
    </row>
    <row r="64" spans="1:3" ht="12.75">
      <c r="A64" s="52"/>
      <c r="B64" s="54"/>
      <c r="C64" s="54"/>
    </row>
    <row r="65" spans="1:3" ht="12.75">
      <c r="A65" s="52"/>
      <c r="B65" s="54"/>
      <c r="C65" s="54"/>
    </row>
    <row r="66" spans="1:3" ht="12.75">
      <c r="A66" s="52"/>
      <c r="B66" s="54"/>
      <c r="C66" s="54"/>
    </row>
    <row r="67" spans="1:3" ht="12.75">
      <c r="A67" s="52"/>
      <c r="B67" s="54"/>
      <c r="C67" s="54"/>
    </row>
    <row r="68" spans="1:3" ht="12.75">
      <c r="A68" s="52"/>
      <c r="B68" s="54"/>
      <c r="C68" s="54"/>
    </row>
    <row r="69" spans="1:3" ht="12.75">
      <c r="A69" s="52"/>
      <c r="B69" s="54"/>
      <c r="C69" s="54"/>
    </row>
    <row r="70" spans="1:3" ht="12.75">
      <c r="A70" s="52"/>
      <c r="B70" s="54"/>
      <c r="C70" s="54"/>
    </row>
    <row r="71" spans="1:3" ht="12.75">
      <c r="A71" s="52"/>
      <c r="B71" s="54"/>
      <c r="C71" s="54"/>
    </row>
    <row r="72" spans="1:3" ht="12.75">
      <c r="A72" s="52"/>
      <c r="B72" s="54"/>
      <c r="C72" s="54"/>
    </row>
    <row r="73" spans="1:3" ht="12.75">
      <c r="A73" s="52"/>
      <c r="B73" s="54"/>
      <c r="C73" s="54"/>
    </row>
    <row r="74" spans="1:3" ht="12.75">
      <c r="A74" s="52"/>
      <c r="B74" s="54"/>
      <c r="C74" s="54"/>
    </row>
    <row r="75" spans="1:3" ht="12.75">
      <c r="A75" s="52"/>
      <c r="B75" s="54"/>
      <c r="C75" s="54"/>
    </row>
    <row r="76" spans="1:3" ht="12.75">
      <c r="A76" s="52"/>
      <c r="B76" s="54"/>
      <c r="C76" s="54"/>
    </row>
    <row r="77" spans="1:3" ht="12.75">
      <c r="A77" s="52"/>
      <c r="B77" s="54"/>
      <c r="C77" s="54"/>
    </row>
    <row r="78" spans="1:3" ht="12.75">
      <c r="A78" s="52"/>
      <c r="B78" s="54"/>
      <c r="C78" s="54"/>
    </row>
    <row r="79" spans="1:3" ht="12.75">
      <c r="A79" s="52"/>
      <c r="B79" s="54"/>
      <c r="C79" s="54"/>
    </row>
    <row r="80" spans="1:3" ht="12.75">
      <c r="A80" s="52"/>
      <c r="B80" s="54"/>
      <c r="C80" s="54"/>
    </row>
    <row r="81" spans="1:3" ht="12.75">
      <c r="A81" s="52"/>
      <c r="B81" s="54"/>
      <c r="C81" s="54"/>
    </row>
    <row r="82" spans="1:3" ht="12.75">
      <c r="A82" s="52"/>
      <c r="B82" s="54"/>
      <c r="C82" s="54"/>
    </row>
    <row r="83" spans="1:3" ht="12.75">
      <c r="A83" s="52"/>
      <c r="B83" s="54"/>
      <c r="C83" s="54"/>
    </row>
    <row r="84" spans="1:3" ht="12.75">
      <c r="A84" s="52"/>
      <c r="B84" s="54"/>
      <c r="C84" s="54"/>
    </row>
    <row r="85" spans="1:3" ht="12.75">
      <c r="A85" s="52"/>
      <c r="B85" s="54"/>
      <c r="C85" s="54"/>
    </row>
    <row r="86" spans="1:3" ht="12.75">
      <c r="A86" s="52"/>
      <c r="B86" s="54"/>
      <c r="C86" s="54"/>
    </row>
    <row r="87" spans="1:3" ht="12.75">
      <c r="A87" s="52"/>
      <c r="B87" s="54"/>
      <c r="C87" s="54"/>
    </row>
    <row r="88" spans="1:3" ht="12.75">
      <c r="A88" s="52"/>
      <c r="B88" s="54"/>
      <c r="C88" s="54"/>
    </row>
    <row r="89" spans="1:3" ht="12.75">
      <c r="A89" s="52"/>
      <c r="B89" s="54"/>
      <c r="C89" s="54"/>
    </row>
    <row r="90" spans="1:3" ht="12.75">
      <c r="A90" s="52"/>
      <c r="B90" s="54"/>
      <c r="C90" s="54"/>
    </row>
    <row r="91" spans="1:3" ht="12.75">
      <c r="A91" s="52"/>
      <c r="B91" s="54"/>
      <c r="C91" s="54"/>
    </row>
    <row r="92" spans="1:3" ht="12.75">
      <c r="A92" s="52"/>
      <c r="B92" s="54"/>
      <c r="C92" s="54"/>
    </row>
    <row r="93" spans="1:3" ht="12.75">
      <c r="A93" s="52"/>
      <c r="B93" s="54"/>
      <c r="C93" s="54"/>
    </row>
    <row r="94" spans="1:3" ht="12.75">
      <c r="A94" s="52"/>
      <c r="B94" s="54"/>
      <c r="C94" s="54"/>
    </row>
    <row r="95" spans="1:3" ht="12.75">
      <c r="A95" s="52"/>
      <c r="B95" s="54"/>
      <c r="C95" s="54"/>
    </row>
    <row r="96" spans="1:3" ht="12.75">
      <c r="A96" s="52"/>
      <c r="B96" s="54"/>
      <c r="C96" s="54"/>
    </row>
    <row r="97" spans="1:3" ht="12.75">
      <c r="A97" s="52"/>
      <c r="B97" s="54"/>
      <c r="C97" s="54"/>
    </row>
    <row r="98" spans="1:3" ht="12.75">
      <c r="A98" s="52"/>
      <c r="B98" s="54"/>
      <c r="C98" s="54"/>
    </row>
    <row r="99" spans="1:3" ht="12.75">
      <c r="A99" s="52"/>
      <c r="B99" s="54"/>
      <c r="C99" s="54"/>
    </row>
    <row r="100" spans="1:3" ht="12.75">
      <c r="A100" s="52"/>
      <c r="B100" s="54"/>
      <c r="C100" s="54"/>
    </row>
    <row r="101" spans="1:3" ht="12.75">
      <c r="A101" s="52"/>
      <c r="B101" s="54"/>
      <c r="C101" s="54"/>
    </row>
    <row r="102" spans="1:3" ht="12.75">
      <c r="A102" s="52"/>
      <c r="B102" s="54"/>
      <c r="C102" s="54"/>
    </row>
    <row r="103" spans="1:3" ht="12.75">
      <c r="A103" s="52"/>
      <c r="B103" s="54"/>
      <c r="C103" s="54"/>
    </row>
    <row r="104" spans="1:3" ht="12.75">
      <c r="A104" s="52"/>
      <c r="B104" s="54"/>
      <c r="C104" s="54"/>
    </row>
    <row r="105" spans="1:3" ht="12.75">
      <c r="A105" s="52"/>
      <c r="B105" s="54"/>
      <c r="C105" s="54"/>
    </row>
    <row r="106" spans="1:3" ht="12.75">
      <c r="A106" s="52"/>
      <c r="B106" s="54"/>
      <c r="C106" s="54"/>
    </row>
    <row r="107" spans="1:3" ht="12.75">
      <c r="A107" s="52"/>
      <c r="B107" s="54"/>
      <c r="C107" s="54"/>
    </row>
    <row r="108" spans="1:3" ht="12.75">
      <c r="A108" s="52"/>
      <c r="B108" s="54"/>
      <c r="C108" s="54"/>
    </row>
    <row r="109" spans="1:3" ht="12.75">
      <c r="A109" s="52"/>
      <c r="B109" s="54"/>
      <c r="C109" s="54"/>
    </row>
    <row r="110" spans="1:3" ht="12.75">
      <c r="A110" s="52"/>
      <c r="B110" s="54"/>
      <c r="C110" s="54"/>
    </row>
    <row r="111" spans="1:3" ht="12.75">
      <c r="A111" s="52"/>
      <c r="B111" s="54"/>
      <c r="C111" s="54"/>
    </row>
    <row r="112" spans="1:3" ht="12.75">
      <c r="A112" s="52"/>
      <c r="B112" s="54"/>
      <c r="C112" s="54"/>
    </row>
    <row r="113" spans="1:3" ht="12.75">
      <c r="A113" s="52"/>
      <c r="B113" s="54"/>
      <c r="C113" s="54"/>
    </row>
    <row r="114" spans="1:3" ht="12.75">
      <c r="A114" s="52"/>
      <c r="B114" s="54"/>
      <c r="C114" s="54"/>
    </row>
    <row r="115" spans="1:3" ht="12.75">
      <c r="A115" s="52"/>
      <c r="B115" s="54"/>
      <c r="C115" s="54"/>
    </row>
    <row r="116" spans="1:3" ht="12.75">
      <c r="A116" s="52"/>
      <c r="B116" s="54"/>
      <c r="C116" s="54"/>
    </row>
    <row r="117" spans="1:3" ht="12.75">
      <c r="A117" s="52"/>
      <c r="B117" s="54"/>
      <c r="C117" s="54"/>
    </row>
    <row r="118" spans="1:3" ht="12.75">
      <c r="A118" s="52"/>
      <c r="B118" s="54"/>
      <c r="C118" s="54"/>
    </row>
    <row r="119" spans="1:3" ht="12.75">
      <c r="A119" s="52"/>
      <c r="B119" s="54"/>
      <c r="C119" s="54"/>
    </row>
    <row r="120" spans="1:3" ht="12.75">
      <c r="A120" s="52"/>
      <c r="B120" s="54"/>
      <c r="C120" s="54"/>
    </row>
    <row r="121" spans="1:3" ht="12.75">
      <c r="A121" s="52"/>
      <c r="B121" s="54"/>
      <c r="C121" s="54"/>
    </row>
    <row r="122" spans="1:3" ht="12.75">
      <c r="A122" s="52"/>
      <c r="B122" s="54"/>
      <c r="C122" s="54"/>
    </row>
    <row r="123" spans="1:3" ht="12.75">
      <c r="A123" s="52"/>
      <c r="B123" s="54"/>
      <c r="C123" s="54"/>
    </row>
    <row r="124" spans="1:3" ht="12.75">
      <c r="A124" s="52"/>
      <c r="B124" s="54"/>
      <c r="C124" s="54"/>
    </row>
    <row r="125" spans="1:3" ht="12.75">
      <c r="A125" s="52"/>
      <c r="B125" s="54"/>
      <c r="C125" s="54"/>
    </row>
    <row r="126" spans="1:3" ht="12.75">
      <c r="A126" s="52"/>
      <c r="B126" s="54"/>
      <c r="C126" s="54"/>
    </row>
    <row r="127" spans="1:3" ht="12.75">
      <c r="A127" s="52"/>
      <c r="B127" s="54"/>
      <c r="C127" s="54"/>
    </row>
    <row r="128" spans="1:3" ht="12.75">
      <c r="A128" s="52"/>
      <c r="B128" s="54"/>
      <c r="C128" s="54"/>
    </row>
    <row r="129" spans="1:3" ht="12.75">
      <c r="A129" s="52"/>
      <c r="B129" s="54"/>
      <c r="C129" s="54"/>
    </row>
    <row r="130" spans="1:3" ht="12.75">
      <c r="A130" s="52"/>
      <c r="B130" s="54"/>
      <c r="C130" s="54"/>
    </row>
    <row r="131" spans="1:3" ht="12.75">
      <c r="A131" s="52"/>
      <c r="B131" s="54"/>
      <c r="C131" s="54"/>
    </row>
    <row r="132" spans="1:3" ht="12.75">
      <c r="A132" s="52"/>
      <c r="B132" s="54"/>
      <c r="C132" s="54"/>
    </row>
    <row r="133" spans="1:3" ht="12.75">
      <c r="A133" s="52"/>
      <c r="B133" s="54"/>
      <c r="C133" s="54"/>
    </row>
    <row r="134" spans="1:3" ht="12.75">
      <c r="A134" s="52"/>
      <c r="B134" s="54"/>
      <c r="C134" s="54"/>
    </row>
    <row r="135" spans="1:3" ht="12.75">
      <c r="A135" s="52"/>
      <c r="B135" s="54"/>
      <c r="C135" s="54"/>
    </row>
    <row r="136" spans="1:3" ht="12.75">
      <c r="A136" s="52"/>
      <c r="B136" s="54"/>
      <c r="C136" s="54"/>
    </row>
    <row r="137" spans="1:3" ht="12.75">
      <c r="A137" s="52"/>
      <c r="B137" s="54"/>
      <c r="C137" s="54"/>
    </row>
    <row r="138" spans="1:3" ht="12.75">
      <c r="A138" s="52"/>
      <c r="B138" s="54"/>
      <c r="C138" s="54"/>
    </row>
    <row r="139" spans="1:3" ht="12.75">
      <c r="A139" s="52"/>
      <c r="B139" s="54"/>
      <c r="C139" s="54"/>
    </row>
    <row r="140" spans="1:3" ht="12.75">
      <c r="A140" s="52"/>
      <c r="B140" s="54"/>
      <c r="C140" s="54"/>
    </row>
    <row r="141" spans="1:3" ht="12.75">
      <c r="A141" s="52"/>
      <c r="B141" s="54"/>
      <c r="C141" s="54"/>
    </row>
    <row r="142" spans="1:3" ht="12.75">
      <c r="A142" s="52"/>
      <c r="B142" s="54"/>
      <c r="C142" s="54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7086614173228347" bottom="0.35433070866141736" header="0.4330708661417323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DC17"/>
  <sheetViews>
    <sheetView showGridLines="0" zoomScalePageLayoutView="0" workbookViewId="0" topLeftCell="A1">
      <pane xSplit="2" ySplit="6" topLeftCell="O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T10" sqref="AT10"/>
    </sheetView>
  </sheetViews>
  <sheetFormatPr defaultColWidth="9.00390625" defaultRowHeight="12.75" outlineLevelRow="1" outlineLevelCol="1"/>
  <cols>
    <col min="1" max="1" width="23.25390625" style="172" customWidth="1"/>
    <col min="2" max="2" width="12.125" style="172" customWidth="1"/>
    <col min="3" max="14" width="9.125" style="172" hidden="1" customWidth="1" outlineLevel="1"/>
    <col min="15" max="15" width="10.125" style="173" bestFit="1" customWidth="1" collapsed="1"/>
    <col min="16" max="27" width="9.125" style="172" hidden="1" customWidth="1" outlineLevel="1"/>
    <col min="28" max="28" width="10.125" style="173" bestFit="1" customWidth="1" collapsed="1"/>
    <col min="29" max="40" width="9.125" style="172" hidden="1" customWidth="1" outlineLevel="1"/>
    <col min="41" max="41" width="10.125" style="173" bestFit="1" customWidth="1" collapsed="1"/>
    <col min="42" max="47" width="9.125" style="172" hidden="1" customWidth="1" outlineLevel="1"/>
    <col min="48" max="48" width="9.25390625" style="172" hidden="1" customWidth="1" outlineLevel="1"/>
    <col min="49" max="53" width="8.75390625" style="172" hidden="1" customWidth="1" outlineLevel="1"/>
    <col min="54" max="54" width="10.125" style="173" hidden="1" customWidth="1" collapsed="1"/>
    <col min="55" max="66" width="8.75390625" style="172" hidden="1" customWidth="1" outlineLevel="1"/>
    <col min="67" max="67" width="10.125" style="173" hidden="1" customWidth="1" collapsed="1"/>
    <col min="68" max="79" width="8.75390625" style="172" hidden="1" customWidth="1" outlineLevel="1"/>
    <col min="80" max="80" width="10.125" style="173" hidden="1" customWidth="1" collapsed="1"/>
    <col min="81" max="92" width="8.75390625" style="172" hidden="1" customWidth="1" outlineLevel="1"/>
    <col min="93" max="93" width="10.125" style="173" hidden="1" customWidth="1" collapsed="1"/>
    <col min="94" max="105" width="8.75390625" style="172" hidden="1" customWidth="1" outlineLevel="1"/>
    <col min="106" max="106" width="10.125" style="173" hidden="1" customWidth="1" collapsed="1"/>
    <col min="107" max="16384" width="9.125" style="172" customWidth="1"/>
  </cols>
  <sheetData>
    <row r="1" ht="9.75" customHeight="1"/>
    <row r="2" spans="1:15" ht="18.75" customHeight="1">
      <c r="A2" s="173" t="s">
        <v>96</v>
      </c>
      <c r="B2" s="174"/>
      <c r="D2" s="175"/>
      <c r="E2" s="175"/>
      <c r="F2" s="176"/>
      <c r="G2" s="175"/>
      <c r="O2" s="177"/>
    </row>
    <row r="3" spans="1:15" ht="13.5" customHeight="1">
      <c r="A3" s="178"/>
      <c r="B3" s="174"/>
      <c r="D3" s="175"/>
      <c r="E3" s="175"/>
      <c r="F3" s="176"/>
      <c r="G3" s="175"/>
      <c r="O3" s="177"/>
    </row>
    <row r="4" spans="1:2" ht="12.75">
      <c r="A4" s="275"/>
      <c r="B4" s="276"/>
    </row>
    <row r="5" spans="1:106" ht="15.75" customHeight="1">
      <c r="A5" s="179" t="s">
        <v>10</v>
      </c>
      <c r="B5" s="277">
        <f>Исх!C34</f>
        <v>0.07</v>
      </c>
      <c r="C5" s="333">
        <v>2013</v>
      </c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>
        <v>2014</v>
      </c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>
        <v>2015</v>
      </c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>
        <v>2016</v>
      </c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>
        <v>2017</v>
      </c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>
        <v>2018</v>
      </c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>
        <v>2019</v>
      </c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>
        <v>2020</v>
      </c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</row>
    <row r="6" spans="1:106" s="184" customFormat="1" ht="15" customHeight="1">
      <c r="A6" s="180" t="s">
        <v>8</v>
      </c>
      <c r="B6" s="181" t="s">
        <v>86</v>
      </c>
      <c r="C6" s="182">
        <v>1</v>
      </c>
      <c r="D6" s="182">
        <v>2</v>
      </c>
      <c r="E6" s="182">
        <f>D6+1</f>
        <v>3</v>
      </c>
      <c r="F6" s="182">
        <f aca="true" t="shared" si="0" ref="F6:N6">E6+1</f>
        <v>4</v>
      </c>
      <c r="G6" s="182">
        <f t="shared" si="0"/>
        <v>5</v>
      </c>
      <c r="H6" s="182">
        <f t="shared" si="0"/>
        <v>6</v>
      </c>
      <c r="I6" s="182">
        <f t="shared" si="0"/>
        <v>7</v>
      </c>
      <c r="J6" s="182">
        <f t="shared" si="0"/>
        <v>8</v>
      </c>
      <c r="K6" s="182">
        <f t="shared" si="0"/>
        <v>9</v>
      </c>
      <c r="L6" s="182">
        <f t="shared" si="0"/>
        <v>10</v>
      </c>
      <c r="M6" s="182">
        <f t="shared" si="0"/>
        <v>11</v>
      </c>
      <c r="N6" s="182">
        <f t="shared" si="0"/>
        <v>12</v>
      </c>
      <c r="O6" s="183" t="s">
        <v>0</v>
      </c>
      <c r="P6" s="182">
        <v>1</v>
      </c>
      <c r="Q6" s="182">
        <v>2</v>
      </c>
      <c r="R6" s="182">
        <f>Q6+1</f>
        <v>3</v>
      </c>
      <c r="S6" s="182">
        <f aca="true" t="shared" si="1" ref="S6:AA6">R6+1</f>
        <v>4</v>
      </c>
      <c r="T6" s="182">
        <f t="shared" si="1"/>
        <v>5</v>
      </c>
      <c r="U6" s="182">
        <f t="shared" si="1"/>
        <v>6</v>
      </c>
      <c r="V6" s="182">
        <f t="shared" si="1"/>
        <v>7</v>
      </c>
      <c r="W6" s="182">
        <f t="shared" si="1"/>
        <v>8</v>
      </c>
      <c r="X6" s="182">
        <f t="shared" si="1"/>
        <v>9</v>
      </c>
      <c r="Y6" s="182">
        <f t="shared" si="1"/>
        <v>10</v>
      </c>
      <c r="Z6" s="182">
        <f t="shared" si="1"/>
        <v>11</v>
      </c>
      <c r="AA6" s="182">
        <f t="shared" si="1"/>
        <v>12</v>
      </c>
      <c r="AB6" s="183" t="s">
        <v>0</v>
      </c>
      <c r="AC6" s="182">
        <v>1</v>
      </c>
      <c r="AD6" s="182">
        <v>2</v>
      </c>
      <c r="AE6" s="182">
        <f aca="true" t="shared" si="2" ref="AE6:BN6">AD6+1</f>
        <v>3</v>
      </c>
      <c r="AF6" s="182">
        <f t="shared" si="2"/>
        <v>4</v>
      </c>
      <c r="AG6" s="182">
        <f t="shared" si="2"/>
        <v>5</v>
      </c>
      <c r="AH6" s="182">
        <f t="shared" si="2"/>
        <v>6</v>
      </c>
      <c r="AI6" s="182">
        <f t="shared" si="2"/>
        <v>7</v>
      </c>
      <c r="AJ6" s="182">
        <f t="shared" si="2"/>
        <v>8</v>
      </c>
      <c r="AK6" s="182">
        <f t="shared" si="2"/>
        <v>9</v>
      </c>
      <c r="AL6" s="182">
        <f t="shared" si="2"/>
        <v>10</v>
      </c>
      <c r="AM6" s="182">
        <f t="shared" si="2"/>
        <v>11</v>
      </c>
      <c r="AN6" s="182">
        <f t="shared" si="2"/>
        <v>12</v>
      </c>
      <c r="AO6" s="183" t="s">
        <v>0</v>
      </c>
      <c r="AP6" s="182">
        <v>1</v>
      </c>
      <c r="AQ6" s="182">
        <v>2</v>
      </c>
      <c r="AR6" s="182">
        <f>AQ6+1</f>
        <v>3</v>
      </c>
      <c r="AS6" s="182">
        <f t="shared" si="2"/>
        <v>4</v>
      </c>
      <c r="AT6" s="182">
        <f t="shared" si="2"/>
        <v>5</v>
      </c>
      <c r="AU6" s="182">
        <f t="shared" si="2"/>
        <v>6</v>
      </c>
      <c r="AV6" s="182">
        <f t="shared" si="2"/>
        <v>7</v>
      </c>
      <c r="AW6" s="182">
        <f t="shared" si="2"/>
        <v>8</v>
      </c>
      <c r="AX6" s="182">
        <f t="shared" si="2"/>
        <v>9</v>
      </c>
      <c r="AY6" s="182">
        <f t="shared" si="2"/>
        <v>10</v>
      </c>
      <c r="AZ6" s="182">
        <f t="shared" si="2"/>
        <v>11</v>
      </c>
      <c r="BA6" s="182">
        <f t="shared" si="2"/>
        <v>12</v>
      </c>
      <c r="BB6" s="183" t="s">
        <v>0</v>
      </c>
      <c r="BC6" s="182">
        <v>1</v>
      </c>
      <c r="BD6" s="182">
        <v>2</v>
      </c>
      <c r="BE6" s="182">
        <f>BD6+1</f>
        <v>3</v>
      </c>
      <c r="BF6" s="182">
        <f t="shared" si="2"/>
        <v>4</v>
      </c>
      <c r="BG6" s="182">
        <f t="shared" si="2"/>
        <v>5</v>
      </c>
      <c r="BH6" s="182">
        <f t="shared" si="2"/>
        <v>6</v>
      </c>
      <c r="BI6" s="182">
        <f t="shared" si="2"/>
        <v>7</v>
      </c>
      <c r="BJ6" s="182">
        <f t="shared" si="2"/>
        <v>8</v>
      </c>
      <c r="BK6" s="182">
        <f t="shared" si="2"/>
        <v>9</v>
      </c>
      <c r="BL6" s="182">
        <f t="shared" si="2"/>
        <v>10</v>
      </c>
      <c r="BM6" s="182">
        <f t="shared" si="2"/>
        <v>11</v>
      </c>
      <c r="BN6" s="182">
        <f t="shared" si="2"/>
        <v>12</v>
      </c>
      <c r="BO6" s="183" t="s">
        <v>0</v>
      </c>
      <c r="BP6" s="182">
        <v>1</v>
      </c>
      <c r="BQ6" s="182">
        <v>2</v>
      </c>
      <c r="BR6" s="182">
        <f aca="true" t="shared" si="3" ref="BR6:CA6">BQ6+1</f>
        <v>3</v>
      </c>
      <c r="BS6" s="182">
        <f t="shared" si="3"/>
        <v>4</v>
      </c>
      <c r="BT6" s="182">
        <f t="shared" si="3"/>
        <v>5</v>
      </c>
      <c r="BU6" s="182">
        <f t="shared" si="3"/>
        <v>6</v>
      </c>
      <c r="BV6" s="182">
        <f t="shared" si="3"/>
        <v>7</v>
      </c>
      <c r="BW6" s="182">
        <f t="shared" si="3"/>
        <v>8</v>
      </c>
      <c r="BX6" s="182">
        <f t="shared" si="3"/>
        <v>9</v>
      </c>
      <c r="BY6" s="182">
        <f t="shared" si="3"/>
        <v>10</v>
      </c>
      <c r="BZ6" s="182">
        <f t="shared" si="3"/>
        <v>11</v>
      </c>
      <c r="CA6" s="182">
        <f t="shared" si="3"/>
        <v>12</v>
      </c>
      <c r="CB6" s="183" t="s">
        <v>0</v>
      </c>
      <c r="CC6" s="182">
        <v>1</v>
      </c>
      <c r="CD6" s="182">
        <v>2</v>
      </c>
      <c r="CE6" s="182">
        <f aca="true" t="shared" si="4" ref="CE6:CN6">CD6+1</f>
        <v>3</v>
      </c>
      <c r="CF6" s="182">
        <f t="shared" si="4"/>
        <v>4</v>
      </c>
      <c r="CG6" s="182">
        <f t="shared" si="4"/>
        <v>5</v>
      </c>
      <c r="CH6" s="182">
        <f t="shared" si="4"/>
        <v>6</v>
      </c>
      <c r="CI6" s="182">
        <f t="shared" si="4"/>
        <v>7</v>
      </c>
      <c r="CJ6" s="182">
        <f t="shared" si="4"/>
        <v>8</v>
      </c>
      <c r="CK6" s="182">
        <f t="shared" si="4"/>
        <v>9</v>
      </c>
      <c r="CL6" s="182">
        <f t="shared" si="4"/>
        <v>10</v>
      </c>
      <c r="CM6" s="182">
        <f t="shared" si="4"/>
        <v>11</v>
      </c>
      <c r="CN6" s="182">
        <f t="shared" si="4"/>
        <v>12</v>
      </c>
      <c r="CO6" s="183" t="s">
        <v>0</v>
      </c>
      <c r="CP6" s="182">
        <v>1</v>
      </c>
      <c r="CQ6" s="182">
        <v>2</v>
      </c>
      <c r="CR6" s="182">
        <f aca="true" t="shared" si="5" ref="CR6:DA6">CQ6+1</f>
        <v>3</v>
      </c>
      <c r="CS6" s="182">
        <f t="shared" si="5"/>
        <v>4</v>
      </c>
      <c r="CT6" s="182">
        <f t="shared" si="5"/>
        <v>5</v>
      </c>
      <c r="CU6" s="182">
        <f t="shared" si="5"/>
        <v>6</v>
      </c>
      <c r="CV6" s="182">
        <f t="shared" si="5"/>
        <v>7</v>
      </c>
      <c r="CW6" s="182">
        <f t="shared" si="5"/>
        <v>8</v>
      </c>
      <c r="CX6" s="182">
        <f t="shared" si="5"/>
        <v>9</v>
      </c>
      <c r="CY6" s="182">
        <f t="shared" si="5"/>
        <v>10</v>
      </c>
      <c r="CZ6" s="182">
        <f t="shared" si="5"/>
        <v>11</v>
      </c>
      <c r="DA6" s="182">
        <f t="shared" si="5"/>
        <v>12</v>
      </c>
      <c r="DB6" s="183" t="s">
        <v>0</v>
      </c>
    </row>
    <row r="7" spans="1:107" ht="12.75">
      <c r="A7" s="180" t="s">
        <v>104</v>
      </c>
      <c r="B7" s="185">
        <f>O7+AB7+AO7+BB7+BO7+CB7+CO7+DB7</f>
        <v>1622.2363560000001</v>
      </c>
      <c r="C7" s="186"/>
      <c r="D7" s="186"/>
      <c r="E7" s="186"/>
      <c r="F7" s="186"/>
      <c r="G7" s="186"/>
      <c r="H7" s="186"/>
      <c r="I7" s="186"/>
      <c r="J7" s="186"/>
      <c r="K7" s="186"/>
      <c r="L7" s="186">
        <f>'1-Ф3'!M29</f>
        <v>1622.2363560000001</v>
      </c>
      <c r="M7" s="186"/>
      <c r="N7" s="186"/>
      <c r="O7" s="187">
        <f>SUM(C7:N7)</f>
        <v>1622.2363560000001</v>
      </c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7">
        <f>SUM(P7:AA7)</f>
        <v>0</v>
      </c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8"/>
    </row>
    <row r="8" spans="1:106" s="189" customFormat="1" ht="20.25" customHeight="1">
      <c r="A8" s="180" t="s">
        <v>29</v>
      </c>
      <c r="B8" s="185">
        <f>O8+AB8+AO8+BB8+BO8+CB8+CO8+DB8</f>
        <v>47.315227050000004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7">
        <f>SUM(C8:N8)</f>
        <v>0</v>
      </c>
      <c r="P8" s="186"/>
      <c r="Q8" s="186"/>
      <c r="R8" s="186">
        <f>SUM(O9:R9)</f>
        <v>47.315227050000004</v>
      </c>
      <c r="S8" s="186"/>
      <c r="T8" s="186"/>
      <c r="U8" s="186"/>
      <c r="V8" s="186"/>
      <c r="W8" s="186"/>
      <c r="X8" s="186"/>
      <c r="Y8" s="186"/>
      <c r="Z8" s="186"/>
      <c r="AA8" s="186"/>
      <c r="AB8" s="187">
        <f>SUM(P8:AA8)</f>
        <v>47.315227050000004</v>
      </c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7">
        <f>SUM(AC8:AN8)</f>
        <v>0</v>
      </c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7">
        <f>SUM(AP8:BA8)</f>
        <v>0</v>
      </c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7">
        <f>SUM(BC8:BN8)</f>
        <v>0</v>
      </c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7">
        <f>SUM(BP8:CA8)</f>
        <v>0</v>
      </c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7">
        <f>SUM(CC8:CN8)</f>
        <v>0</v>
      </c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7">
        <f>SUM(CP8:DA8)</f>
        <v>0</v>
      </c>
    </row>
    <row r="9" spans="1:106" s="189" customFormat="1" ht="12.75">
      <c r="A9" s="190" t="s">
        <v>11</v>
      </c>
      <c r="B9" s="185">
        <f>O9+AB9+AO9+BB9+BO9+CB9+CO9+DB9</f>
        <v>173.92288876462538</v>
      </c>
      <c r="C9" s="186"/>
      <c r="D9" s="186">
        <f>C12*$B$5/12</f>
        <v>0</v>
      </c>
      <c r="E9" s="186">
        <f>D12*$B$5/12</f>
        <v>0</v>
      </c>
      <c r="F9" s="186">
        <f>E12*$B$5/12</f>
        <v>0</v>
      </c>
      <c r="G9" s="186">
        <f>F12*$B$5/12</f>
        <v>0</v>
      </c>
      <c r="H9" s="186">
        <f>G12*$B$5/12</f>
        <v>0</v>
      </c>
      <c r="I9" s="186">
        <f aca="true" t="shared" si="6" ref="I9:AA9">H12*$B$5/12</f>
        <v>0</v>
      </c>
      <c r="J9" s="186">
        <f t="shared" si="6"/>
        <v>0</v>
      </c>
      <c r="K9" s="186">
        <f t="shared" si="6"/>
        <v>0</v>
      </c>
      <c r="L9" s="186">
        <f>K12*$B$5/12</f>
        <v>0</v>
      </c>
      <c r="M9" s="186">
        <f t="shared" si="6"/>
        <v>9.463045410000001</v>
      </c>
      <c r="N9" s="186">
        <f t="shared" si="6"/>
        <v>9.463045410000001</v>
      </c>
      <c r="O9" s="187">
        <f>SUM(C9:N9)</f>
        <v>18.926090820000002</v>
      </c>
      <c r="P9" s="186">
        <f t="shared" si="6"/>
        <v>9.463045410000001</v>
      </c>
      <c r="Q9" s="186">
        <f t="shared" si="6"/>
        <v>9.463045410000001</v>
      </c>
      <c r="R9" s="186">
        <f t="shared" si="6"/>
        <v>9.463045410000001</v>
      </c>
      <c r="S9" s="186">
        <f t="shared" si="6"/>
        <v>9.739050901125001</v>
      </c>
      <c r="T9" s="186">
        <f t="shared" si="6"/>
        <v>9.34948886508</v>
      </c>
      <c r="U9" s="186">
        <f t="shared" si="6"/>
        <v>8.959926829035002</v>
      </c>
      <c r="V9" s="186">
        <f t="shared" si="6"/>
        <v>8.570364792990002</v>
      </c>
      <c r="W9" s="186">
        <f t="shared" si="6"/>
        <v>8.180802756945003</v>
      </c>
      <c r="X9" s="186">
        <f t="shared" si="6"/>
        <v>7.791240720900003</v>
      </c>
      <c r="Y9" s="186">
        <f t="shared" si="6"/>
        <v>7.401678684855003</v>
      </c>
      <c r="Z9" s="186">
        <f t="shared" si="6"/>
        <v>7.012116648810005</v>
      </c>
      <c r="AA9" s="186">
        <f t="shared" si="6"/>
        <v>6.622554612765005</v>
      </c>
      <c r="AB9" s="187">
        <f>SUM(P9:AA9)</f>
        <v>102.01636104250503</v>
      </c>
      <c r="AC9" s="186">
        <f aca="true" t="shared" si="7" ref="AC9:AN9">AB12*$B$5/12</f>
        <v>6.232992576720005</v>
      </c>
      <c r="AD9" s="186">
        <f t="shared" si="7"/>
        <v>5.843430540675006</v>
      </c>
      <c r="AE9" s="186">
        <f t="shared" si="7"/>
        <v>5.453868504630005</v>
      </c>
      <c r="AF9" s="186">
        <f t="shared" si="7"/>
        <v>5.064306468585006</v>
      </c>
      <c r="AG9" s="186">
        <f t="shared" si="7"/>
        <v>4.674744432540005</v>
      </c>
      <c r="AH9" s="186">
        <f t="shared" si="7"/>
        <v>4.2851823964950055</v>
      </c>
      <c r="AI9" s="186">
        <f t="shared" si="7"/>
        <v>3.8956203604500055</v>
      </c>
      <c r="AJ9" s="186">
        <f t="shared" si="7"/>
        <v>3.5060583244050054</v>
      </c>
      <c r="AK9" s="186">
        <f t="shared" si="7"/>
        <v>3.116496288360006</v>
      </c>
      <c r="AL9" s="186">
        <f t="shared" si="7"/>
        <v>2.7269342523150057</v>
      </c>
      <c r="AM9" s="186">
        <f t="shared" si="7"/>
        <v>2.3373722162700052</v>
      </c>
      <c r="AN9" s="186">
        <f t="shared" si="7"/>
        <v>1.9478101802250054</v>
      </c>
      <c r="AO9" s="187">
        <f>SUM(AC9:AN9)</f>
        <v>49.084816541670065</v>
      </c>
      <c r="AP9" s="186">
        <f aca="true" t="shared" si="8" ref="AP9:BA9">AO12*$B$5/12</f>
        <v>1.5582481441800056</v>
      </c>
      <c r="AQ9" s="186">
        <f t="shared" si="8"/>
        <v>1.1686861081350053</v>
      </c>
      <c r="AR9" s="186">
        <f t="shared" si="8"/>
        <v>0.7791240720900053</v>
      </c>
      <c r="AS9" s="186">
        <f t="shared" si="8"/>
        <v>0.38956203604500533</v>
      </c>
      <c r="AT9" s="186">
        <f t="shared" si="8"/>
        <v>5.305385760342082E-15</v>
      </c>
      <c r="AU9" s="186">
        <f t="shared" si="8"/>
        <v>5.305385760342082E-15</v>
      </c>
      <c r="AV9" s="186">
        <f t="shared" si="8"/>
        <v>5.305385760342082E-15</v>
      </c>
      <c r="AW9" s="186">
        <f t="shared" si="8"/>
        <v>5.305385760342082E-15</v>
      </c>
      <c r="AX9" s="186">
        <f t="shared" si="8"/>
        <v>5.305385760342082E-15</v>
      </c>
      <c r="AY9" s="186">
        <f t="shared" si="8"/>
        <v>5.305385760342082E-15</v>
      </c>
      <c r="AZ9" s="186">
        <f t="shared" si="8"/>
        <v>5.305385760342082E-15</v>
      </c>
      <c r="BA9" s="186">
        <f t="shared" si="8"/>
        <v>5.305385760342082E-15</v>
      </c>
      <c r="BB9" s="187">
        <f>SUM(AP9:BA9)</f>
        <v>3.895620360450064</v>
      </c>
      <c r="BC9" s="186">
        <f aca="true" t="shared" si="9" ref="BC9:BN9">BB12*$B$5/12</f>
        <v>5.305385760342082E-15</v>
      </c>
      <c r="BD9" s="186">
        <f t="shared" si="9"/>
        <v>5.305385760342082E-15</v>
      </c>
      <c r="BE9" s="186">
        <f t="shared" si="9"/>
        <v>5.305385760342082E-15</v>
      </c>
      <c r="BF9" s="186">
        <f t="shared" si="9"/>
        <v>5.305385760342082E-15</v>
      </c>
      <c r="BG9" s="186">
        <f t="shared" si="9"/>
        <v>5.305385760342082E-15</v>
      </c>
      <c r="BH9" s="186">
        <f t="shared" si="9"/>
        <v>5.305385760342082E-15</v>
      </c>
      <c r="BI9" s="186">
        <f t="shared" si="9"/>
        <v>5.305385760342082E-15</v>
      </c>
      <c r="BJ9" s="186">
        <f t="shared" si="9"/>
        <v>5.305385760342082E-15</v>
      </c>
      <c r="BK9" s="186">
        <f t="shared" si="9"/>
        <v>5.305385760342082E-15</v>
      </c>
      <c r="BL9" s="186">
        <f t="shared" si="9"/>
        <v>5.305385760342082E-15</v>
      </c>
      <c r="BM9" s="186">
        <f t="shared" si="9"/>
        <v>5.305385760342082E-15</v>
      </c>
      <c r="BN9" s="186">
        <f t="shared" si="9"/>
        <v>5.305385760342082E-15</v>
      </c>
      <c r="BO9" s="187">
        <f>SUM(BC9:BN9)</f>
        <v>6.366462912410498E-14</v>
      </c>
      <c r="BP9" s="186">
        <f aca="true" t="shared" si="10" ref="BP9:CA9">BO12*$B$5/12</f>
        <v>5.305385760342082E-15</v>
      </c>
      <c r="BQ9" s="186">
        <f t="shared" si="10"/>
        <v>5.305385760342082E-15</v>
      </c>
      <c r="BR9" s="186">
        <f t="shared" si="10"/>
        <v>5.305385760342082E-15</v>
      </c>
      <c r="BS9" s="186">
        <f t="shared" si="10"/>
        <v>5.305385760342082E-15</v>
      </c>
      <c r="BT9" s="186">
        <f t="shared" si="10"/>
        <v>5.305385760342082E-15</v>
      </c>
      <c r="BU9" s="186">
        <f t="shared" si="10"/>
        <v>5.305385760342082E-15</v>
      </c>
      <c r="BV9" s="186">
        <f t="shared" si="10"/>
        <v>5.305385760342082E-15</v>
      </c>
      <c r="BW9" s="186">
        <f t="shared" si="10"/>
        <v>5.305385760342082E-15</v>
      </c>
      <c r="BX9" s="186">
        <f t="shared" si="10"/>
        <v>5.305385760342082E-15</v>
      </c>
      <c r="BY9" s="186">
        <f t="shared" si="10"/>
        <v>5.305385760342082E-15</v>
      </c>
      <c r="BZ9" s="186">
        <f t="shared" si="10"/>
        <v>5.305385760342082E-15</v>
      </c>
      <c r="CA9" s="186">
        <f t="shared" si="10"/>
        <v>5.305385760342082E-15</v>
      </c>
      <c r="CB9" s="187">
        <f>SUM(BP9:CA9)</f>
        <v>6.366462912410498E-14</v>
      </c>
      <c r="CC9" s="186">
        <f aca="true" t="shared" si="11" ref="CC9:CN9">CB12*$B$5/12</f>
        <v>5.305385760342082E-15</v>
      </c>
      <c r="CD9" s="186">
        <f t="shared" si="11"/>
        <v>5.305385760342082E-15</v>
      </c>
      <c r="CE9" s="186">
        <f t="shared" si="11"/>
        <v>5.305385760342082E-15</v>
      </c>
      <c r="CF9" s="186">
        <f t="shared" si="11"/>
        <v>5.305385760342082E-15</v>
      </c>
      <c r="CG9" s="186">
        <f t="shared" si="11"/>
        <v>5.305385760342082E-15</v>
      </c>
      <c r="CH9" s="186">
        <f t="shared" si="11"/>
        <v>5.305385760342082E-15</v>
      </c>
      <c r="CI9" s="186">
        <f t="shared" si="11"/>
        <v>5.305385760342082E-15</v>
      </c>
      <c r="CJ9" s="186">
        <f t="shared" si="11"/>
        <v>5.305385760342082E-15</v>
      </c>
      <c r="CK9" s="186">
        <f t="shared" si="11"/>
        <v>5.305385760342082E-15</v>
      </c>
      <c r="CL9" s="186">
        <f t="shared" si="11"/>
        <v>5.305385760342082E-15</v>
      </c>
      <c r="CM9" s="186">
        <f t="shared" si="11"/>
        <v>5.305385760342082E-15</v>
      </c>
      <c r="CN9" s="186">
        <f t="shared" si="11"/>
        <v>5.305385760342082E-15</v>
      </c>
      <c r="CO9" s="187">
        <f>SUM(CC9:CN9)</f>
        <v>6.366462912410498E-14</v>
      </c>
      <c r="CP9" s="186">
        <f aca="true" t="shared" si="12" ref="CP9:DA9">CO12*$B$5/12</f>
        <v>5.305385760342082E-15</v>
      </c>
      <c r="CQ9" s="186">
        <f t="shared" si="12"/>
        <v>5.305385760342082E-15</v>
      </c>
      <c r="CR9" s="186">
        <f t="shared" si="12"/>
        <v>5.305385760342082E-15</v>
      </c>
      <c r="CS9" s="186">
        <f t="shared" si="12"/>
        <v>5.305385760342082E-15</v>
      </c>
      <c r="CT9" s="186">
        <f t="shared" si="12"/>
        <v>5.305385760342082E-15</v>
      </c>
      <c r="CU9" s="186">
        <f t="shared" si="12"/>
        <v>5.305385760342082E-15</v>
      </c>
      <c r="CV9" s="186">
        <f t="shared" si="12"/>
        <v>5.305385760342082E-15</v>
      </c>
      <c r="CW9" s="186">
        <f t="shared" si="12"/>
        <v>5.305385760342082E-15</v>
      </c>
      <c r="CX9" s="186">
        <f t="shared" si="12"/>
        <v>5.305385760342082E-15</v>
      </c>
      <c r="CY9" s="186">
        <f t="shared" si="12"/>
        <v>5.305385760342082E-15</v>
      </c>
      <c r="CZ9" s="186">
        <f t="shared" si="12"/>
        <v>5.305385760342082E-15</v>
      </c>
      <c r="DA9" s="186">
        <f t="shared" si="12"/>
        <v>5.305385760342082E-15</v>
      </c>
      <c r="DB9" s="187">
        <f>SUM(CP9:DA9)</f>
        <v>6.366462912410498E-14</v>
      </c>
    </row>
    <row r="10" spans="1:107" ht="12.75">
      <c r="A10" s="180" t="s">
        <v>12</v>
      </c>
      <c r="B10" s="185">
        <f>O10+AB10+AO10+BB10+BO10+CB10+CO10+DB10</f>
        <v>1669.5515830499999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91"/>
      <c r="N10" s="191"/>
      <c r="O10" s="187">
        <f>SUM(C10:N10)</f>
        <v>0</v>
      </c>
      <c r="P10" s="191"/>
      <c r="Q10" s="191"/>
      <c r="R10" s="191"/>
      <c r="S10" s="186">
        <f aca="true" t="shared" si="13" ref="S10:AA10">$R$12/$B$13</f>
        <v>66.782063322</v>
      </c>
      <c r="T10" s="186">
        <f t="shared" si="13"/>
        <v>66.782063322</v>
      </c>
      <c r="U10" s="186">
        <f t="shared" si="13"/>
        <v>66.782063322</v>
      </c>
      <c r="V10" s="186">
        <f t="shared" si="13"/>
        <v>66.782063322</v>
      </c>
      <c r="W10" s="186">
        <f t="shared" si="13"/>
        <v>66.782063322</v>
      </c>
      <c r="X10" s="186">
        <f t="shared" si="13"/>
        <v>66.782063322</v>
      </c>
      <c r="Y10" s="186">
        <f t="shared" si="13"/>
        <v>66.782063322</v>
      </c>
      <c r="Z10" s="186">
        <f t="shared" si="13"/>
        <v>66.782063322</v>
      </c>
      <c r="AA10" s="186">
        <f t="shared" si="13"/>
        <v>66.782063322</v>
      </c>
      <c r="AB10" s="187">
        <f>SUM(P10:AA10)</f>
        <v>601.038569898</v>
      </c>
      <c r="AC10" s="186">
        <f aca="true" t="shared" si="14" ref="AC10:AS10">$R$12/$B$13</f>
        <v>66.782063322</v>
      </c>
      <c r="AD10" s="186">
        <f t="shared" si="14"/>
        <v>66.782063322</v>
      </c>
      <c r="AE10" s="186">
        <f t="shared" si="14"/>
        <v>66.782063322</v>
      </c>
      <c r="AF10" s="186">
        <f t="shared" si="14"/>
        <v>66.782063322</v>
      </c>
      <c r="AG10" s="186">
        <f t="shared" si="14"/>
        <v>66.782063322</v>
      </c>
      <c r="AH10" s="186">
        <f t="shared" si="14"/>
        <v>66.782063322</v>
      </c>
      <c r="AI10" s="186">
        <f t="shared" si="14"/>
        <v>66.782063322</v>
      </c>
      <c r="AJ10" s="186">
        <f t="shared" si="14"/>
        <v>66.782063322</v>
      </c>
      <c r="AK10" s="186">
        <f t="shared" si="14"/>
        <v>66.782063322</v>
      </c>
      <c r="AL10" s="186">
        <f t="shared" si="14"/>
        <v>66.782063322</v>
      </c>
      <c r="AM10" s="186">
        <f t="shared" si="14"/>
        <v>66.782063322</v>
      </c>
      <c r="AN10" s="186">
        <f t="shared" si="14"/>
        <v>66.782063322</v>
      </c>
      <c r="AO10" s="187">
        <f>SUM(AC10:AN10)</f>
        <v>801.384759864</v>
      </c>
      <c r="AP10" s="186">
        <f t="shared" si="14"/>
        <v>66.782063322</v>
      </c>
      <c r="AQ10" s="186">
        <f t="shared" si="14"/>
        <v>66.782063322</v>
      </c>
      <c r="AR10" s="186">
        <f t="shared" si="14"/>
        <v>66.782063322</v>
      </c>
      <c r="AS10" s="186">
        <f t="shared" si="14"/>
        <v>66.782063322</v>
      </c>
      <c r="AT10" s="186"/>
      <c r="AU10" s="186"/>
      <c r="AV10" s="186"/>
      <c r="AW10" s="186"/>
      <c r="AX10" s="186"/>
      <c r="AY10" s="186"/>
      <c r="AZ10" s="186"/>
      <c r="BA10" s="186"/>
      <c r="BB10" s="187">
        <f>SUM(AP10:BA10)</f>
        <v>267.128253288</v>
      </c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7">
        <f>SUM(BC10:BN10)</f>
        <v>0</v>
      </c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7">
        <f>SUM(BP10:CA10)</f>
        <v>0</v>
      </c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7">
        <f>SUM(CC10:CN10)</f>
        <v>0</v>
      </c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7">
        <f>SUM(CP10:DA10)</f>
        <v>0</v>
      </c>
      <c r="DC10" s="188"/>
    </row>
    <row r="11" spans="1:107" ht="12.75">
      <c r="A11" s="180" t="s">
        <v>13</v>
      </c>
      <c r="B11" s="185">
        <f>O11+AB11+AO11+BB11+BO11+CB11+CO11+DB11</f>
        <v>126.60766171462538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91"/>
      <c r="N11" s="191"/>
      <c r="O11" s="187">
        <f>SUM(C11:N11)</f>
        <v>0</v>
      </c>
      <c r="P11" s="191"/>
      <c r="Q11" s="191"/>
      <c r="R11" s="191"/>
      <c r="S11" s="186">
        <f>S9</f>
        <v>9.739050901125001</v>
      </c>
      <c r="T11" s="186">
        <f aca="true" t="shared" si="15" ref="T11:BN11">T9</f>
        <v>9.34948886508</v>
      </c>
      <c r="U11" s="186">
        <f t="shared" si="15"/>
        <v>8.959926829035002</v>
      </c>
      <c r="V11" s="186">
        <f t="shared" si="15"/>
        <v>8.570364792990002</v>
      </c>
      <c r="W11" s="186">
        <f t="shared" si="15"/>
        <v>8.180802756945003</v>
      </c>
      <c r="X11" s="186">
        <f t="shared" si="15"/>
        <v>7.791240720900003</v>
      </c>
      <c r="Y11" s="186">
        <f t="shared" si="15"/>
        <v>7.401678684855003</v>
      </c>
      <c r="Z11" s="186">
        <f t="shared" si="15"/>
        <v>7.012116648810005</v>
      </c>
      <c r="AA11" s="186">
        <f t="shared" si="15"/>
        <v>6.622554612765005</v>
      </c>
      <c r="AB11" s="187">
        <f>SUM(P11:AA11)</f>
        <v>73.62722481250502</v>
      </c>
      <c r="AC11" s="186">
        <f t="shared" si="15"/>
        <v>6.232992576720005</v>
      </c>
      <c r="AD11" s="186">
        <f t="shared" si="15"/>
        <v>5.843430540675006</v>
      </c>
      <c r="AE11" s="186">
        <f t="shared" si="15"/>
        <v>5.453868504630005</v>
      </c>
      <c r="AF11" s="186">
        <f t="shared" si="15"/>
        <v>5.064306468585006</v>
      </c>
      <c r="AG11" s="186">
        <f t="shared" si="15"/>
        <v>4.674744432540005</v>
      </c>
      <c r="AH11" s="186">
        <f t="shared" si="15"/>
        <v>4.2851823964950055</v>
      </c>
      <c r="AI11" s="186">
        <f t="shared" si="15"/>
        <v>3.8956203604500055</v>
      </c>
      <c r="AJ11" s="186">
        <f t="shared" si="15"/>
        <v>3.5060583244050054</v>
      </c>
      <c r="AK11" s="186">
        <f t="shared" si="15"/>
        <v>3.116496288360006</v>
      </c>
      <c r="AL11" s="186">
        <f t="shared" si="15"/>
        <v>2.7269342523150057</v>
      </c>
      <c r="AM11" s="186">
        <f t="shared" si="15"/>
        <v>2.3373722162700052</v>
      </c>
      <c r="AN11" s="186">
        <f t="shared" si="15"/>
        <v>1.9478101802250054</v>
      </c>
      <c r="AO11" s="187">
        <f>SUM(AC11:AN11)</f>
        <v>49.084816541670065</v>
      </c>
      <c r="AP11" s="186">
        <f t="shared" si="15"/>
        <v>1.5582481441800056</v>
      </c>
      <c r="AQ11" s="186">
        <f t="shared" si="15"/>
        <v>1.1686861081350053</v>
      </c>
      <c r="AR11" s="186">
        <f t="shared" si="15"/>
        <v>0.7791240720900053</v>
      </c>
      <c r="AS11" s="186">
        <f t="shared" si="15"/>
        <v>0.38956203604500533</v>
      </c>
      <c r="AT11" s="186">
        <f t="shared" si="15"/>
        <v>5.305385760342082E-15</v>
      </c>
      <c r="AU11" s="186">
        <f t="shared" si="15"/>
        <v>5.305385760342082E-15</v>
      </c>
      <c r="AV11" s="186">
        <f t="shared" si="15"/>
        <v>5.305385760342082E-15</v>
      </c>
      <c r="AW11" s="186">
        <f t="shared" si="15"/>
        <v>5.305385760342082E-15</v>
      </c>
      <c r="AX11" s="186">
        <f t="shared" si="15"/>
        <v>5.305385760342082E-15</v>
      </c>
      <c r="AY11" s="186">
        <f t="shared" si="15"/>
        <v>5.305385760342082E-15</v>
      </c>
      <c r="AZ11" s="186">
        <f t="shared" si="15"/>
        <v>5.305385760342082E-15</v>
      </c>
      <c r="BA11" s="186">
        <f t="shared" si="15"/>
        <v>5.305385760342082E-15</v>
      </c>
      <c r="BB11" s="187">
        <f>SUM(AP11:BA11)</f>
        <v>3.895620360450064</v>
      </c>
      <c r="BC11" s="186">
        <f t="shared" si="15"/>
        <v>5.305385760342082E-15</v>
      </c>
      <c r="BD11" s="186">
        <f t="shared" si="15"/>
        <v>5.305385760342082E-15</v>
      </c>
      <c r="BE11" s="186">
        <f t="shared" si="15"/>
        <v>5.305385760342082E-15</v>
      </c>
      <c r="BF11" s="186">
        <f t="shared" si="15"/>
        <v>5.305385760342082E-15</v>
      </c>
      <c r="BG11" s="186">
        <f t="shared" si="15"/>
        <v>5.305385760342082E-15</v>
      </c>
      <c r="BH11" s="186">
        <f t="shared" si="15"/>
        <v>5.305385760342082E-15</v>
      </c>
      <c r="BI11" s="186">
        <f t="shared" si="15"/>
        <v>5.305385760342082E-15</v>
      </c>
      <c r="BJ11" s="186">
        <f t="shared" si="15"/>
        <v>5.305385760342082E-15</v>
      </c>
      <c r="BK11" s="186">
        <f t="shared" si="15"/>
        <v>5.305385760342082E-15</v>
      </c>
      <c r="BL11" s="186">
        <f t="shared" si="15"/>
        <v>5.305385760342082E-15</v>
      </c>
      <c r="BM11" s="186">
        <f t="shared" si="15"/>
        <v>5.305385760342082E-15</v>
      </c>
      <c r="BN11" s="186">
        <f t="shared" si="15"/>
        <v>5.305385760342082E-15</v>
      </c>
      <c r="BO11" s="187">
        <f>SUM(BC11:BN11)</f>
        <v>6.366462912410498E-14</v>
      </c>
      <c r="BP11" s="186">
        <f aca="true" t="shared" si="16" ref="BP11:CA11">BP9</f>
        <v>5.305385760342082E-15</v>
      </c>
      <c r="BQ11" s="186">
        <f t="shared" si="16"/>
        <v>5.305385760342082E-15</v>
      </c>
      <c r="BR11" s="186">
        <f t="shared" si="16"/>
        <v>5.305385760342082E-15</v>
      </c>
      <c r="BS11" s="186">
        <f t="shared" si="16"/>
        <v>5.305385760342082E-15</v>
      </c>
      <c r="BT11" s="186">
        <f t="shared" si="16"/>
        <v>5.305385760342082E-15</v>
      </c>
      <c r="BU11" s="186">
        <f t="shared" si="16"/>
        <v>5.305385760342082E-15</v>
      </c>
      <c r="BV11" s="186">
        <f t="shared" si="16"/>
        <v>5.305385760342082E-15</v>
      </c>
      <c r="BW11" s="186">
        <f t="shared" si="16"/>
        <v>5.305385760342082E-15</v>
      </c>
      <c r="BX11" s="186">
        <f t="shared" si="16"/>
        <v>5.305385760342082E-15</v>
      </c>
      <c r="BY11" s="186">
        <f t="shared" si="16"/>
        <v>5.305385760342082E-15</v>
      </c>
      <c r="BZ11" s="186">
        <f t="shared" si="16"/>
        <v>5.305385760342082E-15</v>
      </c>
      <c r="CA11" s="186">
        <f t="shared" si="16"/>
        <v>5.305385760342082E-15</v>
      </c>
      <c r="CB11" s="187">
        <f>SUM(BP11:CA11)</f>
        <v>6.366462912410498E-14</v>
      </c>
      <c r="CC11" s="186">
        <f aca="true" t="shared" si="17" ref="CC11:CN11">CC9</f>
        <v>5.305385760342082E-15</v>
      </c>
      <c r="CD11" s="186">
        <f t="shared" si="17"/>
        <v>5.305385760342082E-15</v>
      </c>
      <c r="CE11" s="186">
        <f t="shared" si="17"/>
        <v>5.305385760342082E-15</v>
      </c>
      <c r="CF11" s="186">
        <f t="shared" si="17"/>
        <v>5.305385760342082E-15</v>
      </c>
      <c r="CG11" s="186">
        <f t="shared" si="17"/>
        <v>5.305385760342082E-15</v>
      </c>
      <c r="CH11" s="186">
        <f t="shared" si="17"/>
        <v>5.305385760342082E-15</v>
      </c>
      <c r="CI11" s="186">
        <f t="shared" si="17"/>
        <v>5.305385760342082E-15</v>
      </c>
      <c r="CJ11" s="186">
        <f t="shared" si="17"/>
        <v>5.305385760342082E-15</v>
      </c>
      <c r="CK11" s="186">
        <f t="shared" si="17"/>
        <v>5.305385760342082E-15</v>
      </c>
      <c r="CL11" s="186">
        <f t="shared" si="17"/>
        <v>5.305385760342082E-15</v>
      </c>
      <c r="CM11" s="186">
        <f t="shared" si="17"/>
        <v>5.305385760342082E-15</v>
      </c>
      <c r="CN11" s="186">
        <f t="shared" si="17"/>
        <v>5.305385760342082E-15</v>
      </c>
      <c r="CO11" s="187">
        <f>SUM(CC11:CN11)</f>
        <v>6.366462912410498E-14</v>
      </c>
      <c r="CP11" s="186">
        <f aca="true" t="shared" si="18" ref="CP11:DA11">CP9</f>
        <v>5.305385760342082E-15</v>
      </c>
      <c r="CQ11" s="186">
        <f t="shared" si="18"/>
        <v>5.305385760342082E-15</v>
      </c>
      <c r="CR11" s="186">
        <f t="shared" si="18"/>
        <v>5.305385760342082E-15</v>
      </c>
      <c r="CS11" s="186">
        <f t="shared" si="18"/>
        <v>5.305385760342082E-15</v>
      </c>
      <c r="CT11" s="186">
        <f t="shared" si="18"/>
        <v>5.305385760342082E-15</v>
      </c>
      <c r="CU11" s="186">
        <f t="shared" si="18"/>
        <v>5.305385760342082E-15</v>
      </c>
      <c r="CV11" s="186">
        <f t="shared" si="18"/>
        <v>5.305385760342082E-15</v>
      </c>
      <c r="CW11" s="186">
        <f t="shared" si="18"/>
        <v>5.305385760342082E-15</v>
      </c>
      <c r="CX11" s="186">
        <f t="shared" si="18"/>
        <v>5.305385760342082E-15</v>
      </c>
      <c r="CY11" s="186">
        <f t="shared" si="18"/>
        <v>5.305385760342082E-15</v>
      </c>
      <c r="CZ11" s="186">
        <f t="shared" si="18"/>
        <v>5.305385760342082E-15</v>
      </c>
      <c r="DA11" s="186">
        <f t="shared" si="18"/>
        <v>5.305385760342082E-15</v>
      </c>
      <c r="DB11" s="187">
        <f>SUM(CP11:DA11)</f>
        <v>6.366462912410498E-14</v>
      </c>
      <c r="DC11" s="188" t="s">
        <v>56</v>
      </c>
    </row>
    <row r="12" spans="1:107" ht="12.75">
      <c r="A12" s="180" t="s">
        <v>14</v>
      </c>
      <c r="B12" s="185">
        <f>DB12</f>
        <v>9.094947017729282E-13</v>
      </c>
      <c r="C12" s="186">
        <f>C7</f>
        <v>0</v>
      </c>
      <c r="D12" s="186">
        <f>C12+D7-D10+D8</f>
        <v>0</v>
      </c>
      <c r="E12" s="186">
        <f>D12+E7-E10+E8</f>
        <v>0</v>
      </c>
      <c r="F12" s="186">
        <f>E12+F7-F10+F8</f>
        <v>0</v>
      </c>
      <c r="G12" s="186">
        <f aca="true" t="shared" si="19" ref="G12:M12">F12+G7-G10+G8</f>
        <v>0</v>
      </c>
      <c r="H12" s="186">
        <f>G12+H7-H10+H8</f>
        <v>0</v>
      </c>
      <c r="I12" s="186">
        <f t="shared" si="19"/>
        <v>0</v>
      </c>
      <c r="J12" s="186">
        <f t="shared" si="19"/>
        <v>0</v>
      </c>
      <c r="K12" s="186">
        <f t="shared" si="19"/>
        <v>0</v>
      </c>
      <c r="L12" s="186">
        <f t="shared" si="19"/>
        <v>1622.2363560000001</v>
      </c>
      <c r="M12" s="186">
        <f t="shared" si="19"/>
        <v>1622.2363560000001</v>
      </c>
      <c r="N12" s="186">
        <f>M12+N7-N10+N8</f>
        <v>1622.2363560000001</v>
      </c>
      <c r="O12" s="187">
        <f>N12</f>
        <v>1622.2363560000001</v>
      </c>
      <c r="P12" s="186">
        <f>O12+P7-P10+P8</f>
        <v>1622.2363560000001</v>
      </c>
      <c r="Q12" s="186">
        <f aca="true" t="shared" si="20" ref="Q12:Z12">P12+Q7-Q10+Q8</f>
        <v>1622.2363560000001</v>
      </c>
      <c r="R12" s="186">
        <f t="shared" si="20"/>
        <v>1669.55158305</v>
      </c>
      <c r="S12" s="186">
        <f t="shared" si="20"/>
        <v>1602.769519728</v>
      </c>
      <c r="T12" s="186">
        <f t="shared" si="20"/>
        <v>1535.987456406</v>
      </c>
      <c r="U12" s="186">
        <f t="shared" si="20"/>
        <v>1469.2053930840002</v>
      </c>
      <c r="V12" s="186">
        <f t="shared" si="20"/>
        <v>1402.4233297620003</v>
      </c>
      <c r="W12" s="186">
        <f t="shared" si="20"/>
        <v>1335.6412664400004</v>
      </c>
      <c r="X12" s="186">
        <f t="shared" si="20"/>
        <v>1268.8592031180006</v>
      </c>
      <c r="Y12" s="186">
        <f t="shared" si="20"/>
        <v>1202.0771397960007</v>
      </c>
      <c r="Z12" s="186">
        <f t="shared" si="20"/>
        <v>1135.2950764740008</v>
      </c>
      <c r="AA12" s="186">
        <f>Z12+AA7-AA10+AA8</f>
        <v>1068.513013152001</v>
      </c>
      <c r="AB12" s="187">
        <f>AA12</f>
        <v>1068.513013152001</v>
      </c>
      <c r="AC12" s="186">
        <f>AB12+AC7-AC10+AC8</f>
        <v>1001.7309498300009</v>
      </c>
      <c r="AD12" s="186">
        <f aca="true" t="shared" si="21" ref="AD12:AN12">AC12+AD7-AD10+AD8</f>
        <v>934.9488865080009</v>
      </c>
      <c r="AE12" s="186">
        <f t="shared" si="21"/>
        <v>868.1668231860009</v>
      </c>
      <c r="AF12" s="186">
        <f t="shared" si="21"/>
        <v>801.3847598640009</v>
      </c>
      <c r="AG12" s="186">
        <f t="shared" si="21"/>
        <v>734.6026965420009</v>
      </c>
      <c r="AH12" s="186">
        <f t="shared" si="21"/>
        <v>667.8206332200009</v>
      </c>
      <c r="AI12" s="186">
        <f t="shared" si="21"/>
        <v>601.0385698980009</v>
      </c>
      <c r="AJ12" s="186">
        <f t="shared" si="21"/>
        <v>534.2565065760009</v>
      </c>
      <c r="AK12" s="186">
        <f t="shared" si="21"/>
        <v>467.4744432540009</v>
      </c>
      <c r="AL12" s="186">
        <f t="shared" si="21"/>
        <v>400.6923799320009</v>
      </c>
      <c r="AM12" s="186">
        <f t="shared" si="21"/>
        <v>333.9103166100009</v>
      </c>
      <c r="AN12" s="186">
        <f t="shared" si="21"/>
        <v>267.1282532880009</v>
      </c>
      <c r="AO12" s="187">
        <f>AN12</f>
        <v>267.1282532880009</v>
      </c>
      <c r="AP12" s="186">
        <f>AO12+AP7-AP10+AP8</f>
        <v>200.3461899660009</v>
      </c>
      <c r="AQ12" s="186">
        <f aca="true" t="shared" si="22" ref="AQ12:BA12">AP12+AQ7-AQ10+AQ8</f>
        <v>133.5641266440009</v>
      </c>
      <c r="AR12" s="186">
        <f t="shared" si="22"/>
        <v>66.78206332200091</v>
      </c>
      <c r="AS12" s="186">
        <f t="shared" si="22"/>
        <v>9.094947017729282E-13</v>
      </c>
      <c r="AT12" s="186">
        <f t="shared" si="22"/>
        <v>9.094947017729282E-13</v>
      </c>
      <c r="AU12" s="186">
        <f t="shared" si="22"/>
        <v>9.094947017729282E-13</v>
      </c>
      <c r="AV12" s="186">
        <f t="shared" si="22"/>
        <v>9.094947017729282E-13</v>
      </c>
      <c r="AW12" s="186">
        <f t="shared" si="22"/>
        <v>9.094947017729282E-13</v>
      </c>
      <c r="AX12" s="186">
        <f t="shared" si="22"/>
        <v>9.094947017729282E-13</v>
      </c>
      <c r="AY12" s="186">
        <f t="shared" si="22"/>
        <v>9.094947017729282E-13</v>
      </c>
      <c r="AZ12" s="186">
        <f t="shared" si="22"/>
        <v>9.094947017729282E-13</v>
      </c>
      <c r="BA12" s="186">
        <f t="shared" si="22"/>
        <v>9.094947017729282E-13</v>
      </c>
      <c r="BB12" s="187">
        <f>BA12</f>
        <v>9.094947017729282E-13</v>
      </c>
      <c r="BC12" s="186">
        <f>BB12+BC7-BC10+BC8</f>
        <v>9.094947017729282E-13</v>
      </c>
      <c r="BD12" s="186">
        <f aca="true" t="shared" si="23" ref="BD12:BN12">BC12+BD7-BD10+BD8</f>
        <v>9.094947017729282E-13</v>
      </c>
      <c r="BE12" s="186">
        <f t="shared" si="23"/>
        <v>9.094947017729282E-13</v>
      </c>
      <c r="BF12" s="186">
        <f t="shared" si="23"/>
        <v>9.094947017729282E-13</v>
      </c>
      <c r="BG12" s="186">
        <f t="shared" si="23"/>
        <v>9.094947017729282E-13</v>
      </c>
      <c r="BH12" s="186">
        <f t="shared" si="23"/>
        <v>9.094947017729282E-13</v>
      </c>
      <c r="BI12" s="186">
        <f t="shared" si="23"/>
        <v>9.094947017729282E-13</v>
      </c>
      <c r="BJ12" s="186">
        <f t="shared" si="23"/>
        <v>9.094947017729282E-13</v>
      </c>
      <c r="BK12" s="186">
        <f t="shared" si="23"/>
        <v>9.094947017729282E-13</v>
      </c>
      <c r="BL12" s="186">
        <f t="shared" si="23"/>
        <v>9.094947017729282E-13</v>
      </c>
      <c r="BM12" s="186">
        <f t="shared" si="23"/>
        <v>9.094947017729282E-13</v>
      </c>
      <c r="BN12" s="186">
        <f t="shared" si="23"/>
        <v>9.094947017729282E-13</v>
      </c>
      <c r="BO12" s="187">
        <f>BN12</f>
        <v>9.094947017729282E-13</v>
      </c>
      <c r="BP12" s="186">
        <f aca="true" t="shared" si="24" ref="BP12:CA12">BO12+BP7-BP10+BP8</f>
        <v>9.094947017729282E-13</v>
      </c>
      <c r="BQ12" s="186">
        <f t="shared" si="24"/>
        <v>9.094947017729282E-13</v>
      </c>
      <c r="BR12" s="186">
        <f t="shared" si="24"/>
        <v>9.094947017729282E-13</v>
      </c>
      <c r="BS12" s="186">
        <f t="shared" si="24"/>
        <v>9.094947017729282E-13</v>
      </c>
      <c r="BT12" s="186">
        <f t="shared" si="24"/>
        <v>9.094947017729282E-13</v>
      </c>
      <c r="BU12" s="186">
        <f t="shared" si="24"/>
        <v>9.094947017729282E-13</v>
      </c>
      <c r="BV12" s="186">
        <f t="shared" si="24"/>
        <v>9.094947017729282E-13</v>
      </c>
      <c r="BW12" s="186">
        <f t="shared" si="24"/>
        <v>9.094947017729282E-13</v>
      </c>
      <c r="BX12" s="186">
        <f t="shared" si="24"/>
        <v>9.094947017729282E-13</v>
      </c>
      <c r="BY12" s="186">
        <f t="shared" si="24"/>
        <v>9.094947017729282E-13</v>
      </c>
      <c r="BZ12" s="186">
        <f t="shared" si="24"/>
        <v>9.094947017729282E-13</v>
      </c>
      <c r="CA12" s="186">
        <f t="shared" si="24"/>
        <v>9.094947017729282E-13</v>
      </c>
      <c r="CB12" s="187">
        <f>CA12</f>
        <v>9.094947017729282E-13</v>
      </c>
      <c r="CC12" s="186">
        <f aca="true" t="shared" si="25" ref="CC12:CN12">CB12+CC7-CC10+CC8</f>
        <v>9.094947017729282E-13</v>
      </c>
      <c r="CD12" s="186">
        <f t="shared" si="25"/>
        <v>9.094947017729282E-13</v>
      </c>
      <c r="CE12" s="186">
        <f t="shared" si="25"/>
        <v>9.094947017729282E-13</v>
      </c>
      <c r="CF12" s="186">
        <f t="shared" si="25"/>
        <v>9.094947017729282E-13</v>
      </c>
      <c r="CG12" s="186">
        <f t="shared" si="25"/>
        <v>9.094947017729282E-13</v>
      </c>
      <c r="CH12" s="186">
        <f t="shared" si="25"/>
        <v>9.094947017729282E-13</v>
      </c>
      <c r="CI12" s="186">
        <f t="shared" si="25"/>
        <v>9.094947017729282E-13</v>
      </c>
      <c r="CJ12" s="186">
        <f t="shared" si="25"/>
        <v>9.094947017729282E-13</v>
      </c>
      <c r="CK12" s="186">
        <f t="shared" si="25"/>
        <v>9.094947017729282E-13</v>
      </c>
      <c r="CL12" s="186">
        <f t="shared" si="25"/>
        <v>9.094947017729282E-13</v>
      </c>
      <c r="CM12" s="186">
        <f t="shared" si="25"/>
        <v>9.094947017729282E-13</v>
      </c>
      <c r="CN12" s="186">
        <f t="shared" si="25"/>
        <v>9.094947017729282E-13</v>
      </c>
      <c r="CO12" s="187">
        <f>CN12</f>
        <v>9.094947017729282E-13</v>
      </c>
      <c r="CP12" s="186">
        <f aca="true" t="shared" si="26" ref="CP12:DA12">CO12+CP7-CP10+CP8</f>
        <v>9.094947017729282E-13</v>
      </c>
      <c r="CQ12" s="186">
        <f t="shared" si="26"/>
        <v>9.094947017729282E-13</v>
      </c>
      <c r="CR12" s="186">
        <f t="shared" si="26"/>
        <v>9.094947017729282E-13</v>
      </c>
      <c r="CS12" s="186">
        <f t="shared" si="26"/>
        <v>9.094947017729282E-13</v>
      </c>
      <c r="CT12" s="186">
        <f t="shared" si="26"/>
        <v>9.094947017729282E-13</v>
      </c>
      <c r="CU12" s="186">
        <f t="shared" si="26"/>
        <v>9.094947017729282E-13</v>
      </c>
      <c r="CV12" s="186">
        <f t="shared" si="26"/>
        <v>9.094947017729282E-13</v>
      </c>
      <c r="CW12" s="186">
        <f t="shared" si="26"/>
        <v>9.094947017729282E-13</v>
      </c>
      <c r="CX12" s="186">
        <f t="shared" si="26"/>
        <v>9.094947017729282E-13</v>
      </c>
      <c r="CY12" s="186">
        <f t="shared" si="26"/>
        <v>9.094947017729282E-13</v>
      </c>
      <c r="CZ12" s="186">
        <f t="shared" si="26"/>
        <v>9.094947017729282E-13</v>
      </c>
      <c r="DA12" s="186">
        <f t="shared" si="26"/>
        <v>9.094947017729282E-13</v>
      </c>
      <c r="DB12" s="187">
        <f>DA12</f>
        <v>9.094947017729282E-13</v>
      </c>
      <c r="DC12" s="192">
        <f>MAX(C12:DB12)</f>
        <v>1669.55158305</v>
      </c>
    </row>
    <row r="13" spans="1:107" ht="12.75">
      <c r="A13" s="172" t="s">
        <v>76</v>
      </c>
      <c r="B13" s="172">
        <f>Исх!C35*12-Исх!C36</f>
        <v>25</v>
      </c>
      <c r="DC13" s="175"/>
    </row>
    <row r="16" ht="12.75" outlineLevel="1">
      <c r="A16" s="193">
        <f>B7+B8-B10</f>
        <v>0</v>
      </c>
    </row>
    <row r="17" ht="12.75" outlineLevel="1">
      <c r="A17" s="193">
        <f>B9-B8-B11</f>
        <v>0</v>
      </c>
    </row>
  </sheetData>
  <sheetProtection/>
  <mergeCells count="8">
    <mergeCell ref="CP5:DB5"/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46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S25"/>
  <sheetViews>
    <sheetView showGridLines="0" zoomScalePageLayoutView="0"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C18" sqref="C18"/>
    </sheetView>
  </sheetViews>
  <sheetFormatPr defaultColWidth="8.875" defaultRowHeight="12.75" outlineLevelRow="1" outlineLevelCol="1"/>
  <cols>
    <col min="1" max="1" width="36.25390625" style="71" customWidth="1"/>
    <col min="2" max="2" width="8.125" style="71" customWidth="1"/>
    <col min="3" max="3" width="8.25390625" style="71" customWidth="1"/>
    <col min="4" max="4" width="10.00390625" style="71" customWidth="1"/>
    <col min="5" max="13" width="4.875" style="71" customWidth="1" outlineLevel="1"/>
    <col min="14" max="16" width="6.125" style="71" customWidth="1" outlineLevel="1"/>
    <col min="17" max="17" width="10.125" style="71" customWidth="1"/>
    <col min="18" max="18" width="3.625" style="71" customWidth="1"/>
    <col min="19" max="19" width="16.00390625" style="71" customWidth="1"/>
    <col min="20" max="20" width="12.875" style="71" bestFit="1" customWidth="1"/>
    <col min="21" max="16384" width="8.875" style="71" customWidth="1"/>
  </cols>
  <sheetData>
    <row r="1" ht="8.25" customHeight="1"/>
    <row r="2" spans="1:19" ht="12.75">
      <c r="A2" s="61" t="s">
        <v>217</v>
      </c>
      <c r="B2" s="168"/>
      <c r="Q2" s="144" t="s">
        <v>57</v>
      </c>
      <c r="R2" s="194"/>
      <c r="S2" s="166"/>
    </row>
    <row r="3" spans="1:19" ht="17.25" customHeight="1">
      <c r="A3" s="337" t="s">
        <v>185</v>
      </c>
      <c r="B3" s="338" t="s">
        <v>155</v>
      </c>
      <c r="C3" s="338" t="s">
        <v>156</v>
      </c>
      <c r="D3" s="339" t="s">
        <v>154</v>
      </c>
      <c r="E3" s="334">
        <v>2013</v>
      </c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6"/>
      <c r="Q3" s="86" t="s">
        <v>0</v>
      </c>
      <c r="R3" s="194"/>
      <c r="S3" s="195"/>
    </row>
    <row r="4" spans="1:17" ht="12.75">
      <c r="A4" s="337"/>
      <c r="B4" s="338"/>
      <c r="C4" s="338"/>
      <c r="D4" s="339"/>
      <c r="E4" s="196">
        <v>1</v>
      </c>
      <c r="F4" s="196">
        <v>2</v>
      </c>
      <c r="G4" s="196">
        <v>3</v>
      </c>
      <c r="H4" s="196">
        <v>4</v>
      </c>
      <c r="I4" s="196">
        <v>5</v>
      </c>
      <c r="J4" s="196">
        <v>6</v>
      </c>
      <c r="K4" s="196">
        <v>7</v>
      </c>
      <c r="L4" s="196">
        <v>8</v>
      </c>
      <c r="M4" s="196">
        <v>9</v>
      </c>
      <c r="N4" s="196">
        <v>10</v>
      </c>
      <c r="O4" s="196">
        <v>11</v>
      </c>
      <c r="P4" s="196">
        <v>12</v>
      </c>
      <c r="Q4" s="88">
        <v>2013</v>
      </c>
    </row>
    <row r="5" spans="1:17" s="61" customFormat="1" ht="12.75" hidden="1">
      <c r="A5" s="197" t="s">
        <v>184</v>
      </c>
      <c r="B5" s="198"/>
      <c r="C5" s="198"/>
      <c r="D5" s="141">
        <f aca="true" t="shared" si="0" ref="D5:Q5">SUM(D6:D7)</f>
        <v>0</v>
      </c>
      <c r="E5" s="141">
        <f t="shared" si="0"/>
        <v>0</v>
      </c>
      <c r="F5" s="141">
        <f t="shared" si="0"/>
        <v>0</v>
      </c>
      <c r="G5" s="141">
        <f t="shared" si="0"/>
        <v>0</v>
      </c>
      <c r="H5" s="141">
        <f t="shared" si="0"/>
        <v>0</v>
      </c>
      <c r="I5" s="141">
        <f t="shared" si="0"/>
        <v>0</v>
      </c>
      <c r="J5" s="141">
        <f t="shared" si="0"/>
        <v>0</v>
      </c>
      <c r="K5" s="141">
        <f t="shared" si="0"/>
        <v>0</v>
      </c>
      <c r="L5" s="141">
        <f t="shared" si="0"/>
        <v>0</v>
      </c>
      <c r="M5" s="141">
        <f t="shared" si="0"/>
        <v>0</v>
      </c>
      <c r="N5" s="141">
        <f t="shared" si="0"/>
        <v>0</v>
      </c>
      <c r="O5" s="141">
        <f t="shared" si="0"/>
        <v>0</v>
      </c>
      <c r="P5" s="141">
        <f t="shared" si="0"/>
        <v>0</v>
      </c>
      <c r="Q5" s="141">
        <f t="shared" si="0"/>
        <v>0</v>
      </c>
    </row>
    <row r="6" spans="1:19" ht="12.75" hidden="1" outlineLevel="1">
      <c r="A6" s="231"/>
      <c r="B6" s="283"/>
      <c r="C6" s="229"/>
      <c r="D6" s="149">
        <f>B6*C6</f>
        <v>0</v>
      </c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50">
        <f>SUM(E6:P6)</f>
        <v>0</v>
      </c>
      <c r="R6" s="61"/>
      <c r="S6" s="61"/>
    </row>
    <row r="7" spans="1:19" ht="12.75" hidden="1" outlineLevel="1">
      <c r="A7" s="199"/>
      <c r="B7" s="260"/>
      <c r="C7" s="143"/>
      <c r="D7" s="149">
        <f>B7*C7</f>
        <v>0</v>
      </c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50">
        <f>SUM(E7:P7)</f>
        <v>0</v>
      </c>
      <c r="R7" s="61"/>
      <c r="S7" s="61"/>
    </row>
    <row r="8" spans="1:19" ht="12.75" collapsed="1">
      <c r="A8" s="197" t="s">
        <v>103</v>
      </c>
      <c r="B8" s="198"/>
      <c r="C8" s="198"/>
      <c r="D8" s="141">
        <f aca="true" t="shared" si="1" ref="D8:Q8">SUM(D9:D15)</f>
        <v>1836.5133600000001</v>
      </c>
      <c r="E8" s="141">
        <f t="shared" si="1"/>
        <v>0</v>
      </c>
      <c r="F8" s="141">
        <f t="shared" si="1"/>
        <v>0</v>
      </c>
      <c r="G8" s="141">
        <f t="shared" si="1"/>
        <v>0</v>
      </c>
      <c r="H8" s="141">
        <f t="shared" si="1"/>
        <v>0</v>
      </c>
      <c r="I8" s="141">
        <f t="shared" si="1"/>
        <v>0</v>
      </c>
      <c r="J8" s="141">
        <f t="shared" si="1"/>
        <v>0</v>
      </c>
      <c r="K8" s="141">
        <f t="shared" si="1"/>
        <v>0</v>
      </c>
      <c r="L8" s="141">
        <f t="shared" si="1"/>
        <v>0</v>
      </c>
      <c r="M8" s="141">
        <f t="shared" si="1"/>
        <v>0</v>
      </c>
      <c r="N8" s="141">
        <f t="shared" si="1"/>
        <v>1836.5133600000001</v>
      </c>
      <c r="O8" s="141">
        <f t="shared" si="1"/>
        <v>0</v>
      </c>
      <c r="P8" s="141">
        <f t="shared" si="1"/>
        <v>0</v>
      </c>
      <c r="Q8" s="141">
        <f t="shared" si="1"/>
        <v>1836.5133600000001</v>
      </c>
      <c r="R8" s="61"/>
      <c r="S8" s="61"/>
    </row>
    <row r="9" spans="1:19" ht="25.5" outlineLevel="1">
      <c r="A9" s="222" t="s">
        <v>253</v>
      </c>
      <c r="B9" s="283">
        <v>1</v>
      </c>
      <c r="C9" s="142">
        <f>89*1.1*Исх!$C$6</f>
        <v>451.3190000000001</v>
      </c>
      <c r="D9" s="149">
        <f aca="true" t="shared" si="2" ref="D9:D15">B9*C9</f>
        <v>451.3190000000001</v>
      </c>
      <c r="E9" s="149"/>
      <c r="F9" s="149"/>
      <c r="G9" s="149"/>
      <c r="H9" s="149"/>
      <c r="I9" s="149"/>
      <c r="J9" s="149"/>
      <c r="K9" s="149"/>
      <c r="L9" s="149"/>
      <c r="M9" s="149"/>
      <c r="N9" s="149">
        <f>D9</f>
        <v>451.3190000000001</v>
      </c>
      <c r="O9" s="149"/>
      <c r="P9" s="149"/>
      <c r="Q9" s="150">
        <f aca="true" t="shared" si="3" ref="Q9:Q15">SUM(E9:P9)</f>
        <v>451.3190000000001</v>
      </c>
      <c r="R9" s="218" t="s">
        <v>254</v>
      </c>
      <c r="S9" s="61"/>
    </row>
    <row r="10" spans="1:19" ht="12.75" outlineLevel="1">
      <c r="A10" s="200" t="s">
        <v>255</v>
      </c>
      <c r="B10" s="283">
        <v>1</v>
      </c>
      <c r="C10" s="142">
        <f>61*1.1*Исх!$C$6</f>
        <v>309.3310000000001</v>
      </c>
      <c r="D10" s="149">
        <f t="shared" si="2"/>
        <v>309.3310000000001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>
        <f aca="true" t="shared" si="4" ref="N10:N18">D10</f>
        <v>309.3310000000001</v>
      </c>
      <c r="O10" s="149"/>
      <c r="P10" s="149"/>
      <c r="Q10" s="150">
        <f t="shared" si="3"/>
        <v>309.3310000000001</v>
      </c>
      <c r="R10" s="61"/>
      <c r="S10" s="61"/>
    </row>
    <row r="11" spans="1:19" ht="12.75" outlineLevel="1">
      <c r="A11" s="200" t="s">
        <v>256</v>
      </c>
      <c r="B11" s="283">
        <v>1</v>
      </c>
      <c r="C11" s="142">
        <f>95*1.1*Исх!$C$6</f>
        <v>481.7450000000001</v>
      </c>
      <c r="D11" s="149">
        <f t="shared" si="2"/>
        <v>481.7450000000001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>
        <f t="shared" si="4"/>
        <v>481.7450000000001</v>
      </c>
      <c r="O11" s="149"/>
      <c r="P11" s="149"/>
      <c r="Q11" s="150">
        <f t="shared" si="3"/>
        <v>481.7450000000001</v>
      </c>
      <c r="R11" s="61"/>
      <c r="S11" s="61"/>
    </row>
    <row r="12" spans="1:19" ht="12.75" outlineLevel="1">
      <c r="A12" s="200" t="s">
        <v>258</v>
      </c>
      <c r="B12" s="283">
        <v>2</v>
      </c>
      <c r="C12" s="142">
        <f>22.5*1.1*Исх!$C$6</f>
        <v>114.09750000000003</v>
      </c>
      <c r="D12" s="149">
        <f t="shared" si="2"/>
        <v>228.19500000000005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>
        <f t="shared" si="4"/>
        <v>228.19500000000005</v>
      </c>
      <c r="O12" s="149"/>
      <c r="P12" s="149"/>
      <c r="Q12" s="150">
        <f t="shared" si="3"/>
        <v>228.19500000000005</v>
      </c>
      <c r="R12" s="61"/>
      <c r="S12" s="61"/>
    </row>
    <row r="13" spans="1:19" ht="12.75" outlineLevel="1">
      <c r="A13" s="200" t="s">
        <v>257</v>
      </c>
      <c r="B13" s="283">
        <v>2</v>
      </c>
      <c r="C13" s="142">
        <f>8.7*1.1*Исх!$C$6</f>
        <v>44.117700000000006</v>
      </c>
      <c r="D13" s="149">
        <f t="shared" si="2"/>
        <v>88.23540000000001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>
        <f t="shared" si="4"/>
        <v>88.23540000000001</v>
      </c>
      <c r="O13" s="149"/>
      <c r="P13" s="149"/>
      <c r="Q13" s="150">
        <f t="shared" si="3"/>
        <v>88.23540000000001</v>
      </c>
      <c r="R13" s="61"/>
      <c r="S13" s="61"/>
    </row>
    <row r="14" spans="1:19" ht="12.75" outlineLevel="1">
      <c r="A14" s="200" t="s">
        <v>259</v>
      </c>
      <c r="B14" s="283">
        <v>2</v>
      </c>
      <c r="C14" s="142">
        <f>16.89*1.1*Исх!$C$6</f>
        <v>85.64919</v>
      </c>
      <c r="D14" s="149">
        <f t="shared" si="2"/>
        <v>171.29838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>
        <f t="shared" si="4"/>
        <v>171.29838</v>
      </c>
      <c r="O14" s="149"/>
      <c r="P14" s="149"/>
      <c r="Q14" s="150">
        <f t="shared" si="3"/>
        <v>171.29838</v>
      </c>
      <c r="R14" s="61"/>
      <c r="S14" s="61"/>
    </row>
    <row r="15" spans="1:19" ht="12.75" outlineLevel="1">
      <c r="A15" s="200" t="s">
        <v>260</v>
      </c>
      <c r="B15" s="283">
        <v>2</v>
      </c>
      <c r="C15" s="142">
        <f>10.49*1.1*Исх!$C$6</f>
        <v>53.19479000000001</v>
      </c>
      <c r="D15" s="149">
        <f t="shared" si="2"/>
        <v>106.38958000000002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>
        <f t="shared" si="4"/>
        <v>106.38958000000002</v>
      </c>
      <c r="O15" s="149"/>
      <c r="P15" s="149"/>
      <c r="Q15" s="150">
        <f t="shared" si="3"/>
        <v>106.38958000000002</v>
      </c>
      <c r="R15" s="61"/>
      <c r="S15" s="61"/>
    </row>
    <row r="16" spans="1:19" ht="12.75">
      <c r="A16" s="197" t="s">
        <v>216</v>
      </c>
      <c r="B16" s="198"/>
      <c r="C16" s="198"/>
      <c r="D16" s="141">
        <f aca="true" t="shared" si="5" ref="D16:Q16">SUM(D17:D18)</f>
        <v>72</v>
      </c>
      <c r="E16" s="141">
        <f t="shared" si="5"/>
        <v>0</v>
      </c>
      <c r="F16" s="141">
        <f t="shared" si="5"/>
        <v>0</v>
      </c>
      <c r="G16" s="141">
        <f t="shared" si="5"/>
        <v>0</v>
      </c>
      <c r="H16" s="141">
        <f t="shared" si="5"/>
        <v>0</v>
      </c>
      <c r="I16" s="141">
        <f t="shared" si="5"/>
        <v>0</v>
      </c>
      <c r="J16" s="141">
        <f t="shared" si="5"/>
        <v>0</v>
      </c>
      <c r="K16" s="141">
        <f t="shared" si="5"/>
        <v>0</v>
      </c>
      <c r="L16" s="141">
        <f t="shared" si="5"/>
        <v>0</v>
      </c>
      <c r="M16" s="141">
        <f t="shared" si="5"/>
        <v>0</v>
      </c>
      <c r="N16" s="141">
        <f t="shared" si="5"/>
        <v>72</v>
      </c>
      <c r="O16" s="141">
        <f t="shared" si="5"/>
        <v>0</v>
      </c>
      <c r="P16" s="141">
        <f t="shared" si="5"/>
        <v>0</v>
      </c>
      <c r="Q16" s="141">
        <f t="shared" si="5"/>
        <v>72</v>
      </c>
      <c r="S16" s="61"/>
    </row>
    <row r="17" spans="1:19" ht="12.75" outlineLevel="1">
      <c r="A17" s="222" t="s">
        <v>251</v>
      </c>
      <c r="B17" s="142">
        <v>1</v>
      </c>
      <c r="C17" s="142">
        <v>22</v>
      </c>
      <c r="D17" s="149">
        <f>B17*C17</f>
        <v>22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>
        <f t="shared" si="4"/>
        <v>22</v>
      </c>
      <c r="O17" s="149"/>
      <c r="P17" s="149"/>
      <c r="Q17" s="150">
        <f>SUM(E17:P17)</f>
        <v>22</v>
      </c>
      <c r="S17" s="61"/>
    </row>
    <row r="18" spans="1:19" ht="12.75" outlineLevel="1">
      <c r="A18" s="200" t="s">
        <v>252</v>
      </c>
      <c r="B18" s="142">
        <v>1</v>
      </c>
      <c r="C18" s="142">
        <v>50</v>
      </c>
      <c r="D18" s="149">
        <f>B18*C18</f>
        <v>50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>
        <f t="shared" si="4"/>
        <v>50</v>
      </c>
      <c r="O18" s="149"/>
      <c r="P18" s="149"/>
      <c r="Q18" s="150">
        <f>SUM(E18:P18)</f>
        <v>50</v>
      </c>
      <c r="S18" s="61"/>
    </row>
    <row r="19" spans="1:17" ht="12.75">
      <c r="A19" s="138" t="s">
        <v>0</v>
      </c>
      <c r="B19" s="162"/>
      <c r="C19" s="162"/>
      <c r="D19" s="162">
        <f aca="true" t="shared" si="6" ref="D19:Q19">D5+D8+D16</f>
        <v>1908.5133600000001</v>
      </c>
      <c r="E19" s="162">
        <f t="shared" si="6"/>
        <v>0</v>
      </c>
      <c r="F19" s="162">
        <f t="shared" si="6"/>
        <v>0</v>
      </c>
      <c r="G19" s="162">
        <f t="shared" si="6"/>
        <v>0</v>
      </c>
      <c r="H19" s="162">
        <f t="shared" si="6"/>
        <v>0</v>
      </c>
      <c r="I19" s="162">
        <f t="shared" si="6"/>
        <v>0</v>
      </c>
      <c r="J19" s="162">
        <f t="shared" si="6"/>
        <v>0</v>
      </c>
      <c r="K19" s="162">
        <f t="shared" si="6"/>
        <v>0</v>
      </c>
      <c r="L19" s="162">
        <f t="shared" si="6"/>
        <v>0</v>
      </c>
      <c r="M19" s="162">
        <f t="shared" si="6"/>
        <v>0</v>
      </c>
      <c r="N19" s="162">
        <f t="shared" si="6"/>
        <v>1908.5133600000001</v>
      </c>
      <c r="O19" s="162">
        <f t="shared" si="6"/>
        <v>0</v>
      </c>
      <c r="P19" s="162">
        <f t="shared" si="6"/>
        <v>0</v>
      </c>
      <c r="Q19" s="162">
        <f t="shared" si="6"/>
        <v>1908.5133600000001</v>
      </c>
    </row>
    <row r="20" ht="12.75">
      <c r="D20" s="194">
        <f>D19-Q19</f>
        <v>0</v>
      </c>
    </row>
    <row r="21" spans="2:4" ht="12.75">
      <c r="B21" s="144" t="s">
        <v>57</v>
      </c>
      <c r="C21" s="194" t="s">
        <v>40</v>
      </c>
      <c r="D21" s="201" t="s">
        <v>95</v>
      </c>
    </row>
    <row r="22" spans="1:12" ht="12.75">
      <c r="A22" s="71" t="str">
        <f>A5</f>
        <v>Здания и сооружения</v>
      </c>
      <c r="B22" s="194">
        <f>Q5</f>
        <v>0</v>
      </c>
      <c r="C22" s="194">
        <f>B22/Исх!$C$18</f>
        <v>0</v>
      </c>
      <c r="D22" s="163">
        <f>B22/Исх!$C$5</f>
        <v>0</v>
      </c>
      <c r="L22" s="168"/>
    </row>
    <row r="23" spans="1:12" ht="12.75">
      <c r="A23" s="71" t="str">
        <f>A8</f>
        <v>Оборудование</v>
      </c>
      <c r="B23" s="194">
        <f>Q8</f>
        <v>1836.5133600000001</v>
      </c>
      <c r="C23" s="194">
        <f>B23/Исх!$C$18</f>
        <v>1836.5133600000001</v>
      </c>
      <c r="D23" s="163">
        <f>B23/Исх!$C$5</f>
        <v>12.11900065989178</v>
      </c>
      <c r="L23" s="168"/>
    </row>
    <row r="24" spans="1:12" ht="12.75">
      <c r="A24" s="71" t="str">
        <f>A16</f>
        <v>Прочие ОС</v>
      </c>
      <c r="B24" s="194">
        <f>Q16</f>
        <v>72</v>
      </c>
      <c r="C24" s="194">
        <f>B24/Исх!$C$18</f>
        <v>72</v>
      </c>
      <c r="D24" s="163">
        <f>B24/Исх!$C$5</f>
        <v>0.4751220799788835</v>
      </c>
      <c r="L24" s="168"/>
    </row>
    <row r="25" spans="1:4" ht="12.75">
      <c r="A25" s="61" t="s">
        <v>86</v>
      </c>
      <c r="B25" s="202">
        <f>SUM(B22:B24)</f>
        <v>1908.5133600000001</v>
      </c>
      <c r="C25" s="202">
        <f>SUM(C22:C24)</f>
        <v>1908.5133600000001</v>
      </c>
      <c r="D25" s="264">
        <f>SUM(D22:D24)</f>
        <v>12.594122739870663</v>
      </c>
    </row>
  </sheetData>
  <sheetProtection/>
  <mergeCells count="5">
    <mergeCell ref="E3:P3"/>
    <mergeCell ref="A3:A4"/>
    <mergeCell ref="B3:B4"/>
    <mergeCell ref="C3:C4"/>
    <mergeCell ref="D3:D4"/>
  </mergeCells>
  <hyperlinks>
    <hyperlink ref="R9" r:id="rId1" display="http://www.d-servis.ru/prices"/>
  </hyperlinks>
  <printOptions/>
  <pageMargins left="0.48" right="0.2362204724409449" top="0.69" bottom="0.2755905511811024" header="0.52" footer="0.1968503937007874"/>
  <pageSetup horizontalDpi="600" verticalDpi="600" orientation="landscape" paperSize="9" scale="96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38.625" style="71" customWidth="1"/>
    <col min="2" max="2" width="9.875" style="71" hidden="1" customWidth="1"/>
    <col min="3" max="16384" width="9.125" style="71" customWidth="1"/>
  </cols>
  <sheetData>
    <row r="1" spans="1:6" ht="12.75">
      <c r="A1" s="61" t="s">
        <v>72</v>
      </c>
      <c r="B1" s="61"/>
      <c r="C1" s="61"/>
      <c r="D1" s="61"/>
      <c r="E1" s="61"/>
      <c r="F1" s="61"/>
    </row>
    <row r="2" spans="1:9" ht="12.75">
      <c r="A2" s="203"/>
      <c r="B2" s="203"/>
      <c r="C2" s="203"/>
      <c r="D2" s="203"/>
      <c r="E2" s="203"/>
      <c r="F2" s="203"/>
      <c r="I2" s="144" t="str">
        <f>Исх!$C$9</f>
        <v>тыс.тг.</v>
      </c>
    </row>
    <row r="3" spans="1:9" ht="12.75">
      <c r="A3" s="213" t="s">
        <v>8</v>
      </c>
      <c r="B3" s="220">
        <v>2013</v>
      </c>
      <c r="C3" s="220">
        <f aca="true" t="shared" si="0" ref="C3:I3">B3+1</f>
        <v>2014</v>
      </c>
      <c r="D3" s="220">
        <f t="shared" si="0"/>
        <v>2015</v>
      </c>
      <c r="E3" s="220">
        <f t="shared" si="0"/>
        <v>2016</v>
      </c>
      <c r="F3" s="220">
        <f t="shared" si="0"/>
        <v>2017</v>
      </c>
      <c r="G3" s="220">
        <f t="shared" si="0"/>
        <v>2018</v>
      </c>
      <c r="H3" s="220">
        <f t="shared" si="0"/>
        <v>2019</v>
      </c>
      <c r="I3" s="220">
        <f t="shared" si="0"/>
        <v>2020</v>
      </c>
    </row>
    <row r="4" spans="1:9" ht="12.75">
      <c r="A4" s="204" t="s">
        <v>316</v>
      </c>
      <c r="B4" s="205">
        <f>'2-ф2'!P5</f>
        <v>0</v>
      </c>
      <c r="C4" s="205">
        <f>'2-ф2'!AC5</f>
        <v>6300</v>
      </c>
      <c r="D4" s="205">
        <f>'2-ф2'!AD5</f>
        <v>7560</v>
      </c>
      <c r="E4" s="205">
        <f>'2-ф2'!AE5</f>
        <v>8064</v>
      </c>
      <c r="F4" s="205">
        <f>'2-ф2'!AF5</f>
        <v>9072</v>
      </c>
      <c r="G4" s="205">
        <f>'2-ф2'!AG5</f>
        <v>10080</v>
      </c>
      <c r="H4" s="205">
        <f>'2-ф2'!AH5</f>
        <v>10080</v>
      </c>
      <c r="I4" s="205">
        <f>'2-ф2'!AI5</f>
        <v>10080</v>
      </c>
    </row>
    <row r="5" spans="1:9" ht="12.75">
      <c r="A5" s="204" t="s">
        <v>87</v>
      </c>
      <c r="B5" s="206">
        <f aca="true" t="shared" si="1" ref="B5:H5">B4-B6</f>
        <v>-18.926090820000002</v>
      </c>
      <c r="C5" s="206">
        <f t="shared" si="1"/>
        <v>1035.1348029574947</v>
      </c>
      <c r="D5" s="206">
        <f t="shared" si="1"/>
        <v>2256.8571074583297</v>
      </c>
      <c r="E5" s="206">
        <f t="shared" si="1"/>
        <v>2769.5626076395492</v>
      </c>
      <c r="F5" s="206">
        <f t="shared" si="1"/>
        <v>3708.490836</v>
      </c>
      <c r="G5" s="206">
        <f t="shared" si="1"/>
        <v>4643.5234439999995</v>
      </c>
      <c r="H5" s="206">
        <f t="shared" si="1"/>
        <v>4643.5234439999995</v>
      </c>
      <c r="I5" s="206">
        <f>I4-I6</f>
        <v>4643.5234439999995</v>
      </c>
    </row>
    <row r="6" spans="1:9" ht="12.75">
      <c r="A6" s="204" t="s">
        <v>300</v>
      </c>
      <c r="B6" s="207">
        <f aca="true" t="shared" si="2" ref="B6:H6">SUM(B7:B8)</f>
        <v>18.926090820000002</v>
      </c>
      <c r="C6" s="207">
        <f t="shared" si="2"/>
        <v>5264.865197042505</v>
      </c>
      <c r="D6" s="207">
        <f t="shared" si="2"/>
        <v>5303.14289254167</v>
      </c>
      <c r="E6" s="207">
        <f t="shared" si="2"/>
        <v>5294.437392360451</v>
      </c>
      <c r="F6" s="207">
        <f t="shared" si="2"/>
        <v>5363.509164</v>
      </c>
      <c r="G6" s="207">
        <f t="shared" si="2"/>
        <v>5436.4765560000005</v>
      </c>
      <c r="H6" s="207">
        <f t="shared" si="2"/>
        <v>5436.4765560000005</v>
      </c>
      <c r="I6" s="207">
        <f>SUM(I7:I8)</f>
        <v>5436.4765560000005</v>
      </c>
    </row>
    <row r="7" spans="1:9" ht="12.75">
      <c r="A7" s="204" t="s">
        <v>88</v>
      </c>
      <c r="B7" s="205">
        <f>'2-ф2'!P14+'2-ф2'!P13+'2-ф2'!P12</f>
        <v>18.926090820000002</v>
      </c>
      <c r="C7" s="205">
        <f>'2-ф2'!AC14+'2-ф2'!AC13+'2-ф2'!AC12</f>
        <v>4808.8189970425055</v>
      </c>
      <c r="D7" s="205">
        <f>'2-ф2'!AD14+'2-ф2'!AD13+'2-ф2'!AD12</f>
        <v>4755.88745254167</v>
      </c>
      <c r="E7" s="205">
        <f>'2-ф2'!AE14+'2-ф2'!AE13+'2-ф2'!AE12</f>
        <v>4710.698256360451</v>
      </c>
      <c r="F7" s="205">
        <f>'2-ф2'!AF14+'2-ф2'!AF13+'2-ф2'!AF12</f>
        <v>4706.802636</v>
      </c>
      <c r="G7" s="205">
        <f>'2-ф2'!AG14+'2-ф2'!AG13+'2-ф2'!AG12</f>
        <v>4706.802636</v>
      </c>
      <c r="H7" s="205">
        <f>'2-ф2'!AH14+'2-ф2'!AH13+'2-ф2'!AH12</f>
        <v>4706.802636</v>
      </c>
      <c r="I7" s="205">
        <f>'2-ф2'!AI14+'2-ф2'!AI13+'2-ф2'!AI12</f>
        <v>4706.802636</v>
      </c>
    </row>
    <row r="8" spans="1:9" ht="12.75">
      <c r="A8" s="204" t="s">
        <v>89</v>
      </c>
      <c r="B8" s="205">
        <f>'2-ф2'!P8</f>
        <v>0</v>
      </c>
      <c r="C8" s="205">
        <f>'2-ф2'!AC8</f>
        <v>456.0462</v>
      </c>
      <c r="D8" s="205">
        <f>'2-ф2'!AD8</f>
        <v>547.2554399999999</v>
      </c>
      <c r="E8" s="205">
        <f>'2-ф2'!AE8</f>
        <v>583.7391359999999</v>
      </c>
      <c r="F8" s="205">
        <f>'2-ф2'!AF8</f>
        <v>656.7065279999999</v>
      </c>
      <c r="G8" s="205">
        <f>'2-ф2'!AG8</f>
        <v>729.67392</v>
      </c>
      <c r="H8" s="205">
        <f>'2-ф2'!AH8</f>
        <v>729.67392</v>
      </c>
      <c r="I8" s="205">
        <f>'2-ф2'!AI8</f>
        <v>729.67392</v>
      </c>
    </row>
    <row r="9" spans="1:9" ht="12.75">
      <c r="A9" s="204" t="s">
        <v>90</v>
      </c>
      <c r="B9" s="207">
        <f aca="true" t="shared" si="3" ref="B9:H9">B4-B8</f>
        <v>0</v>
      </c>
      <c r="C9" s="207">
        <f t="shared" si="3"/>
        <v>5843.9538</v>
      </c>
      <c r="D9" s="207">
        <f t="shared" si="3"/>
        <v>7012.74456</v>
      </c>
      <c r="E9" s="207">
        <f t="shared" si="3"/>
        <v>7480.260864</v>
      </c>
      <c r="F9" s="207">
        <f t="shared" si="3"/>
        <v>8415.293472</v>
      </c>
      <c r="G9" s="207">
        <f t="shared" si="3"/>
        <v>9350.32608</v>
      </c>
      <c r="H9" s="207">
        <f t="shared" si="3"/>
        <v>9350.32608</v>
      </c>
      <c r="I9" s="207">
        <f>I4-I8</f>
        <v>9350.32608</v>
      </c>
    </row>
    <row r="10" spans="1:9" ht="12.75">
      <c r="A10" s="204" t="s">
        <v>73</v>
      </c>
      <c r="B10" s="208" t="e">
        <f aca="true" t="shared" si="4" ref="B10:H10">B9/B4</f>
        <v>#DIV/0!</v>
      </c>
      <c r="C10" s="208">
        <f t="shared" si="4"/>
        <v>0.9276117142857143</v>
      </c>
      <c r="D10" s="208">
        <f t="shared" si="4"/>
        <v>0.9276117142857143</v>
      </c>
      <c r="E10" s="208">
        <f t="shared" si="4"/>
        <v>0.9276117142857143</v>
      </c>
      <c r="F10" s="208">
        <f t="shared" si="4"/>
        <v>0.9276117142857142</v>
      </c>
      <c r="G10" s="208">
        <f t="shared" si="4"/>
        <v>0.9276117142857143</v>
      </c>
      <c r="H10" s="208">
        <f t="shared" si="4"/>
        <v>0.9276117142857143</v>
      </c>
      <c r="I10" s="208">
        <f>I9/I4</f>
        <v>0.9276117142857143</v>
      </c>
    </row>
    <row r="11" spans="1:9" ht="12.75">
      <c r="A11" s="204" t="s">
        <v>91</v>
      </c>
      <c r="B11" s="207" t="e">
        <f aca="true" t="shared" si="5" ref="B11:H11">B7/B10</f>
        <v>#DIV/0!</v>
      </c>
      <c r="C11" s="207">
        <f t="shared" si="5"/>
        <v>5184.086103036575</v>
      </c>
      <c r="D11" s="207">
        <f t="shared" si="5"/>
        <v>5127.023925311067</v>
      </c>
      <c r="E11" s="207">
        <f t="shared" si="5"/>
        <v>5078.308287630685</v>
      </c>
      <c r="F11" s="207">
        <f t="shared" si="5"/>
        <v>5074.108663692722</v>
      </c>
      <c r="G11" s="207">
        <f t="shared" si="5"/>
        <v>5074.108663692721</v>
      </c>
      <c r="H11" s="207">
        <f t="shared" si="5"/>
        <v>5074.108663692721</v>
      </c>
      <c r="I11" s="207">
        <f>I7/I10</f>
        <v>5074.108663692721</v>
      </c>
    </row>
    <row r="12" spans="1:9" ht="25.5">
      <c r="A12" s="209" t="s">
        <v>74</v>
      </c>
      <c r="B12" s="210" t="e">
        <f aca="true" t="shared" si="6" ref="B12:H12">(B4-B11)/B4</f>
        <v>#DIV/0!</v>
      </c>
      <c r="C12" s="210">
        <f t="shared" si="6"/>
        <v>0.17712918999419444</v>
      </c>
      <c r="D12" s="210">
        <f t="shared" si="6"/>
        <v>0.32182223210171074</v>
      </c>
      <c r="E12" s="210">
        <f t="shared" si="6"/>
        <v>0.3702494682997662</v>
      </c>
      <c r="F12" s="210">
        <f t="shared" si="6"/>
        <v>0.44068467110970877</v>
      </c>
      <c r="G12" s="210">
        <f t="shared" si="6"/>
        <v>0.49661620399873796</v>
      </c>
      <c r="H12" s="210">
        <f t="shared" si="6"/>
        <v>0.49661620399873796</v>
      </c>
      <c r="I12" s="210">
        <f>(I4-I11)/I4</f>
        <v>0.49661620399873796</v>
      </c>
    </row>
    <row r="13" spans="1:9" ht="12.75">
      <c r="A13" s="204" t="s">
        <v>101</v>
      </c>
      <c r="B13" s="211" t="e">
        <f aca="true" t="shared" si="7" ref="B13:H13">100%-B12</f>
        <v>#DIV/0!</v>
      </c>
      <c r="C13" s="211">
        <f t="shared" si="7"/>
        <v>0.8228708100058055</v>
      </c>
      <c r="D13" s="211">
        <f t="shared" si="7"/>
        <v>0.6781777678982892</v>
      </c>
      <c r="E13" s="211">
        <f t="shared" si="7"/>
        <v>0.6297505317002339</v>
      </c>
      <c r="F13" s="211">
        <f t="shared" si="7"/>
        <v>0.5593153288902912</v>
      </c>
      <c r="G13" s="211">
        <f t="shared" si="7"/>
        <v>0.503383796001262</v>
      </c>
      <c r="H13" s="211">
        <f t="shared" si="7"/>
        <v>0.503383796001262</v>
      </c>
      <c r="I13" s="211">
        <f>100%-I12</f>
        <v>0.503383796001262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I60"/>
  <sheetViews>
    <sheetView showGridLines="0" zoomScalePageLayoutView="0" workbookViewId="0" topLeftCell="A1">
      <pane ySplit="4" topLeftCell="A5" activePane="bottomLeft" state="frozen"/>
      <selection pane="topLeft" activeCell="A34" sqref="A34"/>
      <selection pane="bottomLeft" activeCell="A22" sqref="A22"/>
    </sheetView>
  </sheetViews>
  <sheetFormatPr defaultColWidth="9.00390625" defaultRowHeight="12.75"/>
  <cols>
    <col min="1" max="1" width="48.75390625" style="235" customWidth="1"/>
    <col min="2" max="2" width="16.875" style="236" customWidth="1"/>
    <col min="3" max="3" width="14.00390625" style="237" customWidth="1"/>
    <col min="4" max="4" width="11.00390625" style="237" customWidth="1"/>
    <col min="5" max="5" width="9.125" style="237" customWidth="1"/>
    <col min="6" max="6" width="8.375" style="237" customWidth="1"/>
    <col min="7" max="16384" width="9.125" style="237" customWidth="1"/>
  </cols>
  <sheetData>
    <row r="1" ht="13.5" customHeight="1">
      <c r="A1" s="252" t="s">
        <v>206</v>
      </c>
    </row>
    <row r="2" ht="13.5" customHeight="1">
      <c r="A2" s="252" t="s">
        <v>250</v>
      </c>
    </row>
    <row r="3" ht="13.5" customHeight="1"/>
    <row r="4" spans="1:3" ht="13.5" customHeight="1">
      <c r="A4" s="238" t="s">
        <v>244</v>
      </c>
      <c r="B4" s="239" t="s">
        <v>154</v>
      </c>
      <c r="C4" s="239" t="s">
        <v>168</v>
      </c>
    </row>
    <row r="5" spans="1:3" ht="13.5" customHeight="1">
      <c r="A5" s="240" t="s">
        <v>167</v>
      </c>
      <c r="B5" s="241">
        <f>'1-Ф3'!B21</f>
        <v>1908.5133600000001</v>
      </c>
      <c r="C5" s="247">
        <f>B5/$B$7</f>
        <v>0.9843195511818962</v>
      </c>
    </row>
    <row r="6" spans="1:3" ht="13.5" customHeight="1">
      <c r="A6" s="240" t="s">
        <v>166</v>
      </c>
      <c r="B6" s="241">
        <f>'1-Ф3'!B27-'1-Ф3'!B21</f>
        <v>30.403080000000045</v>
      </c>
      <c r="C6" s="247">
        <f>B6/$B$7</f>
        <v>0.015680448818103807</v>
      </c>
    </row>
    <row r="7" spans="1:3" ht="13.5" customHeight="1">
      <c r="A7" s="242" t="s">
        <v>86</v>
      </c>
      <c r="B7" s="243">
        <f>SUM(B5:B6)</f>
        <v>1938.9164400000002</v>
      </c>
      <c r="C7" s="248">
        <f>SUM(C5:C6)</f>
        <v>1</v>
      </c>
    </row>
    <row r="8" spans="1:2" ht="13.5" customHeight="1">
      <c r="A8" s="244"/>
      <c r="B8" s="245"/>
    </row>
    <row r="9" spans="1:4" ht="13.5" customHeight="1">
      <c r="A9" s="238" t="s">
        <v>192</v>
      </c>
      <c r="B9" s="239" t="s">
        <v>154</v>
      </c>
      <c r="C9" s="239" t="s">
        <v>8</v>
      </c>
      <c r="D9" s="239" t="s">
        <v>168</v>
      </c>
    </row>
    <row r="10" spans="1:7" ht="13.5" customHeight="1">
      <c r="A10" s="240" t="s">
        <v>194</v>
      </c>
      <c r="B10" s="241">
        <f>'1-Ф3'!B28</f>
        <v>316.680084</v>
      </c>
      <c r="C10" s="246" t="s">
        <v>306</v>
      </c>
      <c r="D10" s="247">
        <f>B10/$B$12</f>
        <v>0.16332838149538823</v>
      </c>
      <c r="F10" s="258"/>
      <c r="G10" s="258"/>
    </row>
    <row r="11" spans="1:7" ht="12.75">
      <c r="A11" s="240" t="s">
        <v>102</v>
      </c>
      <c r="B11" s="241">
        <f>'1-Ф3'!B29</f>
        <v>1622.2363560000001</v>
      </c>
      <c r="C11" s="257" t="s">
        <v>245</v>
      </c>
      <c r="D11" s="247">
        <f>B11/$B$12</f>
        <v>0.8366716185046118</v>
      </c>
      <c r="F11" s="258"/>
      <c r="G11" s="258"/>
    </row>
    <row r="12" spans="1:4" ht="12.75">
      <c r="A12" s="242" t="s">
        <v>86</v>
      </c>
      <c r="B12" s="243">
        <f>SUM(B10:B11)</f>
        <v>1938.9164400000002</v>
      </c>
      <c r="C12" s="243"/>
      <c r="D12" s="248">
        <f>SUM(D10:D11)</f>
        <v>1</v>
      </c>
    </row>
    <row r="13" spans="1:2" ht="12.75">
      <c r="A13" s="249"/>
      <c r="B13" s="250"/>
    </row>
    <row r="14" spans="1:2" ht="12.75">
      <c r="A14" s="238" t="s">
        <v>148</v>
      </c>
      <c r="B14" s="239" t="s">
        <v>7</v>
      </c>
    </row>
    <row r="15" spans="1:2" ht="12.75">
      <c r="A15" s="240" t="s">
        <v>169</v>
      </c>
      <c r="B15" s="241" t="s">
        <v>170</v>
      </c>
    </row>
    <row r="16" spans="1:2" ht="12.75">
      <c r="A16" s="240" t="s">
        <v>171</v>
      </c>
      <c r="B16" s="247">
        <f>Исх!C34</f>
        <v>0.07</v>
      </c>
    </row>
    <row r="17" spans="1:2" ht="12.75">
      <c r="A17" s="240" t="s">
        <v>191</v>
      </c>
      <c r="B17" s="251">
        <f>Исх!C35</f>
        <v>2.5</v>
      </c>
    </row>
    <row r="18" spans="1:2" ht="12.75">
      <c r="A18" s="240" t="s">
        <v>172</v>
      </c>
      <c r="B18" s="241" t="s">
        <v>173</v>
      </c>
    </row>
    <row r="19" spans="1:2" ht="12.75">
      <c r="A19" s="240" t="s">
        <v>175</v>
      </c>
      <c r="B19" s="241">
        <f>Исх!C36</f>
        <v>5</v>
      </c>
    </row>
    <row r="20" spans="1:2" ht="12.75">
      <c r="A20" s="240" t="s">
        <v>176</v>
      </c>
      <c r="B20" s="241">
        <f>Исх!C37</f>
        <v>5</v>
      </c>
    </row>
    <row r="21" spans="1:2" ht="12.75">
      <c r="A21" s="240" t="s">
        <v>314</v>
      </c>
      <c r="B21" s="241" t="s">
        <v>174</v>
      </c>
    </row>
    <row r="23" spans="1:9" ht="12.75">
      <c r="A23" s="255" t="s">
        <v>195</v>
      </c>
      <c r="B23" s="239">
        <v>2013</v>
      </c>
      <c r="C23" s="239">
        <v>2014</v>
      </c>
      <c r="D23" s="239">
        <v>2015</v>
      </c>
      <c r="E23" s="239">
        <v>2016</v>
      </c>
      <c r="F23" s="239">
        <v>2017</v>
      </c>
      <c r="G23" s="239">
        <v>2018</v>
      </c>
      <c r="H23" s="239">
        <v>2019</v>
      </c>
      <c r="I23" s="239">
        <v>2020</v>
      </c>
    </row>
    <row r="24" spans="1:9" ht="12.75">
      <c r="A24" s="262" t="s">
        <v>207</v>
      </c>
      <c r="B24" s="241">
        <f>'2-ф2'!P5</f>
        <v>0</v>
      </c>
      <c r="C24" s="241">
        <f>'2-ф2'!AC5</f>
        <v>6300</v>
      </c>
      <c r="D24" s="241">
        <f>'2-ф2'!AD5</f>
        <v>7560</v>
      </c>
      <c r="E24" s="241">
        <f>'2-ф2'!AE5</f>
        <v>8064</v>
      </c>
      <c r="F24" s="241">
        <f>'2-ф2'!AF5</f>
        <v>9072</v>
      </c>
      <c r="G24" s="241">
        <f>'2-ф2'!AG5</f>
        <v>10080</v>
      </c>
      <c r="H24" s="241">
        <f>'2-ф2'!AH5</f>
        <v>10080</v>
      </c>
      <c r="I24" s="241">
        <f>'2-ф2'!AI5</f>
        <v>10080</v>
      </c>
    </row>
    <row r="25" spans="1:9" ht="12.75">
      <c r="A25" s="262" t="s">
        <v>208</v>
      </c>
      <c r="B25" s="241">
        <f>'2-ф2'!P11</f>
        <v>0</v>
      </c>
      <c r="C25" s="241">
        <f>'2-ф2'!AC11</f>
        <v>5843.9538</v>
      </c>
      <c r="D25" s="241">
        <f>'2-ф2'!AD11</f>
        <v>7012.74456</v>
      </c>
      <c r="E25" s="241">
        <f>'2-ф2'!AE11</f>
        <v>7480.260864</v>
      </c>
      <c r="F25" s="241">
        <f>'2-ф2'!AF11</f>
        <v>8415.293472</v>
      </c>
      <c r="G25" s="241">
        <f>'2-ф2'!AG11</f>
        <v>9350.32608</v>
      </c>
      <c r="H25" s="241">
        <f>'2-ф2'!AH11</f>
        <v>9350.32608</v>
      </c>
      <c r="I25" s="241">
        <f>'2-ф2'!AI11</f>
        <v>9350.32608</v>
      </c>
    </row>
    <row r="26" spans="1:9" ht="12.75">
      <c r="A26" s="262" t="s">
        <v>209</v>
      </c>
      <c r="B26" s="241">
        <f>'2-ф2'!P17</f>
        <v>-18.926090820000002</v>
      </c>
      <c r="C26" s="241">
        <f>'2-ф2'!AC17</f>
        <v>846.1348029574949</v>
      </c>
      <c r="D26" s="241">
        <f>'2-ф2'!AD17</f>
        <v>2030.0571074583297</v>
      </c>
      <c r="E26" s="241">
        <f>'2-ф2'!AE17</f>
        <v>2527.642607639549</v>
      </c>
      <c r="F26" s="241">
        <f>'2-ф2'!AF17</f>
        <v>3436.330835999999</v>
      </c>
      <c r="G26" s="241">
        <f>'2-ф2'!AG17</f>
        <v>4341.123444000001</v>
      </c>
      <c r="H26" s="241">
        <f>'2-ф2'!AH17</f>
        <v>4341.123444000001</v>
      </c>
      <c r="I26" s="241">
        <f>'2-ф2'!AI17</f>
        <v>4341.123444000001</v>
      </c>
    </row>
    <row r="27" spans="1:9" ht="12.75">
      <c r="A27" s="262" t="s">
        <v>210</v>
      </c>
      <c r="B27" s="247">
        <v>0</v>
      </c>
      <c r="C27" s="247">
        <f aca="true" t="shared" si="0" ref="C27:I27">C26/C24</f>
        <v>0.13430711158055475</v>
      </c>
      <c r="D27" s="247">
        <f t="shared" si="0"/>
        <v>0.268526072415123</v>
      </c>
      <c r="E27" s="247">
        <f t="shared" si="0"/>
        <v>0.3134477440029203</v>
      </c>
      <c r="F27" s="247">
        <f t="shared" si="0"/>
        <v>0.37878426322751313</v>
      </c>
      <c r="G27" s="247">
        <f t="shared" si="0"/>
        <v>0.43066700833333343</v>
      </c>
      <c r="H27" s="247">
        <f t="shared" si="0"/>
        <v>0.43066700833333343</v>
      </c>
      <c r="I27" s="247">
        <f t="shared" si="0"/>
        <v>0.43066700833333343</v>
      </c>
    </row>
    <row r="28" spans="1:9" ht="12.75">
      <c r="A28" s="263" t="s">
        <v>211</v>
      </c>
      <c r="B28" s="241">
        <f>'1-Ф3'!P34</f>
        <v>0</v>
      </c>
      <c r="C28" s="241">
        <f>'1-Ф3'!AC34</f>
        <v>466.13670528949467</v>
      </c>
      <c r="D28" s="241">
        <f>'1-Ф3'!AD34</f>
        <v>1421.3236835943294</v>
      </c>
      <c r="E28" s="241">
        <f>'1-Ф3'!AE34</f>
        <v>2453.165690351549</v>
      </c>
      <c r="F28" s="241">
        <f>'1-Ф3'!AF34</f>
        <v>3628.982172</v>
      </c>
      <c r="G28" s="241">
        <f>'1-Ф3'!AG34</f>
        <v>4533.77478</v>
      </c>
      <c r="H28" s="241">
        <f>'1-Ф3'!AH34</f>
        <v>4533.77478</v>
      </c>
      <c r="I28" s="241">
        <f>'1-Ф3'!AI34</f>
        <v>4533.77478</v>
      </c>
    </row>
    <row r="30" spans="1:3" ht="12.75">
      <c r="A30" s="255" t="s">
        <v>307</v>
      </c>
      <c r="B30" s="293" t="s">
        <v>308</v>
      </c>
      <c r="C30" s="265"/>
    </row>
    <row r="31" spans="1:3" ht="12.75">
      <c r="A31" s="240" t="s">
        <v>177</v>
      </c>
      <c r="B31" s="247">
        <f>'1-Ф3'!AL48</f>
        <v>0.415892772087463</v>
      </c>
      <c r="C31" s="265"/>
    </row>
    <row r="32" spans="1:3" ht="12.75">
      <c r="A32" s="240" t="s">
        <v>178</v>
      </c>
      <c r="B32" s="241">
        <f>'1-Ф3'!AL46</f>
        <v>1038.8096604315103</v>
      </c>
      <c r="C32" s="265"/>
    </row>
    <row r="33" spans="1:3" ht="12.75">
      <c r="A33" s="240" t="s">
        <v>246</v>
      </c>
      <c r="B33" s="251">
        <f>'1-Ф3'!AL47</f>
        <v>1.5732719129771864</v>
      </c>
      <c r="C33" s="265"/>
    </row>
    <row r="34" spans="1:3" ht="12.75">
      <c r="A34" s="240" t="s">
        <v>179</v>
      </c>
      <c r="B34" s="305">
        <f>'1-Ф3'!B49</f>
        <v>1.3513145117791223</v>
      </c>
      <c r="C34" s="265"/>
    </row>
    <row r="35" spans="1:3" ht="12.75">
      <c r="A35" s="240" t="s">
        <v>180</v>
      </c>
      <c r="B35" s="305">
        <f>'1-Ф3'!B50</f>
        <v>1.43983172885899</v>
      </c>
      <c r="C35" s="265"/>
    </row>
    <row r="37" ht="12.75">
      <c r="A37" s="252" t="s">
        <v>247</v>
      </c>
    </row>
    <row r="38" spans="1:9" ht="12.75">
      <c r="A38" s="294" t="s">
        <v>26</v>
      </c>
      <c r="B38" s="239">
        <v>2013</v>
      </c>
      <c r="C38" s="239">
        <f>B38+1</f>
        <v>2014</v>
      </c>
      <c r="D38" s="239">
        <f aca="true" t="shared" si="1" ref="D38:I38">C38+1</f>
        <v>2015</v>
      </c>
      <c r="E38" s="239">
        <f t="shared" si="1"/>
        <v>2016</v>
      </c>
      <c r="F38" s="239">
        <f t="shared" si="1"/>
        <v>2017</v>
      </c>
      <c r="G38" s="239">
        <f t="shared" si="1"/>
        <v>2018</v>
      </c>
      <c r="H38" s="239">
        <f t="shared" si="1"/>
        <v>2019</v>
      </c>
      <c r="I38" s="239">
        <f t="shared" si="1"/>
        <v>2020</v>
      </c>
    </row>
    <row r="39" spans="1:9" ht="12.75">
      <c r="A39" s="295" t="str">
        <f>Услуги!A5</f>
        <v>% загрузки</v>
      </c>
      <c r="B39" s="296">
        <f>Услуги!P5</f>
        <v>0</v>
      </c>
      <c r="C39" s="296">
        <f>Услуги!AC5</f>
        <v>0.6250000000000001</v>
      </c>
      <c r="D39" s="296">
        <f>Услуги!AD5</f>
        <v>0.75</v>
      </c>
      <c r="E39" s="296">
        <f>Услуги!AE5</f>
        <v>0.8</v>
      </c>
      <c r="F39" s="296">
        <f>Услуги!AF5</f>
        <v>0.9</v>
      </c>
      <c r="G39" s="296">
        <f>Услуги!AG5</f>
        <v>1</v>
      </c>
      <c r="H39" s="296">
        <f>Услуги!AH5</f>
        <v>1</v>
      </c>
      <c r="I39" s="296">
        <f>Услуги!AI5</f>
        <v>1</v>
      </c>
    </row>
    <row r="40" spans="1:9" ht="12.75">
      <c r="A40" s="240" t="str">
        <f>Услуги!A6</f>
        <v>Стирка и глажка белья</v>
      </c>
      <c r="B40" s="241">
        <f>Услуги!P6</f>
        <v>0</v>
      </c>
      <c r="C40" s="241">
        <f>Услуги!AC6</f>
        <v>18000</v>
      </c>
      <c r="D40" s="241">
        <f>Услуги!AD6</f>
        <v>21600</v>
      </c>
      <c r="E40" s="241">
        <f>Услуги!AE6</f>
        <v>23040</v>
      </c>
      <c r="F40" s="241">
        <f>Услуги!AF6</f>
        <v>25920</v>
      </c>
      <c r="G40" s="241">
        <f>Услуги!AG6</f>
        <v>28800</v>
      </c>
      <c r="H40" s="241">
        <f>Услуги!AH6</f>
        <v>28800</v>
      </c>
      <c r="I40" s="241">
        <f>Услуги!AI6</f>
        <v>28800</v>
      </c>
    </row>
    <row r="42" ht="12.75">
      <c r="A42" s="252" t="s">
        <v>181</v>
      </c>
    </row>
    <row r="43" spans="1:6" ht="12.75">
      <c r="A43" s="340" t="s">
        <v>214</v>
      </c>
      <c r="B43" s="342" t="s">
        <v>200</v>
      </c>
      <c r="C43" s="343"/>
      <c r="D43" s="343"/>
      <c r="E43" s="344"/>
      <c r="F43" s="239" t="s">
        <v>201</v>
      </c>
    </row>
    <row r="44" spans="1:6" ht="12.75">
      <c r="A44" s="341"/>
      <c r="B44" s="239" t="s">
        <v>240</v>
      </c>
      <c r="C44" s="239" t="s">
        <v>241</v>
      </c>
      <c r="D44" s="239" t="s">
        <v>242</v>
      </c>
      <c r="E44" s="239" t="s">
        <v>243</v>
      </c>
      <c r="F44" s="239" t="s">
        <v>239</v>
      </c>
    </row>
    <row r="45" spans="1:6" ht="12.75">
      <c r="A45" s="253" t="s">
        <v>215</v>
      </c>
      <c r="B45" s="282"/>
      <c r="C45" s="247"/>
      <c r="D45" s="247"/>
      <c r="E45" s="247"/>
      <c r="F45" s="247"/>
    </row>
    <row r="46" spans="1:6" ht="12.75">
      <c r="A46" s="240" t="s">
        <v>182</v>
      </c>
      <c r="B46" s="254"/>
      <c r="C46" s="254"/>
      <c r="D46" s="241"/>
      <c r="E46" s="247"/>
      <c r="F46" s="247"/>
    </row>
    <row r="47" spans="1:6" ht="12.75">
      <c r="A47" s="240" t="s">
        <v>183</v>
      </c>
      <c r="B47" s="241"/>
      <c r="C47" s="254"/>
      <c r="D47" s="241"/>
      <c r="E47" s="247"/>
      <c r="F47" s="247"/>
    </row>
    <row r="48" spans="1:6" ht="12.75">
      <c r="A48" s="240" t="s">
        <v>309</v>
      </c>
      <c r="B48" s="241"/>
      <c r="C48" s="254"/>
      <c r="D48" s="254"/>
      <c r="E48" s="254"/>
      <c r="F48" s="247"/>
    </row>
    <row r="49" spans="1:6" ht="12.75">
      <c r="A49" s="240" t="s">
        <v>310</v>
      </c>
      <c r="B49" s="241"/>
      <c r="C49" s="241"/>
      <c r="D49" s="241"/>
      <c r="E49" s="254"/>
      <c r="F49" s="247"/>
    </row>
    <row r="50" spans="1:6" ht="12.75">
      <c r="A50" s="240" t="s">
        <v>249</v>
      </c>
      <c r="B50" s="241"/>
      <c r="C50" s="241"/>
      <c r="D50" s="241"/>
      <c r="E50" s="254"/>
      <c r="F50" s="247"/>
    </row>
    <row r="51" spans="1:6" ht="12.75">
      <c r="A51" s="240" t="s">
        <v>311</v>
      </c>
      <c r="B51" s="241"/>
      <c r="C51" s="241"/>
      <c r="D51" s="241"/>
      <c r="E51" s="247"/>
      <c r="F51" s="254"/>
    </row>
    <row r="53" ht="12.75">
      <c r="A53" s="252" t="s">
        <v>248</v>
      </c>
    </row>
    <row r="55" spans="1:2" ht="12.75">
      <c r="A55" s="255" t="s">
        <v>187</v>
      </c>
      <c r="B55" s="256" t="s">
        <v>188</v>
      </c>
    </row>
    <row r="56" spans="1:2" ht="12.75" hidden="1">
      <c r="A56" s="240" t="s">
        <v>38</v>
      </c>
      <c r="B56" s="241">
        <f>'1-Ф3'!B17</f>
        <v>0</v>
      </c>
    </row>
    <row r="57" spans="1:2" ht="12.75">
      <c r="A57" s="240" t="s">
        <v>237</v>
      </c>
      <c r="B57" s="241">
        <f>'1-Ф3'!B16</f>
        <v>1837.08</v>
      </c>
    </row>
    <row r="58" spans="1:2" ht="12.75">
      <c r="A58" s="240" t="s">
        <v>186</v>
      </c>
      <c r="B58" s="241">
        <f>(ФОТ!F20+ФОТ!G20+ФОТ!H20+ФОТ!I20)*12*7</f>
        <v>3696.0840000000003</v>
      </c>
    </row>
    <row r="59" spans="1:2" ht="12.75">
      <c r="A59" s="240" t="s">
        <v>203</v>
      </c>
      <c r="B59" s="241">
        <f>SUM(Пост!C20:I20)*9</f>
        <v>63</v>
      </c>
    </row>
    <row r="60" spans="1:2" ht="12.75">
      <c r="A60" s="242" t="s">
        <v>0</v>
      </c>
      <c r="B60" s="243">
        <f>SUM(B56:B59)</f>
        <v>5596.164000000001</v>
      </c>
    </row>
  </sheetData>
  <sheetProtection/>
  <mergeCells count="2">
    <mergeCell ref="A43:A44"/>
    <mergeCell ref="B43:E43"/>
  </mergeCells>
  <printOptions/>
  <pageMargins left="0.4724409448818898" right="0.1968503937007874" top="0.5118110236220472" bottom="1.4566929133858268" header="0.3149606299212598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FV33"/>
  <sheetViews>
    <sheetView showGridLines="0" showZeros="0" tabSelected="1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9" sqref="A9"/>
    </sheetView>
  </sheetViews>
  <sheetFormatPr defaultColWidth="10.125" defaultRowHeight="12.75" outlineLevelCol="1"/>
  <cols>
    <col min="1" max="1" width="38.125" style="81" customWidth="1"/>
    <col min="2" max="2" width="11.375" style="81" customWidth="1"/>
    <col min="3" max="3" width="3.875" style="81" customWidth="1"/>
    <col min="4" max="4" width="7.125" style="81" hidden="1" customWidth="1" outlineLevel="1"/>
    <col min="5" max="5" width="8.25390625" style="81" hidden="1" customWidth="1" outlineLevel="1"/>
    <col min="6" max="11" width="7.00390625" style="81" hidden="1" customWidth="1" outlineLevel="1"/>
    <col min="12" max="12" width="8.75390625" style="81" hidden="1" customWidth="1" outlineLevel="1"/>
    <col min="13" max="13" width="7.875" style="81" hidden="1" customWidth="1" outlineLevel="1"/>
    <col min="14" max="15" width="8.625" style="81" hidden="1" customWidth="1" outlineLevel="1"/>
    <col min="16" max="16" width="9.125" style="81" customWidth="1" collapsed="1"/>
    <col min="17" max="28" width="8.375" style="81" hidden="1" customWidth="1" outlineLevel="1"/>
    <col min="29" max="29" width="9.125" style="81" customWidth="1" collapsed="1"/>
    <col min="30" max="30" width="9.125" style="81" customWidth="1"/>
    <col min="31" max="35" width="8.875" style="81" customWidth="1"/>
    <col min="36" max="16384" width="10.125" style="81" customWidth="1"/>
  </cols>
  <sheetData>
    <row r="1" spans="1:35" ht="21" customHeight="1">
      <c r="A1" s="61" t="s">
        <v>108</v>
      </c>
      <c r="B1" s="80"/>
      <c r="C1" s="80"/>
      <c r="AI1" s="281"/>
    </row>
    <row r="2" spans="1:3" ht="17.25" customHeight="1">
      <c r="A2" s="61"/>
      <c r="B2" s="12" t="str">
        <f>Исх!$C$9</f>
        <v>тыс.тг.</v>
      </c>
      <c r="C2" s="82"/>
    </row>
    <row r="3" spans="1:35" ht="12.75" customHeight="1">
      <c r="A3" s="313" t="s">
        <v>2</v>
      </c>
      <c r="B3" s="317" t="s">
        <v>86</v>
      </c>
      <c r="C3" s="86"/>
      <c r="D3" s="312">
        <v>2013</v>
      </c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>
        <v>2014</v>
      </c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87">
        <f>Q3+1</f>
        <v>2015</v>
      </c>
      <c r="AE3" s="87">
        <f>AD3+1</f>
        <v>2016</v>
      </c>
      <c r="AF3" s="87">
        <f>AE3+1</f>
        <v>2017</v>
      </c>
      <c r="AG3" s="87">
        <f>AF3+1</f>
        <v>2018</v>
      </c>
      <c r="AH3" s="87">
        <f>AG3+1</f>
        <v>2019</v>
      </c>
      <c r="AI3" s="87">
        <f>AH3+1</f>
        <v>2020</v>
      </c>
    </row>
    <row r="4" spans="1:35" ht="12.75">
      <c r="A4" s="314"/>
      <c r="B4" s="317"/>
      <c r="C4" s="88"/>
      <c r="D4" s="89">
        <v>1</v>
      </c>
      <c r="E4" s="89">
        <f aca="true" t="shared" si="0" ref="E4:O4">D4+1</f>
        <v>2</v>
      </c>
      <c r="F4" s="89">
        <f t="shared" si="0"/>
        <v>3</v>
      </c>
      <c r="G4" s="89">
        <f t="shared" si="0"/>
        <v>4</v>
      </c>
      <c r="H4" s="89">
        <f t="shared" si="0"/>
        <v>5</v>
      </c>
      <c r="I4" s="89">
        <f t="shared" si="0"/>
        <v>6</v>
      </c>
      <c r="J4" s="89">
        <f t="shared" si="0"/>
        <v>7</v>
      </c>
      <c r="K4" s="89">
        <f t="shared" si="0"/>
        <v>8</v>
      </c>
      <c r="L4" s="89">
        <f t="shared" si="0"/>
        <v>9</v>
      </c>
      <c r="M4" s="89">
        <f t="shared" si="0"/>
        <v>10</v>
      </c>
      <c r="N4" s="89">
        <f t="shared" si="0"/>
        <v>11</v>
      </c>
      <c r="O4" s="89">
        <f t="shared" si="0"/>
        <v>12</v>
      </c>
      <c r="P4" s="85" t="s">
        <v>0</v>
      </c>
      <c r="Q4" s="89">
        <v>1</v>
      </c>
      <c r="R4" s="89">
        <f aca="true" t="shared" si="1" ref="R4:AB4">Q4+1</f>
        <v>2</v>
      </c>
      <c r="S4" s="89">
        <f t="shared" si="1"/>
        <v>3</v>
      </c>
      <c r="T4" s="89">
        <f t="shared" si="1"/>
        <v>4</v>
      </c>
      <c r="U4" s="89">
        <f t="shared" si="1"/>
        <v>5</v>
      </c>
      <c r="V4" s="89">
        <f t="shared" si="1"/>
        <v>6</v>
      </c>
      <c r="W4" s="89">
        <f t="shared" si="1"/>
        <v>7</v>
      </c>
      <c r="X4" s="89">
        <f t="shared" si="1"/>
        <v>8</v>
      </c>
      <c r="Y4" s="89">
        <f t="shared" si="1"/>
        <v>9</v>
      </c>
      <c r="Z4" s="89">
        <f t="shared" si="1"/>
        <v>10</v>
      </c>
      <c r="AA4" s="89">
        <f t="shared" si="1"/>
        <v>11</v>
      </c>
      <c r="AB4" s="89">
        <f t="shared" si="1"/>
        <v>12</v>
      </c>
      <c r="AC4" s="85" t="s">
        <v>0</v>
      </c>
      <c r="AD4" s="85" t="s">
        <v>109</v>
      </c>
      <c r="AE4" s="85" t="s">
        <v>109</v>
      </c>
      <c r="AF4" s="85" t="s">
        <v>109</v>
      </c>
      <c r="AG4" s="85" t="s">
        <v>109</v>
      </c>
      <c r="AH4" s="85" t="s">
        <v>109</v>
      </c>
      <c r="AI4" s="85" t="s">
        <v>109</v>
      </c>
    </row>
    <row r="5" spans="1:36" s="82" customFormat="1" ht="15" customHeight="1">
      <c r="A5" s="90" t="s">
        <v>110</v>
      </c>
      <c r="B5" s="91">
        <f>P5+AC5+AD5+AE5+AF5+AG5+AH5+AI5</f>
        <v>61236</v>
      </c>
      <c r="C5" s="92"/>
      <c r="D5" s="92">
        <f aca="true" t="shared" si="2" ref="D5:AI5">SUM(D6:D7)</f>
        <v>0</v>
      </c>
      <c r="E5" s="92">
        <f t="shared" si="2"/>
        <v>0</v>
      </c>
      <c r="F5" s="92">
        <f t="shared" si="2"/>
        <v>0</v>
      </c>
      <c r="G5" s="92">
        <f t="shared" si="2"/>
        <v>0</v>
      </c>
      <c r="H5" s="92">
        <f t="shared" si="2"/>
        <v>0</v>
      </c>
      <c r="I5" s="92">
        <f t="shared" si="2"/>
        <v>0</v>
      </c>
      <c r="J5" s="92">
        <f t="shared" si="2"/>
        <v>0</v>
      </c>
      <c r="K5" s="92">
        <f t="shared" si="2"/>
        <v>0</v>
      </c>
      <c r="L5" s="92">
        <f t="shared" si="2"/>
        <v>0</v>
      </c>
      <c r="M5" s="92">
        <f t="shared" si="2"/>
        <v>0</v>
      </c>
      <c r="N5" s="92">
        <f t="shared" si="2"/>
        <v>0</v>
      </c>
      <c r="O5" s="92">
        <f t="shared" si="2"/>
        <v>0</v>
      </c>
      <c r="P5" s="92">
        <f t="shared" si="2"/>
        <v>0</v>
      </c>
      <c r="Q5" s="92">
        <f t="shared" si="2"/>
        <v>420</v>
      </c>
      <c r="R5" s="92">
        <f t="shared" si="2"/>
        <v>420</v>
      </c>
      <c r="S5" s="92">
        <f t="shared" si="2"/>
        <v>462</v>
      </c>
      <c r="T5" s="92">
        <f t="shared" si="2"/>
        <v>462</v>
      </c>
      <c r="U5" s="92">
        <f t="shared" si="2"/>
        <v>504</v>
      </c>
      <c r="V5" s="92">
        <f t="shared" si="2"/>
        <v>504</v>
      </c>
      <c r="W5" s="92">
        <f t="shared" si="2"/>
        <v>546</v>
      </c>
      <c r="X5" s="92">
        <f t="shared" si="2"/>
        <v>546</v>
      </c>
      <c r="Y5" s="92">
        <f t="shared" si="2"/>
        <v>588</v>
      </c>
      <c r="Z5" s="92">
        <f t="shared" si="2"/>
        <v>588</v>
      </c>
      <c r="AA5" s="92">
        <f t="shared" si="2"/>
        <v>630</v>
      </c>
      <c r="AB5" s="92">
        <f t="shared" si="2"/>
        <v>630</v>
      </c>
      <c r="AC5" s="92">
        <f t="shared" si="2"/>
        <v>6300</v>
      </c>
      <c r="AD5" s="92">
        <f t="shared" si="2"/>
        <v>7560</v>
      </c>
      <c r="AE5" s="92">
        <f t="shared" si="2"/>
        <v>8064</v>
      </c>
      <c r="AF5" s="92">
        <f t="shared" si="2"/>
        <v>9072</v>
      </c>
      <c r="AG5" s="92">
        <f t="shared" si="2"/>
        <v>10080</v>
      </c>
      <c r="AH5" s="92">
        <f t="shared" si="2"/>
        <v>10080</v>
      </c>
      <c r="AI5" s="92">
        <f t="shared" si="2"/>
        <v>10080</v>
      </c>
      <c r="AJ5" s="93"/>
    </row>
    <row r="6" spans="1:36" s="82" customFormat="1" ht="12.75">
      <c r="A6" s="94" t="str">
        <f>Услуги!A6</f>
        <v>Стирка и глажка белья</v>
      </c>
      <c r="B6" s="91">
        <f>P6+AC6+AD6+AE6+AF6+AG6+AH6</f>
        <v>51156</v>
      </c>
      <c r="C6" s="92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2">
        <f>SUM(D6:O6)</f>
        <v>0</v>
      </c>
      <c r="Q6" s="95">
        <f>Услуги!Q6*Исх!$C26/1000</f>
        <v>420</v>
      </c>
      <c r="R6" s="95">
        <f>Услуги!R6*Исх!$C26/1000</f>
        <v>420</v>
      </c>
      <c r="S6" s="95">
        <f>Услуги!S6*Исх!$C26/1000</f>
        <v>462</v>
      </c>
      <c r="T6" s="95">
        <f>Услуги!T6*Исх!$C26/1000</f>
        <v>462</v>
      </c>
      <c r="U6" s="95">
        <f>Услуги!U6*Исх!$C26/1000</f>
        <v>504</v>
      </c>
      <c r="V6" s="95">
        <f>Услуги!V6*Исх!$C26/1000</f>
        <v>504</v>
      </c>
      <c r="W6" s="95">
        <f>Услуги!W6*Исх!$C26/1000</f>
        <v>546</v>
      </c>
      <c r="X6" s="95">
        <f>Услуги!X6*Исх!$C26/1000</f>
        <v>546</v>
      </c>
      <c r="Y6" s="95">
        <f>Услуги!Y6*Исх!$C26/1000</f>
        <v>588</v>
      </c>
      <c r="Z6" s="95">
        <f>Услуги!Z6*Исх!$C26/1000</f>
        <v>588</v>
      </c>
      <c r="AA6" s="95">
        <f>Услуги!AA6*Исх!$C26/1000</f>
        <v>630</v>
      </c>
      <c r="AB6" s="95">
        <f>Услуги!AB6*Исх!$C26/1000</f>
        <v>630</v>
      </c>
      <c r="AC6" s="92">
        <f>SUM(Q6:AB6)</f>
        <v>6300</v>
      </c>
      <c r="AD6" s="95">
        <f>Услуги!AD6*Исх!$C26/1000</f>
        <v>7560</v>
      </c>
      <c r="AE6" s="95">
        <f>Услуги!AE6*Исх!$C26/1000</f>
        <v>8064</v>
      </c>
      <c r="AF6" s="95">
        <f>Услуги!AF6*Исх!$C26/1000</f>
        <v>9072</v>
      </c>
      <c r="AG6" s="95">
        <f>Услуги!AG6*Исх!$C26/1000</f>
        <v>10080</v>
      </c>
      <c r="AH6" s="95">
        <f>Услуги!AH6*Исх!$C26/1000</f>
        <v>10080</v>
      </c>
      <c r="AI6" s="95">
        <f>Услуги!AI6*Исх!$C26/1000</f>
        <v>10080</v>
      </c>
      <c r="AJ6" s="93"/>
    </row>
    <row r="7" spans="1:36" s="82" customFormat="1" ht="12.75">
      <c r="A7" s="94">
        <f>Услуги!A7</f>
        <v>0</v>
      </c>
      <c r="B7" s="91">
        <f>P7+AC7+AD7+AE7+AF7+AG7+AH7</f>
        <v>0</v>
      </c>
      <c r="C7" s="92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2">
        <f>SUM(D7:O7)</f>
        <v>0</v>
      </c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2">
        <f>SUM(Q7:AB7)</f>
        <v>0</v>
      </c>
      <c r="AD7" s="95"/>
      <c r="AE7" s="95"/>
      <c r="AF7" s="95"/>
      <c r="AG7" s="95"/>
      <c r="AH7" s="95"/>
      <c r="AI7" s="95"/>
      <c r="AJ7" s="93"/>
    </row>
    <row r="8" spans="1:35" ht="15" customHeight="1">
      <c r="A8" s="90" t="s">
        <v>315</v>
      </c>
      <c r="B8" s="91">
        <f aca="true" t="shared" si="3" ref="B8:B17">P8+AC8+AD8+AE8+AF8+AG8+AH8</f>
        <v>3703.095144</v>
      </c>
      <c r="C8" s="92"/>
      <c r="D8" s="92">
        <f aca="true" t="shared" si="4" ref="D8:AH8">SUM(D9:D10)</f>
        <v>0</v>
      </c>
      <c r="E8" s="92">
        <f t="shared" si="4"/>
        <v>0</v>
      </c>
      <c r="F8" s="92">
        <f t="shared" si="4"/>
        <v>0</v>
      </c>
      <c r="G8" s="92">
        <f t="shared" si="4"/>
        <v>0</v>
      </c>
      <c r="H8" s="92">
        <f t="shared" si="4"/>
        <v>0</v>
      </c>
      <c r="I8" s="92">
        <f t="shared" si="4"/>
        <v>0</v>
      </c>
      <c r="J8" s="92">
        <f t="shared" si="4"/>
        <v>0</v>
      </c>
      <c r="K8" s="92">
        <f t="shared" si="4"/>
        <v>0</v>
      </c>
      <c r="L8" s="92">
        <f t="shared" si="4"/>
        <v>0</v>
      </c>
      <c r="M8" s="92">
        <f t="shared" si="4"/>
        <v>0</v>
      </c>
      <c r="N8" s="92">
        <f t="shared" si="4"/>
        <v>0</v>
      </c>
      <c r="O8" s="92">
        <f t="shared" si="4"/>
        <v>0</v>
      </c>
      <c r="P8" s="92">
        <f t="shared" si="4"/>
        <v>0</v>
      </c>
      <c r="Q8" s="92">
        <f t="shared" si="4"/>
        <v>30.40308</v>
      </c>
      <c r="R8" s="92">
        <f t="shared" si="4"/>
        <v>30.40308</v>
      </c>
      <c r="S8" s="92">
        <f t="shared" si="4"/>
        <v>33.443388</v>
      </c>
      <c r="T8" s="92">
        <f t="shared" si="4"/>
        <v>33.443388</v>
      </c>
      <c r="U8" s="92">
        <f t="shared" si="4"/>
        <v>36.483695999999995</v>
      </c>
      <c r="V8" s="92">
        <f t="shared" si="4"/>
        <v>36.483695999999995</v>
      </c>
      <c r="W8" s="92">
        <f t="shared" si="4"/>
        <v>39.524004</v>
      </c>
      <c r="X8" s="92">
        <f t="shared" si="4"/>
        <v>39.524004</v>
      </c>
      <c r="Y8" s="92">
        <f t="shared" si="4"/>
        <v>42.564312</v>
      </c>
      <c r="Z8" s="92">
        <f t="shared" si="4"/>
        <v>42.564312</v>
      </c>
      <c r="AA8" s="92">
        <f t="shared" si="4"/>
        <v>45.60462</v>
      </c>
      <c r="AB8" s="92">
        <f t="shared" si="4"/>
        <v>45.60462</v>
      </c>
      <c r="AC8" s="92">
        <f t="shared" si="4"/>
        <v>456.0462</v>
      </c>
      <c r="AD8" s="92">
        <f t="shared" si="4"/>
        <v>547.2554399999999</v>
      </c>
      <c r="AE8" s="92">
        <f t="shared" si="4"/>
        <v>583.7391359999999</v>
      </c>
      <c r="AF8" s="92">
        <f t="shared" si="4"/>
        <v>656.7065279999999</v>
      </c>
      <c r="AG8" s="92">
        <f t="shared" si="4"/>
        <v>729.67392</v>
      </c>
      <c r="AH8" s="92">
        <f t="shared" si="4"/>
        <v>729.67392</v>
      </c>
      <c r="AI8" s="92">
        <f>SUM(AI9:AI10)</f>
        <v>729.67392</v>
      </c>
    </row>
    <row r="9" spans="1:35" ht="12.75">
      <c r="A9" s="94" t="s">
        <v>296</v>
      </c>
      <c r="B9" s="91">
        <f t="shared" si="3"/>
        <v>3703.095144</v>
      </c>
      <c r="C9" s="92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2">
        <f>SUM(D9:O9)</f>
        <v>0</v>
      </c>
      <c r="Q9" s="95">
        <f>Услуги!Q6*'Расх перем'!$E$8/1000</f>
        <v>30.40308</v>
      </c>
      <c r="R9" s="95">
        <f>Услуги!R6*'Расх перем'!$E$8/1000</f>
        <v>30.40308</v>
      </c>
      <c r="S9" s="95">
        <f>Услуги!S6*'Расх перем'!$E$8/1000</f>
        <v>33.443388</v>
      </c>
      <c r="T9" s="95">
        <f>Услуги!T6*'Расх перем'!$E$8/1000</f>
        <v>33.443388</v>
      </c>
      <c r="U9" s="95">
        <f>Услуги!U6*'Расх перем'!$E$8/1000</f>
        <v>36.483695999999995</v>
      </c>
      <c r="V9" s="95">
        <f>Услуги!V6*'Расх перем'!$E$8/1000</f>
        <v>36.483695999999995</v>
      </c>
      <c r="W9" s="95">
        <f>Услуги!W6*'Расх перем'!$E$8/1000</f>
        <v>39.524004</v>
      </c>
      <c r="X9" s="95">
        <f>Услуги!X6*'Расх перем'!$E$8/1000</f>
        <v>39.524004</v>
      </c>
      <c r="Y9" s="95">
        <f>Услуги!Y6*'Расх перем'!$E$8/1000</f>
        <v>42.564312</v>
      </c>
      <c r="Z9" s="95">
        <f>Услуги!Z6*'Расх перем'!$E$8/1000</f>
        <v>42.564312</v>
      </c>
      <c r="AA9" s="95">
        <f>Услуги!AA6*'Расх перем'!$E$8/1000</f>
        <v>45.60462</v>
      </c>
      <c r="AB9" s="95">
        <f>Услуги!AB6*'Расх перем'!$E$8/1000</f>
        <v>45.60462</v>
      </c>
      <c r="AC9" s="92">
        <f>SUM(Q9:AB9)</f>
        <v>456.0462</v>
      </c>
      <c r="AD9" s="95">
        <f>Услуги!AD6*'Расх перем'!$E$8/1000</f>
        <v>547.2554399999999</v>
      </c>
      <c r="AE9" s="95">
        <f>Услуги!AE6*'Расх перем'!$E$8/1000</f>
        <v>583.7391359999999</v>
      </c>
      <c r="AF9" s="95">
        <f>Услуги!AF6*'Расх перем'!$E$8/1000</f>
        <v>656.7065279999999</v>
      </c>
      <c r="AG9" s="95">
        <f>Услуги!AG6*'Расх перем'!$E$8/1000</f>
        <v>729.67392</v>
      </c>
      <c r="AH9" s="95">
        <f>Услуги!AH6*'Расх перем'!$E$8/1000</f>
        <v>729.67392</v>
      </c>
      <c r="AI9" s="95">
        <f>Услуги!AI6*'Расх перем'!$E$8/1000</f>
        <v>729.67392</v>
      </c>
    </row>
    <row r="10" spans="1:35" ht="12.75">
      <c r="A10" s="94"/>
      <c r="B10" s="91">
        <f t="shared" si="3"/>
        <v>0</v>
      </c>
      <c r="C10" s="92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2">
        <f>SUM(D10:O10)</f>
        <v>0</v>
      </c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2">
        <f>SUM(Q10:AB10)</f>
        <v>0</v>
      </c>
      <c r="AD10" s="95"/>
      <c r="AE10" s="95"/>
      <c r="AF10" s="95"/>
      <c r="AG10" s="95"/>
      <c r="AH10" s="95"/>
      <c r="AI10" s="95"/>
    </row>
    <row r="11" spans="1:35" s="82" customFormat="1" ht="15" customHeight="1">
      <c r="A11" s="90" t="s">
        <v>15</v>
      </c>
      <c r="B11" s="91">
        <f t="shared" si="3"/>
        <v>47452.904855999994</v>
      </c>
      <c r="C11" s="96"/>
      <c r="D11" s="92">
        <f aca="true" t="shared" si="5" ref="D11:AI11">D5-D8</f>
        <v>0</v>
      </c>
      <c r="E11" s="92">
        <f t="shared" si="5"/>
        <v>0</v>
      </c>
      <c r="F11" s="92">
        <f t="shared" si="5"/>
        <v>0</v>
      </c>
      <c r="G11" s="92">
        <f t="shared" si="5"/>
        <v>0</v>
      </c>
      <c r="H11" s="92">
        <f t="shared" si="5"/>
        <v>0</v>
      </c>
      <c r="I11" s="92">
        <f t="shared" si="5"/>
        <v>0</v>
      </c>
      <c r="J11" s="92">
        <f t="shared" si="5"/>
        <v>0</v>
      </c>
      <c r="K11" s="92">
        <f t="shared" si="5"/>
        <v>0</v>
      </c>
      <c r="L11" s="92">
        <f t="shared" si="5"/>
        <v>0</v>
      </c>
      <c r="M11" s="92">
        <f t="shared" si="5"/>
        <v>0</v>
      </c>
      <c r="N11" s="92">
        <f t="shared" si="5"/>
        <v>0</v>
      </c>
      <c r="O11" s="92">
        <f t="shared" si="5"/>
        <v>0</v>
      </c>
      <c r="P11" s="92">
        <f t="shared" si="5"/>
        <v>0</v>
      </c>
      <c r="Q11" s="92">
        <f t="shared" si="5"/>
        <v>389.59692</v>
      </c>
      <c r="R11" s="92">
        <f t="shared" si="5"/>
        <v>389.59692</v>
      </c>
      <c r="S11" s="92">
        <f t="shared" si="5"/>
        <v>428.556612</v>
      </c>
      <c r="T11" s="92">
        <f t="shared" si="5"/>
        <v>428.556612</v>
      </c>
      <c r="U11" s="92">
        <f t="shared" si="5"/>
        <v>467.516304</v>
      </c>
      <c r="V11" s="92">
        <f t="shared" si="5"/>
        <v>467.516304</v>
      </c>
      <c r="W11" s="92">
        <f t="shared" si="5"/>
        <v>506.475996</v>
      </c>
      <c r="X11" s="92">
        <f t="shared" si="5"/>
        <v>506.475996</v>
      </c>
      <c r="Y11" s="92">
        <f t="shared" si="5"/>
        <v>545.435688</v>
      </c>
      <c r="Z11" s="92">
        <f t="shared" si="5"/>
        <v>545.435688</v>
      </c>
      <c r="AA11" s="92">
        <f t="shared" si="5"/>
        <v>584.39538</v>
      </c>
      <c r="AB11" s="92">
        <f t="shared" si="5"/>
        <v>584.39538</v>
      </c>
      <c r="AC11" s="92">
        <f t="shared" si="5"/>
        <v>5843.9538</v>
      </c>
      <c r="AD11" s="92">
        <f t="shared" si="5"/>
        <v>7012.74456</v>
      </c>
      <c r="AE11" s="92">
        <f t="shared" si="5"/>
        <v>7480.260864</v>
      </c>
      <c r="AF11" s="92">
        <f t="shared" si="5"/>
        <v>8415.293472</v>
      </c>
      <c r="AG11" s="92">
        <f t="shared" si="5"/>
        <v>9350.32608</v>
      </c>
      <c r="AH11" s="92">
        <f t="shared" si="5"/>
        <v>9350.32608</v>
      </c>
      <c r="AI11" s="92">
        <f t="shared" si="5"/>
        <v>9350.32608</v>
      </c>
    </row>
    <row r="12" spans="1:35" ht="15" customHeight="1">
      <c r="A12" s="97" t="s">
        <v>143</v>
      </c>
      <c r="B12" s="91">
        <f t="shared" si="3"/>
        <v>27084.907800000004</v>
      </c>
      <c r="C12" s="92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2">
        <f aca="true" t="shared" si="6" ref="P12:P17">SUM(D12:O12)</f>
        <v>0</v>
      </c>
      <c r="Q12" s="95">
        <f>Пост!$D$15+Пост!$D$17+Пост!$D$20</f>
        <v>376.179275</v>
      </c>
      <c r="R12" s="95">
        <f>Пост!$D$15+Пост!$D$17+Пост!$D$20</f>
        <v>376.179275</v>
      </c>
      <c r="S12" s="95">
        <f>Пост!$D$15+Пост!$D$17+Пост!$D$20</f>
        <v>376.179275</v>
      </c>
      <c r="T12" s="95">
        <f>Пост!$D$15+Пост!$D$17+Пост!$D$20</f>
        <v>376.179275</v>
      </c>
      <c r="U12" s="95">
        <f>Пост!$D$15+Пост!$D$17+Пост!$D$20</f>
        <v>376.179275</v>
      </c>
      <c r="V12" s="95">
        <f>Пост!$D$15+Пост!$D$17+Пост!$D$20</f>
        <v>376.179275</v>
      </c>
      <c r="W12" s="95">
        <f>Пост!$D$15+Пост!$D$17+Пост!$D$20</f>
        <v>376.179275</v>
      </c>
      <c r="X12" s="95">
        <f>Пост!$D$15+Пост!$D$17+Пост!$D$20</f>
        <v>376.179275</v>
      </c>
      <c r="Y12" s="95">
        <f>Пост!$D$15+Пост!$D$17+Пост!$D$20</f>
        <v>376.179275</v>
      </c>
      <c r="Z12" s="95">
        <f>Пост!$D$15+Пост!$D$17+Пост!$D$20</f>
        <v>376.179275</v>
      </c>
      <c r="AA12" s="95">
        <f>Пост!$D$15+Пост!$D$17+Пост!$D$20</f>
        <v>376.179275</v>
      </c>
      <c r="AB12" s="95">
        <f>Пост!$D$15+Пост!$D$17+Пост!$D$20</f>
        <v>376.179275</v>
      </c>
      <c r="AC12" s="92">
        <f aca="true" t="shared" si="7" ref="AC12:AC17">SUM(Q12:AB12)</f>
        <v>4514.1513</v>
      </c>
      <c r="AD12" s="95">
        <f>(Пост!E15+Пост!E17+Пост!E20)*12</f>
        <v>4514.1513</v>
      </c>
      <c r="AE12" s="95">
        <f>(Пост!F15+Пост!F17+Пост!F20)*12</f>
        <v>4514.1513</v>
      </c>
      <c r="AF12" s="95">
        <f>(Пост!G15+Пост!G17+Пост!G20)*12</f>
        <v>4514.1513</v>
      </c>
      <c r="AG12" s="95">
        <f>(Пост!H15+Пост!H17+Пост!H20)*12</f>
        <v>4514.1513</v>
      </c>
      <c r="AH12" s="95">
        <f>(Пост!I15+Пост!I17+Пост!I20)*12</f>
        <v>4514.1513</v>
      </c>
      <c r="AI12" s="95">
        <f>(Пост!J15+Пост!J17+Пост!J20)*12</f>
        <v>4514.1513</v>
      </c>
    </row>
    <row r="13" spans="1:35" ht="15" customHeight="1">
      <c r="A13" s="97" t="s">
        <v>75</v>
      </c>
      <c r="B13" s="91">
        <f t="shared" si="3"/>
        <v>1155.908016</v>
      </c>
      <c r="C13" s="92"/>
      <c r="D13" s="95"/>
      <c r="E13" s="95"/>
      <c r="F13" s="95"/>
      <c r="G13" s="95"/>
      <c r="H13" s="95"/>
      <c r="I13" s="95"/>
      <c r="J13" s="95"/>
      <c r="K13" s="95">
        <f>Пост!$C$30/5</f>
        <v>0</v>
      </c>
      <c r="L13" s="95">
        <f>Пост!$C$30/5</f>
        <v>0</v>
      </c>
      <c r="M13" s="95">
        <f>Пост!$C$30/5</f>
        <v>0</v>
      </c>
      <c r="N13" s="95">
        <f>Пост!$C$30/5</f>
        <v>0</v>
      </c>
      <c r="O13" s="95">
        <f>Пост!$C$30/5</f>
        <v>0</v>
      </c>
      <c r="P13" s="92">
        <f t="shared" si="6"/>
        <v>0</v>
      </c>
      <c r="Q13" s="95">
        <f>Пост!$D$30/12</f>
        <v>16.054278</v>
      </c>
      <c r="R13" s="95">
        <f>Пост!$D$30/12</f>
        <v>16.054278</v>
      </c>
      <c r="S13" s="95">
        <f>Пост!$D$30/12</f>
        <v>16.054278</v>
      </c>
      <c r="T13" s="95">
        <f>Пост!$D$30/12</f>
        <v>16.054278</v>
      </c>
      <c r="U13" s="95">
        <f>Пост!$D$30/12</f>
        <v>16.054278</v>
      </c>
      <c r="V13" s="95">
        <f>Пост!$D$30/12</f>
        <v>16.054278</v>
      </c>
      <c r="W13" s="95">
        <f>Пост!$D$30/12</f>
        <v>16.054278</v>
      </c>
      <c r="X13" s="95">
        <f>Пост!$D$30/12</f>
        <v>16.054278</v>
      </c>
      <c r="Y13" s="95">
        <f>Пост!$D$30/12</f>
        <v>16.054278</v>
      </c>
      <c r="Z13" s="95">
        <f>Пост!$D$30/12</f>
        <v>16.054278</v>
      </c>
      <c r="AA13" s="95">
        <f>Пост!$D$30/12</f>
        <v>16.054278</v>
      </c>
      <c r="AB13" s="95">
        <f>Пост!$D$30/12</f>
        <v>16.054278</v>
      </c>
      <c r="AC13" s="92">
        <f t="shared" si="7"/>
        <v>192.65133600000004</v>
      </c>
      <c r="AD13" s="95">
        <f>Пост!E30</f>
        <v>192.65133600000001</v>
      </c>
      <c r="AE13" s="95">
        <f>Пост!F30</f>
        <v>192.65133600000001</v>
      </c>
      <c r="AF13" s="95">
        <f>Пост!G30</f>
        <v>192.65133600000001</v>
      </c>
      <c r="AG13" s="95">
        <f>Пост!H30</f>
        <v>192.65133600000001</v>
      </c>
      <c r="AH13" s="95">
        <f>Пост!I30</f>
        <v>192.65133600000001</v>
      </c>
      <c r="AI13" s="95">
        <f>Пост!J30</f>
        <v>192.65133600000001</v>
      </c>
    </row>
    <row r="14" spans="1:35" ht="15" customHeight="1">
      <c r="A14" s="97" t="s">
        <v>25</v>
      </c>
      <c r="B14" s="91">
        <f t="shared" si="3"/>
        <v>173.92288876462533</v>
      </c>
      <c r="C14" s="92"/>
      <c r="D14" s="95">
        <f>кр!C9</f>
        <v>0</v>
      </c>
      <c r="E14" s="95">
        <f>кр!D9</f>
        <v>0</v>
      </c>
      <c r="F14" s="95">
        <f>кр!E9</f>
        <v>0</v>
      </c>
      <c r="G14" s="95">
        <f>кр!F9</f>
        <v>0</v>
      </c>
      <c r="H14" s="95">
        <f>кр!G9</f>
        <v>0</v>
      </c>
      <c r="I14" s="95">
        <f>кр!H9</f>
        <v>0</v>
      </c>
      <c r="J14" s="95">
        <f>кр!I9</f>
        <v>0</v>
      </c>
      <c r="K14" s="95">
        <f>кр!J9</f>
        <v>0</v>
      </c>
      <c r="L14" s="95">
        <f>кр!K9</f>
        <v>0</v>
      </c>
      <c r="M14" s="95">
        <f>кр!L9</f>
        <v>0</v>
      </c>
      <c r="N14" s="95">
        <f>кр!M9</f>
        <v>9.463045410000001</v>
      </c>
      <c r="O14" s="95">
        <f>кр!N9</f>
        <v>9.463045410000001</v>
      </c>
      <c r="P14" s="92">
        <f t="shared" si="6"/>
        <v>18.926090820000002</v>
      </c>
      <c r="Q14" s="95">
        <f>кр!P9</f>
        <v>9.463045410000001</v>
      </c>
      <c r="R14" s="95">
        <f>кр!Q9</f>
        <v>9.463045410000001</v>
      </c>
      <c r="S14" s="95">
        <f>кр!R9</f>
        <v>9.463045410000001</v>
      </c>
      <c r="T14" s="95">
        <f>кр!S9</f>
        <v>9.739050901125001</v>
      </c>
      <c r="U14" s="95">
        <f>кр!T9</f>
        <v>9.34948886508</v>
      </c>
      <c r="V14" s="95">
        <f>кр!U9</f>
        <v>8.959926829035002</v>
      </c>
      <c r="W14" s="95">
        <f>кр!V9</f>
        <v>8.570364792990002</v>
      </c>
      <c r="X14" s="95">
        <f>кр!W9</f>
        <v>8.180802756945003</v>
      </c>
      <c r="Y14" s="95">
        <f>кр!X9</f>
        <v>7.791240720900003</v>
      </c>
      <c r="Z14" s="95">
        <f>кр!Y9</f>
        <v>7.401678684855003</v>
      </c>
      <c r="AA14" s="95">
        <f>кр!Z9</f>
        <v>7.012116648810005</v>
      </c>
      <c r="AB14" s="95">
        <f>кр!AA9</f>
        <v>6.622554612765005</v>
      </c>
      <c r="AC14" s="92">
        <f t="shared" si="7"/>
        <v>102.01636104250503</v>
      </c>
      <c r="AD14" s="95">
        <f>кр!AO9</f>
        <v>49.084816541670065</v>
      </c>
      <c r="AE14" s="95">
        <f>кр!BB9</f>
        <v>3.895620360450064</v>
      </c>
      <c r="AF14" s="95">
        <f>кр!BO9</f>
        <v>6.366462912410498E-14</v>
      </c>
      <c r="AG14" s="95">
        <f>кр!CB9</f>
        <v>6.366462912410498E-14</v>
      </c>
      <c r="AH14" s="95">
        <f>кр!CO9</f>
        <v>6.366462912410498E-14</v>
      </c>
      <c r="AI14" s="95">
        <f>кр!DB9</f>
        <v>6.366462912410498E-14</v>
      </c>
    </row>
    <row r="15" spans="1:35" ht="15" customHeight="1">
      <c r="A15" s="97" t="s">
        <v>205</v>
      </c>
      <c r="B15" s="91">
        <f t="shared" si="3"/>
        <v>19038.166151235375</v>
      </c>
      <c r="C15" s="96"/>
      <c r="D15" s="95">
        <f>D11-D12-D14-D13</f>
        <v>0</v>
      </c>
      <c r="E15" s="95">
        <f aca="true" t="shared" si="8" ref="E15:O15">E11-E12-E14-E13</f>
        <v>0</v>
      </c>
      <c r="F15" s="95">
        <f t="shared" si="8"/>
        <v>0</v>
      </c>
      <c r="G15" s="95">
        <f t="shared" si="8"/>
        <v>0</v>
      </c>
      <c r="H15" s="95">
        <f t="shared" si="8"/>
        <v>0</v>
      </c>
      <c r="I15" s="95">
        <f t="shared" si="8"/>
        <v>0</v>
      </c>
      <c r="J15" s="95">
        <f t="shared" si="8"/>
        <v>0</v>
      </c>
      <c r="K15" s="95">
        <f t="shared" si="8"/>
        <v>0</v>
      </c>
      <c r="L15" s="95">
        <f t="shared" si="8"/>
        <v>0</v>
      </c>
      <c r="M15" s="95">
        <f t="shared" si="8"/>
        <v>0</v>
      </c>
      <c r="N15" s="95">
        <f t="shared" si="8"/>
        <v>-9.463045410000001</v>
      </c>
      <c r="O15" s="95">
        <f t="shared" si="8"/>
        <v>-9.463045410000001</v>
      </c>
      <c r="P15" s="92">
        <f t="shared" si="6"/>
        <v>-18.926090820000002</v>
      </c>
      <c r="Q15" s="95">
        <f aca="true" t="shared" si="9" ref="Q15:AB15">Q11-Q12-Q14-Q13</f>
        <v>-12.099678410000008</v>
      </c>
      <c r="R15" s="95">
        <f t="shared" si="9"/>
        <v>-12.099678410000008</v>
      </c>
      <c r="S15" s="95">
        <f t="shared" si="9"/>
        <v>26.860013589999955</v>
      </c>
      <c r="T15" s="95">
        <f t="shared" si="9"/>
        <v>26.584008098874957</v>
      </c>
      <c r="U15" s="95">
        <f t="shared" si="9"/>
        <v>65.93326213491997</v>
      </c>
      <c r="V15" s="95">
        <f t="shared" si="9"/>
        <v>66.32282417096498</v>
      </c>
      <c r="W15" s="95">
        <f t="shared" si="9"/>
        <v>105.67207820700999</v>
      </c>
      <c r="X15" s="95">
        <f t="shared" si="9"/>
        <v>106.061640243055</v>
      </c>
      <c r="Y15" s="95">
        <f t="shared" si="9"/>
        <v>145.4108942791</v>
      </c>
      <c r="Z15" s="95">
        <f t="shared" si="9"/>
        <v>145.800456315145</v>
      </c>
      <c r="AA15" s="95">
        <f t="shared" si="9"/>
        <v>185.14971035119</v>
      </c>
      <c r="AB15" s="95">
        <f t="shared" si="9"/>
        <v>185.539272387235</v>
      </c>
      <c r="AC15" s="92">
        <f t="shared" si="7"/>
        <v>1035.134802957495</v>
      </c>
      <c r="AD15" s="95">
        <f aca="true" t="shared" si="10" ref="AD15:AI15">AD11-AD12-AD14-AD13</f>
        <v>2256.8571074583297</v>
      </c>
      <c r="AE15" s="95">
        <f t="shared" si="10"/>
        <v>2769.5626076395492</v>
      </c>
      <c r="AF15" s="95">
        <f t="shared" si="10"/>
        <v>3708.490835999999</v>
      </c>
      <c r="AG15" s="95">
        <f t="shared" si="10"/>
        <v>4643.523444</v>
      </c>
      <c r="AH15" s="95">
        <f t="shared" si="10"/>
        <v>4643.523444</v>
      </c>
      <c r="AI15" s="95">
        <f t="shared" si="10"/>
        <v>4643.523444</v>
      </c>
    </row>
    <row r="16" spans="1:35" ht="15" customHeight="1">
      <c r="A16" s="97" t="s">
        <v>237</v>
      </c>
      <c r="B16" s="91">
        <f t="shared" si="3"/>
        <v>1534.6799999999998</v>
      </c>
      <c r="C16" s="92"/>
      <c r="D16" s="95">
        <f>IF(D15+C18&lt;0,0,IF(C18&lt;0,(C18+D15)*Исх!$C$19,D15*Исх!$C$19))</f>
        <v>0</v>
      </c>
      <c r="E16" s="95">
        <f>IF(E15+D18&lt;0,0,IF(D18&lt;0,(D18+E15)*Исх!$C$19,E15*Исх!$C$19))</f>
        <v>0</v>
      </c>
      <c r="F16" s="95">
        <f>F5*Исх!$C$19</f>
        <v>0</v>
      </c>
      <c r="G16" s="95">
        <f>G5*Исх!$C$19</f>
        <v>0</v>
      </c>
      <c r="H16" s="95">
        <f>H5*Исх!$C$19</f>
        <v>0</v>
      </c>
      <c r="I16" s="95">
        <f>I5*Исх!$C$19</f>
        <v>0</v>
      </c>
      <c r="J16" s="95">
        <f>J5*Исх!$C$19</f>
        <v>0</v>
      </c>
      <c r="K16" s="95">
        <f>K5*Исх!$C$19</f>
        <v>0</v>
      </c>
      <c r="L16" s="95">
        <f>L5*Исх!$C$19</f>
        <v>0</v>
      </c>
      <c r="M16" s="95">
        <f>M5*Исх!$C$19</f>
        <v>0</v>
      </c>
      <c r="N16" s="95">
        <f>N5*Исх!$C$19</f>
        <v>0</v>
      </c>
      <c r="O16" s="95">
        <f>O5*Исх!$C$19</f>
        <v>0</v>
      </c>
      <c r="P16" s="92">
        <f t="shared" si="6"/>
        <v>0</v>
      </c>
      <c r="Q16" s="95">
        <f>Q5*Исх!$C$19</f>
        <v>12.6</v>
      </c>
      <c r="R16" s="95">
        <f>R5*Исх!$C$19</f>
        <v>12.6</v>
      </c>
      <c r="S16" s="95">
        <f>S5*Исх!$C$19</f>
        <v>13.86</v>
      </c>
      <c r="T16" s="95">
        <f>T5*Исх!$C$19</f>
        <v>13.86</v>
      </c>
      <c r="U16" s="95">
        <f>U5*Исх!$C$19</f>
        <v>15.12</v>
      </c>
      <c r="V16" s="95">
        <f>V5*Исх!$C$19</f>
        <v>15.12</v>
      </c>
      <c r="W16" s="95">
        <f>W5*Исх!$C$19</f>
        <v>16.38</v>
      </c>
      <c r="X16" s="95">
        <f>X5*Исх!$C$19</f>
        <v>16.38</v>
      </c>
      <c r="Y16" s="95">
        <f>Y5*Исх!$C$19</f>
        <v>17.64</v>
      </c>
      <c r="Z16" s="95">
        <f>Z5*Исх!$C$19</f>
        <v>17.64</v>
      </c>
      <c r="AA16" s="95">
        <f>AA5*Исх!$C$19</f>
        <v>18.9</v>
      </c>
      <c r="AB16" s="95">
        <f>AB5*Исх!$C$19</f>
        <v>18.9</v>
      </c>
      <c r="AC16" s="92">
        <f t="shared" si="7"/>
        <v>189</v>
      </c>
      <c r="AD16" s="95">
        <f>AD5*Исх!$C$19</f>
        <v>226.79999999999998</v>
      </c>
      <c r="AE16" s="95">
        <f>AE5*Исх!$C$19</f>
        <v>241.92</v>
      </c>
      <c r="AF16" s="95">
        <f>AF5*Исх!$C$19</f>
        <v>272.15999999999997</v>
      </c>
      <c r="AG16" s="95">
        <f>AG5*Исх!$C$19</f>
        <v>302.4</v>
      </c>
      <c r="AH16" s="95">
        <f>AH5*Исх!$C$19</f>
        <v>302.4</v>
      </c>
      <c r="AI16" s="95">
        <f>AI5*Исх!$C$19</f>
        <v>302.4</v>
      </c>
    </row>
    <row r="17" spans="1:35" s="82" customFormat="1" ht="15" customHeight="1">
      <c r="A17" s="90" t="s">
        <v>212</v>
      </c>
      <c r="B17" s="91">
        <f t="shared" si="3"/>
        <v>17503.486151235375</v>
      </c>
      <c r="C17" s="96"/>
      <c r="D17" s="92">
        <f aca="true" t="shared" si="11" ref="D17:Q17">D15-D16</f>
        <v>0</v>
      </c>
      <c r="E17" s="92">
        <f>E15-E16</f>
        <v>0</v>
      </c>
      <c r="F17" s="92">
        <f t="shared" si="11"/>
        <v>0</v>
      </c>
      <c r="G17" s="92">
        <f t="shared" si="11"/>
        <v>0</v>
      </c>
      <c r="H17" s="92">
        <f t="shared" si="11"/>
        <v>0</v>
      </c>
      <c r="I17" s="92">
        <f t="shared" si="11"/>
        <v>0</v>
      </c>
      <c r="J17" s="92">
        <f t="shared" si="11"/>
        <v>0</v>
      </c>
      <c r="K17" s="92">
        <f t="shared" si="11"/>
        <v>0</v>
      </c>
      <c r="L17" s="92">
        <f t="shared" si="11"/>
        <v>0</v>
      </c>
      <c r="M17" s="92">
        <f t="shared" si="11"/>
        <v>0</v>
      </c>
      <c r="N17" s="92">
        <f t="shared" si="11"/>
        <v>-9.463045410000001</v>
      </c>
      <c r="O17" s="92">
        <f t="shared" si="11"/>
        <v>-9.463045410000001</v>
      </c>
      <c r="P17" s="92">
        <f t="shared" si="6"/>
        <v>-18.926090820000002</v>
      </c>
      <c r="Q17" s="92">
        <f t="shared" si="11"/>
        <v>-24.699678410000008</v>
      </c>
      <c r="R17" s="92">
        <f aca="true" t="shared" si="12" ref="R17:AF17">R15-R16</f>
        <v>-24.699678410000008</v>
      </c>
      <c r="S17" s="92">
        <f t="shared" si="12"/>
        <v>13.000013589999956</v>
      </c>
      <c r="T17" s="92">
        <f t="shared" si="12"/>
        <v>12.724008098874958</v>
      </c>
      <c r="U17" s="92">
        <f t="shared" si="12"/>
        <v>50.813262134919974</v>
      </c>
      <c r="V17" s="92">
        <f t="shared" si="12"/>
        <v>51.20282417096498</v>
      </c>
      <c r="W17" s="92">
        <f t="shared" si="12"/>
        <v>89.29207820701</v>
      </c>
      <c r="X17" s="92">
        <f t="shared" si="12"/>
        <v>89.681640243055</v>
      </c>
      <c r="Y17" s="92">
        <f t="shared" si="12"/>
        <v>127.7708942791</v>
      </c>
      <c r="Z17" s="92">
        <f t="shared" si="12"/>
        <v>128.16045631514498</v>
      </c>
      <c r="AA17" s="92">
        <f t="shared" si="12"/>
        <v>166.24971035119</v>
      </c>
      <c r="AB17" s="92">
        <f t="shared" si="12"/>
        <v>166.639272387235</v>
      </c>
      <c r="AC17" s="92">
        <f t="shared" si="7"/>
        <v>846.1348029574949</v>
      </c>
      <c r="AD17" s="92">
        <f t="shared" si="12"/>
        <v>2030.0571074583297</v>
      </c>
      <c r="AE17" s="92">
        <f t="shared" si="12"/>
        <v>2527.642607639549</v>
      </c>
      <c r="AF17" s="92">
        <f t="shared" si="12"/>
        <v>3436.330835999999</v>
      </c>
      <c r="AG17" s="92">
        <f>AG15-AG16</f>
        <v>4341.123444000001</v>
      </c>
      <c r="AH17" s="92">
        <f>AH15-AH16</f>
        <v>4341.123444000001</v>
      </c>
      <c r="AI17" s="92">
        <f>AI15-AI16</f>
        <v>4341.123444000001</v>
      </c>
    </row>
    <row r="18" spans="1:35" ht="15" customHeight="1">
      <c r="A18" s="97" t="s">
        <v>213</v>
      </c>
      <c r="B18" s="98">
        <f>AH18</f>
        <v>17503.486151235375</v>
      </c>
      <c r="C18" s="99"/>
      <c r="D18" s="95">
        <f>C18+D17</f>
        <v>0</v>
      </c>
      <c r="E18" s="95">
        <f>D18+E17</f>
        <v>0</v>
      </c>
      <c r="F18" s="95">
        <f aca="true" t="shared" si="13" ref="F18:O18">E18+F17</f>
        <v>0</v>
      </c>
      <c r="G18" s="95">
        <f t="shared" si="13"/>
        <v>0</v>
      </c>
      <c r="H18" s="95">
        <f t="shared" si="13"/>
        <v>0</v>
      </c>
      <c r="I18" s="95">
        <f t="shared" si="13"/>
        <v>0</v>
      </c>
      <c r="J18" s="95">
        <f t="shared" si="13"/>
        <v>0</v>
      </c>
      <c r="K18" s="95">
        <f t="shared" si="13"/>
        <v>0</v>
      </c>
      <c r="L18" s="95">
        <f t="shared" si="13"/>
        <v>0</v>
      </c>
      <c r="M18" s="95">
        <f t="shared" si="13"/>
        <v>0</v>
      </c>
      <c r="N18" s="95">
        <f t="shared" si="13"/>
        <v>-9.463045410000001</v>
      </c>
      <c r="O18" s="95">
        <f t="shared" si="13"/>
        <v>-18.926090820000002</v>
      </c>
      <c r="P18" s="92">
        <f>O18</f>
        <v>-18.926090820000002</v>
      </c>
      <c r="Q18" s="95">
        <f>P18+Q17</f>
        <v>-43.62576923000001</v>
      </c>
      <c r="R18" s="95">
        <f aca="true" t="shared" si="14" ref="R18:AA18">Q18+R17</f>
        <v>-68.32544764000002</v>
      </c>
      <c r="S18" s="95">
        <f t="shared" si="14"/>
        <v>-55.32543405000007</v>
      </c>
      <c r="T18" s="95">
        <f t="shared" si="14"/>
        <v>-42.60142595112511</v>
      </c>
      <c r="U18" s="95">
        <f t="shared" si="14"/>
        <v>8.211836183794865</v>
      </c>
      <c r="V18" s="95">
        <f t="shared" si="14"/>
        <v>59.414660354759846</v>
      </c>
      <c r="W18" s="95">
        <f t="shared" si="14"/>
        <v>148.70673856176984</v>
      </c>
      <c r="X18" s="95">
        <f t="shared" si="14"/>
        <v>238.38837880482484</v>
      </c>
      <c r="Y18" s="95">
        <f t="shared" si="14"/>
        <v>366.15927308392486</v>
      </c>
      <c r="Z18" s="95">
        <f t="shared" si="14"/>
        <v>494.31972939906984</v>
      </c>
      <c r="AA18" s="95">
        <f t="shared" si="14"/>
        <v>660.5694397502598</v>
      </c>
      <c r="AB18" s="95">
        <f>AA18+AB17</f>
        <v>827.2087121374948</v>
      </c>
      <c r="AC18" s="92">
        <f>AB18</f>
        <v>827.2087121374948</v>
      </c>
      <c r="AD18" s="95">
        <f aca="true" t="shared" si="15" ref="AD18:AI18">AC18+AD17</f>
        <v>2857.2658195958247</v>
      </c>
      <c r="AE18" s="95">
        <f t="shared" si="15"/>
        <v>5384.908427235374</v>
      </c>
      <c r="AF18" s="95">
        <f t="shared" si="15"/>
        <v>8821.239263235373</v>
      </c>
      <c r="AG18" s="95">
        <f t="shared" si="15"/>
        <v>13162.362707235374</v>
      </c>
      <c r="AH18" s="95">
        <f t="shared" si="15"/>
        <v>17503.486151235375</v>
      </c>
      <c r="AI18" s="95">
        <f t="shared" si="15"/>
        <v>21844.609595235375</v>
      </c>
    </row>
    <row r="19" spans="1:178" ht="15" customHeight="1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</row>
    <row r="20" spans="1:178" ht="15" customHeight="1">
      <c r="A20" s="83"/>
      <c r="B20" s="101"/>
      <c r="C20" s="101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</row>
    <row r="21" spans="1:178" ht="15" customHeight="1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</row>
    <row r="22" spans="1:35" ht="12.75" hidden="1">
      <c r="A22" s="102" t="s">
        <v>51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</row>
    <row r="23" spans="1:48" s="106" customFormat="1" ht="12.75" hidden="1">
      <c r="A23" s="315" t="s">
        <v>2</v>
      </c>
      <c r="B23" s="318" t="s">
        <v>0</v>
      </c>
      <c r="C23" s="103"/>
      <c r="D23" s="309">
        <f>D3</f>
        <v>2013</v>
      </c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1"/>
      <c r="Q23" s="309">
        <f>Q3</f>
        <v>2014</v>
      </c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1"/>
      <c r="AD23" s="104">
        <f aca="true" t="shared" si="16" ref="AD23:AI23">AD3</f>
        <v>2015</v>
      </c>
      <c r="AE23" s="104">
        <f t="shared" si="16"/>
        <v>2016</v>
      </c>
      <c r="AF23" s="104">
        <f t="shared" si="16"/>
        <v>2017</v>
      </c>
      <c r="AG23" s="104">
        <f t="shared" si="16"/>
        <v>2018</v>
      </c>
      <c r="AH23" s="104">
        <f t="shared" si="16"/>
        <v>2019</v>
      </c>
      <c r="AI23" s="104">
        <f t="shared" si="16"/>
        <v>2020</v>
      </c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</row>
    <row r="24" spans="1:48" s="106" customFormat="1" ht="19.5" customHeight="1" hidden="1">
      <c r="A24" s="316"/>
      <c r="B24" s="319"/>
      <c r="C24" s="107"/>
      <c r="D24" s="108">
        <f>D4</f>
        <v>1</v>
      </c>
      <c r="E24" s="108">
        <f aca="true" t="shared" si="17" ref="E24:O24">E4</f>
        <v>2</v>
      </c>
      <c r="F24" s="108">
        <f t="shared" si="17"/>
        <v>3</v>
      </c>
      <c r="G24" s="108">
        <f t="shared" si="17"/>
        <v>4</v>
      </c>
      <c r="H24" s="108">
        <f t="shared" si="17"/>
        <v>5</v>
      </c>
      <c r="I24" s="108">
        <f t="shared" si="17"/>
        <v>6</v>
      </c>
      <c r="J24" s="108">
        <f t="shared" si="17"/>
        <v>7</v>
      </c>
      <c r="K24" s="108">
        <f t="shared" si="17"/>
        <v>8</v>
      </c>
      <c r="L24" s="108">
        <f t="shared" si="17"/>
        <v>9</v>
      </c>
      <c r="M24" s="108">
        <f t="shared" si="17"/>
        <v>10</v>
      </c>
      <c r="N24" s="108">
        <f t="shared" si="17"/>
        <v>11</v>
      </c>
      <c r="O24" s="108">
        <f t="shared" si="17"/>
        <v>12</v>
      </c>
      <c r="P24" s="109" t="s">
        <v>0</v>
      </c>
      <c r="Q24" s="108">
        <f>Q4</f>
        <v>1</v>
      </c>
      <c r="R24" s="108">
        <f aca="true" t="shared" si="18" ref="R24:AB24">R4</f>
        <v>2</v>
      </c>
      <c r="S24" s="108">
        <f t="shared" si="18"/>
        <v>3</v>
      </c>
      <c r="T24" s="108">
        <f t="shared" si="18"/>
        <v>4</v>
      </c>
      <c r="U24" s="108">
        <f t="shared" si="18"/>
        <v>5</v>
      </c>
      <c r="V24" s="108">
        <f t="shared" si="18"/>
        <v>6</v>
      </c>
      <c r="W24" s="108">
        <f t="shared" si="18"/>
        <v>7</v>
      </c>
      <c r="X24" s="108">
        <f t="shared" si="18"/>
        <v>8</v>
      </c>
      <c r="Y24" s="108">
        <f t="shared" si="18"/>
        <v>9</v>
      </c>
      <c r="Z24" s="108">
        <f t="shared" si="18"/>
        <v>10</v>
      </c>
      <c r="AA24" s="108">
        <f t="shared" si="18"/>
        <v>11</v>
      </c>
      <c r="AB24" s="108">
        <f t="shared" si="18"/>
        <v>12</v>
      </c>
      <c r="AC24" s="109" t="s">
        <v>0</v>
      </c>
      <c r="AD24" s="109"/>
      <c r="AE24" s="109"/>
      <c r="AF24" s="109"/>
      <c r="AG24" s="109"/>
      <c r="AH24" s="109"/>
      <c r="AI24" s="109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</row>
    <row r="25" spans="1:48" s="106" customFormat="1" ht="12.75" hidden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</row>
    <row r="26" spans="1:48" s="106" customFormat="1" ht="12.75" hidden="1">
      <c r="A26" s="110" t="s">
        <v>161</v>
      </c>
      <c r="B26" s="98">
        <f>P26+AC26+AD26+AE26+AF26+AG26+AH26</f>
        <v>0</v>
      </c>
      <c r="C26" s="112"/>
      <c r="D26" s="112">
        <f aca="true" t="shared" si="19" ref="D26:O26">D5*ндс</f>
        <v>0</v>
      </c>
      <c r="E26" s="112">
        <f t="shared" si="19"/>
        <v>0</v>
      </c>
      <c r="F26" s="112">
        <f t="shared" si="19"/>
        <v>0</v>
      </c>
      <c r="G26" s="112">
        <f t="shared" si="19"/>
        <v>0</v>
      </c>
      <c r="H26" s="112">
        <f t="shared" si="19"/>
        <v>0</v>
      </c>
      <c r="I26" s="112">
        <f t="shared" si="19"/>
        <v>0</v>
      </c>
      <c r="J26" s="112">
        <f t="shared" si="19"/>
        <v>0</v>
      </c>
      <c r="K26" s="112">
        <f t="shared" si="19"/>
        <v>0</v>
      </c>
      <c r="L26" s="112">
        <f t="shared" si="19"/>
        <v>0</v>
      </c>
      <c r="M26" s="112">
        <f t="shared" si="19"/>
        <v>0</v>
      </c>
      <c r="N26" s="112">
        <f t="shared" si="19"/>
        <v>0</v>
      </c>
      <c r="O26" s="112">
        <f t="shared" si="19"/>
        <v>0</v>
      </c>
      <c r="P26" s="113">
        <f>SUM(D26:O26)</f>
        <v>0</v>
      </c>
      <c r="Q26" s="112">
        <f aca="true" t="shared" si="20" ref="Q26:AB26">Q5*ндс</f>
        <v>0</v>
      </c>
      <c r="R26" s="112">
        <f t="shared" si="20"/>
        <v>0</v>
      </c>
      <c r="S26" s="112">
        <f t="shared" si="20"/>
        <v>0</v>
      </c>
      <c r="T26" s="112">
        <f t="shared" si="20"/>
        <v>0</v>
      </c>
      <c r="U26" s="112">
        <f t="shared" si="20"/>
        <v>0</v>
      </c>
      <c r="V26" s="112">
        <f t="shared" si="20"/>
        <v>0</v>
      </c>
      <c r="W26" s="112">
        <f t="shared" si="20"/>
        <v>0</v>
      </c>
      <c r="X26" s="112">
        <f t="shared" si="20"/>
        <v>0</v>
      </c>
      <c r="Y26" s="112">
        <f t="shared" si="20"/>
        <v>0</v>
      </c>
      <c r="Z26" s="112">
        <f t="shared" si="20"/>
        <v>0</v>
      </c>
      <c r="AA26" s="112">
        <f t="shared" si="20"/>
        <v>0</v>
      </c>
      <c r="AB26" s="112">
        <f t="shared" si="20"/>
        <v>0</v>
      </c>
      <c r="AC26" s="113">
        <f>SUM(Q26:AB26)</f>
        <v>0</v>
      </c>
      <c r="AD26" s="112">
        <f aca="true" t="shared" si="21" ref="AD26:AI26">AD5*ндс</f>
        <v>0</v>
      </c>
      <c r="AE26" s="112">
        <f t="shared" si="21"/>
        <v>0</v>
      </c>
      <c r="AF26" s="112">
        <f t="shared" si="21"/>
        <v>0</v>
      </c>
      <c r="AG26" s="112">
        <f t="shared" si="21"/>
        <v>0</v>
      </c>
      <c r="AH26" s="112">
        <f t="shared" si="21"/>
        <v>0</v>
      </c>
      <c r="AI26" s="112">
        <f t="shared" si="21"/>
        <v>0</v>
      </c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</row>
    <row r="27" spans="1:48" s="106" customFormat="1" ht="12.75" hidden="1">
      <c r="A27" s="110" t="s">
        <v>162</v>
      </c>
      <c r="B27" s="98">
        <f>P27+AC27+AD27+AE27+AF27+AG27+AH27</f>
        <v>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>
        <f>(N8+N12-Пост!$C$6-Пост!$C$17-Пост!$C$20)*ндс</f>
        <v>0</v>
      </c>
      <c r="O27" s="112">
        <f>(O8+O12-Пост!$C$6-Пост!$C$17-Пост!$C$20+'1-Ф3'!O13/Исх!$C$18)*ндс</f>
        <v>0</v>
      </c>
      <c r="P27" s="113">
        <f>SUM(D27:O27)</f>
        <v>0</v>
      </c>
      <c r="Q27" s="112">
        <f>(Q8+Q12-Пост!$D$6-Пост!$D$17-Пост!$D$20)*ндс</f>
        <v>0</v>
      </c>
      <c r="R27" s="112">
        <f>(R8+R12-Пост!$D$6-Пост!$D$17-Пост!$D$20)*ндс</f>
        <v>0</v>
      </c>
      <c r="S27" s="112">
        <f>(S8+S12-Пост!$D$6-Пост!$D$17-Пост!$D$20)*ндс</f>
        <v>0</v>
      </c>
      <c r="T27" s="112">
        <f>(T8+T12-Пост!$D$6-Пост!$D$17-Пост!$D$20)*ндс</f>
        <v>0</v>
      </c>
      <c r="U27" s="112">
        <f>(U8+U12-Пост!$D$6-Пост!$D$17-Пост!$D$20)*ндс</f>
        <v>0</v>
      </c>
      <c r="V27" s="112">
        <f>(V8+V12-Пост!$D$6-Пост!$D$17-Пост!$D$20)*ндс</f>
        <v>0</v>
      </c>
      <c r="W27" s="112">
        <f>(W8+W12-Пост!$D$6-Пост!$D$17-Пост!$D$20)*ндс</f>
        <v>0</v>
      </c>
      <c r="X27" s="112">
        <f>(X8+X12-Пост!$D$6-Пост!$D$17-Пост!$D$20)*ндс</f>
        <v>0</v>
      </c>
      <c r="Y27" s="112">
        <f>(Y8+Y12-Пост!$D$6-Пост!$D$17-Пост!$D$20)*ндс</f>
        <v>0</v>
      </c>
      <c r="Z27" s="112">
        <f>(Z8+Z12-Пост!$D$6-Пост!$D$17-Пост!$D$20)*ндс</f>
        <v>0</v>
      </c>
      <c r="AA27" s="112">
        <f>(AA8+AA12-Пост!$D$6-Пост!$D$17-Пост!$D$20)*ндс</f>
        <v>0</v>
      </c>
      <c r="AB27" s="112">
        <f>(AB8+AB12-Пост!$D$6-Пост!$D$17-Пост!$D$20)*ндс</f>
        <v>0</v>
      </c>
      <c r="AC27" s="113">
        <f>SUM(Q27:AB27)</f>
        <v>0</v>
      </c>
      <c r="AD27" s="112">
        <f>(AD8+AD12-(Пост!E6+Пост!E17+Пост!E20)*12)*ндс</f>
        <v>0</v>
      </c>
      <c r="AE27" s="112">
        <f>(AE8+AE12-(Пост!F6+Пост!F17+Пост!F20)*12)*ндс</f>
        <v>0</v>
      </c>
      <c r="AF27" s="112">
        <f>(AF8+AF12-(Пост!G6+Пост!G17+Пост!G20)*12)*ндс</f>
        <v>0</v>
      </c>
      <c r="AG27" s="112">
        <f>(AG8+AG12-(Пост!H6+Пост!H17+Пост!H20)*12)*ндс</f>
        <v>0</v>
      </c>
      <c r="AH27" s="112">
        <f>(AH8+AH12-(Пост!I6+Пост!I17+Пост!I20)*12)*ндс</f>
        <v>0</v>
      </c>
      <c r="AI27" s="112">
        <f>(AI8+AI12-(Пост!J6+Пост!J17+Пост!J20)*12)*ндс</f>
        <v>0</v>
      </c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</row>
    <row r="28" spans="1:48" s="106" customFormat="1" ht="12.75" hidden="1">
      <c r="A28" s="110" t="s">
        <v>163</v>
      </c>
      <c r="B28" s="98">
        <f>P28+AC28+AD28+AE28+AF28+AG28+AH28</f>
        <v>0</v>
      </c>
      <c r="C28" s="112"/>
      <c r="D28" s="112">
        <f>Инв!E19/Исх!$C$18*ндс</f>
        <v>0</v>
      </c>
      <c r="E28" s="112">
        <f>Инв!F19/Исх!$C$18*ндс</f>
        <v>0</v>
      </c>
      <c r="F28" s="112">
        <f>Инв!G19/Исх!$C$18*ндс</f>
        <v>0</v>
      </c>
      <c r="G28" s="112">
        <f>Инв!H19/Исх!$C$18*ндс</f>
        <v>0</v>
      </c>
      <c r="H28" s="112">
        <f>Инв!I19/Исх!$C$18*ндс</f>
        <v>0</v>
      </c>
      <c r="I28" s="112">
        <f>Инв!J19/Исх!$C$18*ндс</f>
        <v>0</v>
      </c>
      <c r="J28" s="112">
        <f>Инв!K19/Исх!$C$18*ндс</f>
        <v>0</v>
      </c>
      <c r="K28" s="112">
        <f>Инв!L19/Исх!$C$18*ндс</f>
        <v>0</v>
      </c>
      <c r="L28" s="112">
        <f>Инв!M19/Исх!$C$18*ндс</f>
        <v>0</v>
      </c>
      <c r="M28" s="112">
        <f>Инв!N19/Исх!$C$18*ндс</f>
        <v>0</v>
      </c>
      <c r="N28" s="112">
        <f>Инв!O19/Исх!$C$18*ндс</f>
        <v>0</v>
      </c>
      <c r="O28" s="112">
        <f>Инв!P19/Исх!$C$18*ндс</f>
        <v>0</v>
      </c>
      <c r="P28" s="113">
        <f>SUM(D28:O28)</f>
        <v>0</v>
      </c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3"/>
      <c r="AD28" s="113"/>
      <c r="AE28" s="113"/>
      <c r="AF28" s="113"/>
      <c r="AG28" s="113"/>
      <c r="AH28" s="113"/>
      <c r="AI28" s="113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</row>
    <row r="29" spans="1:48" s="106" customFormat="1" ht="12.75" hidden="1">
      <c r="A29" s="110" t="s">
        <v>28</v>
      </c>
      <c r="B29" s="98">
        <f>P29+AC29+AD29+AE29+AF29+AG29+AH29</f>
        <v>0</v>
      </c>
      <c r="C29" s="112"/>
      <c r="D29" s="112">
        <f>D26-D27-D28</f>
        <v>0</v>
      </c>
      <c r="E29" s="112">
        <f aca="true" t="shared" si="22" ref="E29:O29">E26-E27-E28</f>
        <v>0</v>
      </c>
      <c r="F29" s="112">
        <f t="shared" si="22"/>
        <v>0</v>
      </c>
      <c r="G29" s="112">
        <f t="shared" si="22"/>
        <v>0</v>
      </c>
      <c r="H29" s="112">
        <f t="shared" si="22"/>
        <v>0</v>
      </c>
      <c r="I29" s="112">
        <f t="shared" si="22"/>
        <v>0</v>
      </c>
      <c r="J29" s="112">
        <f t="shared" si="22"/>
        <v>0</v>
      </c>
      <c r="K29" s="112">
        <f t="shared" si="22"/>
        <v>0</v>
      </c>
      <c r="L29" s="112">
        <f t="shared" si="22"/>
        <v>0</v>
      </c>
      <c r="M29" s="112">
        <f t="shared" si="22"/>
        <v>0</v>
      </c>
      <c r="N29" s="112">
        <f t="shared" si="22"/>
        <v>0</v>
      </c>
      <c r="O29" s="112">
        <f t="shared" si="22"/>
        <v>0</v>
      </c>
      <c r="P29" s="113">
        <f>SUM(D29:O29)</f>
        <v>0</v>
      </c>
      <c r="Q29" s="112">
        <f aca="true" t="shared" si="23" ref="Q29:AB29">Q26-Q27-Q28</f>
        <v>0</v>
      </c>
      <c r="R29" s="112">
        <f t="shared" si="23"/>
        <v>0</v>
      </c>
      <c r="S29" s="112">
        <f t="shared" si="23"/>
        <v>0</v>
      </c>
      <c r="T29" s="112">
        <f t="shared" si="23"/>
        <v>0</v>
      </c>
      <c r="U29" s="112">
        <f t="shared" si="23"/>
        <v>0</v>
      </c>
      <c r="V29" s="112">
        <f t="shared" si="23"/>
        <v>0</v>
      </c>
      <c r="W29" s="112">
        <f t="shared" si="23"/>
        <v>0</v>
      </c>
      <c r="X29" s="112">
        <f t="shared" si="23"/>
        <v>0</v>
      </c>
      <c r="Y29" s="112">
        <f t="shared" si="23"/>
        <v>0</v>
      </c>
      <c r="Z29" s="112">
        <f t="shared" si="23"/>
        <v>0</v>
      </c>
      <c r="AA29" s="112">
        <f t="shared" si="23"/>
        <v>0</v>
      </c>
      <c r="AB29" s="112">
        <f t="shared" si="23"/>
        <v>0</v>
      </c>
      <c r="AC29" s="113">
        <f>SUM(Q29:AB29)</f>
        <v>0</v>
      </c>
      <c r="AD29" s="112">
        <f aca="true" t="shared" si="24" ref="AD29:AI29">AD26-AD27-AD28</f>
        <v>0</v>
      </c>
      <c r="AE29" s="112">
        <f t="shared" si="24"/>
        <v>0</v>
      </c>
      <c r="AF29" s="112">
        <f t="shared" si="24"/>
        <v>0</v>
      </c>
      <c r="AG29" s="112">
        <f t="shared" si="24"/>
        <v>0</v>
      </c>
      <c r="AH29" s="112">
        <f t="shared" si="24"/>
        <v>0</v>
      </c>
      <c r="AI29" s="112">
        <f t="shared" si="24"/>
        <v>0</v>
      </c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</row>
    <row r="30" spans="1:48" s="106" customFormat="1" ht="12.75" hidden="1">
      <c r="A30" s="110" t="s">
        <v>164</v>
      </c>
      <c r="B30" s="98">
        <f>AH30</f>
        <v>0</v>
      </c>
      <c r="C30" s="112"/>
      <c r="D30" s="112">
        <f>D29</f>
        <v>0</v>
      </c>
      <c r="E30" s="112">
        <f>D30+E29</f>
        <v>0</v>
      </c>
      <c r="F30" s="112">
        <f aca="true" t="shared" si="25" ref="F30:O30">E30+F29</f>
        <v>0</v>
      </c>
      <c r="G30" s="112">
        <f t="shared" si="25"/>
        <v>0</v>
      </c>
      <c r="H30" s="112">
        <f t="shared" si="25"/>
        <v>0</v>
      </c>
      <c r="I30" s="112">
        <f t="shared" si="25"/>
        <v>0</v>
      </c>
      <c r="J30" s="112">
        <f t="shared" si="25"/>
        <v>0</v>
      </c>
      <c r="K30" s="112">
        <f t="shared" si="25"/>
        <v>0</v>
      </c>
      <c r="L30" s="112">
        <f t="shared" si="25"/>
        <v>0</v>
      </c>
      <c r="M30" s="112">
        <f t="shared" si="25"/>
        <v>0</v>
      </c>
      <c r="N30" s="112">
        <f t="shared" si="25"/>
        <v>0</v>
      </c>
      <c r="O30" s="112">
        <f t="shared" si="25"/>
        <v>0</v>
      </c>
      <c r="P30" s="113">
        <f>O30</f>
        <v>0</v>
      </c>
      <c r="Q30" s="112">
        <f aca="true" t="shared" si="26" ref="Q30:AB30">P30+Q29</f>
        <v>0</v>
      </c>
      <c r="R30" s="112">
        <f t="shared" si="26"/>
        <v>0</v>
      </c>
      <c r="S30" s="112">
        <f t="shared" si="26"/>
        <v>0</v>
      </c>
      <c r="T30" s="112">
        <f t="shared" si="26"/>
        <v>0</v>
      </c>
      <c r="U30" s="112">
        <f t="shared" si="26"/>
        <v>0</v>
      </c>
      <c r="V30" s="112">
        <f t="shared" si="26"/>
        <v>0</v>
      </c>
      <c r="W30" s="112">
        <f t="shared" si="26"/>
        <v>0</v>
      </c>
      <c r="X30" s="112">
        <f t="shared" si="26"/>
        <v>0</v>
      </c>
      <c r="Y30" s="112">
        <f t="shared" si="26"/>
        <v>0</v>
      </c>
      <c r="Z30" s="112">
        <f t="shared" si="26"/>
        <v>0</v>
      </c>
      <c r="AA30" s="112">
        <f t="shared" si="26"/>
        <v>0</v>
      </c>
      <c r="AB30" s="112">
        <f t="shared" si="26"/>
        <v>0</v>
      </c>
      <c r="AC30" s="113">
        <f>AB30</f>
        <v>0</v>
      </c>
      <c r="AD30" s="112">
        <f aca="true" t="shared" si="27" ref="AD30:AI30">AC30+AD29</f>
        <v>0</v>
      </c>
      <c r="AE30" s="112">
        <f t="shared" si="27"/>
        <v>0</v>
      </c>
      <c r="AF30" s="112">
        <f t="shared" si="27"/>
        <v>0</v>
      </c>
      <c r="AG30" s="112">
        <f t="shared" si="27"/>
        <v>0</v>
      </c>
      <c r="AH30" s="112">
        <f t="shared" si="27"/>
        <v>0</v>
      </c>
      <c r="AI30" s="112">
        <f t="shared" si="27"/>
        <v>0</v>
      </c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</row>
    <row r="31" spans="1:48" s="106" customFormat="1" ht="12.75" hidden="1">
      <c r="A31" s="110" t="s">
        <v>165</v>
      </c>
      <c r="B31" s="98">
        <f>P31+AC31+AD31+AE31+AF31+AG31+AH31</f>
        <v>0</v>
      </c>
      <c r="C31" s="112"/>
      <c r="D31" s="112">
        <f>IF(C30+D29&gt;=0,IF(C30&lt;0,C30+D29,D29),0)</f>
        <v>0</v>
      </c>
      <c r="E31" s="112">
        <f aca="true" t="shared" si="28" ref="E31:AI31">IF(D30+E29&gt;=0,IF(D30&lt;0,D30+E29,E29),0)</f>
        <v>0</v>
      </c>
      <c r="F31" s="112">
        <f t="shared" si="28"/>
        <v>0</v>
      </c>
      <c r="G31" s="112">
        <f t="shared" si="28"/>
        <v>0</v>
      </c>
      <c r="H31" s="112">
        <f t="shared" si="28"/>
        <v>0</v>
      </c>
      <c r="I31" s="112">
        <f t="shared" si="28"/>
        <v>0</v>
      </c>
      <c r="J31" s="112">
        <f t="shared" si="28"/>
        <v>0</v>
      </c>
      <c r="K31" s="112">
        <f t="shared" si="28"/>
        <v>0</v>
      </c>
      <c r="L31" s="112">
        <f t="shared" si="28"/>
        <v>0</v>
      </c>
      <c r="M31" s="112">
        <f t="shared" si="28"/>
        <v>0</v>
      </c>
      <c r="N31" s="112">
        <f t="shared" si="28"/>
        <v>0</v>
      </c>
      <c r="O31" s="112">
        <f t="shared" si="28"/>
        <v>0</v>
      </c>
      <c r="P31" s="113">
        <f>SUM(D31:O31)</f>
        <v>0</v>
      </c>
      <c r="Q31" s="112">
        <f t="shared" si="28"/>
        <v>0</v>
      </c>
      <c r="R31" s="112">
        <f t="shared" si="28"/>
        <v>0</v>
      </c>
      <c r="S31" s="112">
        <f t="shared" si="28"/>
        <v>0</v>
      </c>
      <c r="T31" s="112">
        <f t="shared" si="28"/>
        <v>0</v>
      </c>
      <c r="U31" s="112">
        <f t="shared" si="28"/>
        <v>0</v>
      </c>
      <c r="V31" s="112">
        <f t="shared" si="28"/>
        <v>0</v>
      </c>
      <c r="W31" s="112">
        <f t="shared" si="28"/>
        <v>0</v>
      </c>
      <c r="X31" s="112">
        <f t="shared" si="28"/>
        <v>0</v>
      </c>
      <c r="Y31" s="112">
        <f t="shared" si="28"/>
        <v>0</v>
      </c>
      <c r="Z31" s="112">
        <f t="shared" si="28"/>
        <v>0</v>
      </c>
      <c r="AA31" s="112">
        <f t="shared" si="28"/>
        <v>0</v>
      </c>
      <c r="AB31" s="112">
        <f t="shared" si="28"/>
        <v>0</v>
      </c>
      <c r="AC31" s="113">
        <f>SUM(Q31:AB31)</f>
        <v>0</v>
      </c>
      <c r="AD31" s="112">
        <f t="shared" si="28"/>
        <v>0</v>
      </c>
      <c r="AE31" s="112">
        <f t="shared" si="28"/>
        <v>0</v>
      </c>
      <c r="AF31" s="112">
        <f t="shared" si="28"/>
        <v>0</v>
      </c>
      <c r="AG31" s="112">
        <f t="shared" si="28"/>
        <v>0</v>
      </c>
      <c r="AH31" s="112">
        <f t="shared" si="28"/>
        <v>0</v>
      </c>
      <c r="AI31" s="112">
        <f t="shared" si="28"/>
        <v>0</v>
      </c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</row>
    <row r="33" ht="12.75">
      <c r="B33" s="114"/>
    </row>
  </sheetData>
  <sheetProtection/>
  <mergeCells count="8">
    <mergeCell ref="Q23:AC23"/>
    <mergeCell ref="Q3:AC3"/>
    <mergeCell ref="A3:A4"/>
    <mergeCell ref="A23:A24"/>
    <mergeCell ref="B3:B4"/>
    <mergeCell ref="D23:P23"/>
    <mergeCell ref="B23:B24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B41"/>
  <sheetViews>
    <sheetView showGridLines="0" showZeros="0" zoomScalePageLayoutView="0" workbookViewId="0" topLeftCell="A1">
      <pane xSplit="3" ySplit="4" topLeftCell="D5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O9" sqref="O9"/>
    </sheetView>
  </sheetViews>
  <sheetFormatPr defaultColWidth="10.125" defaultRowHeight="12.75" outlineLevelCol="1"/>
  <cols>
    <col min="1" max="1" width="38.125" style="116" customWidth="1"/>
    <col min="2" max="2" width="2.375" style="116" customWidth="1"/>
    <col min="3" max="3" width="7.125" style="116" customWidth="1"/>
    <col min="4" max="4" width="11.375" style="116" hidden="1" customWidth="1" outlineLevel="1"/>
    <col min="5" max="11" width="7.375" style="116" hidden="1" customWidth="1" outlineLevel="1"/>
    <col min="12" max="12" width="8.00390625" style="116" hidden="1" customWidth="1" outlineLevel="1"/>
    <col min="13" max="13" width="7.875" style="116" hidden="1" customWidth="1" outlineLevel="1"/>
    <col min="14" max="15" width="8.125" style="116" hidden="1" customWidth="1" outlineLevel="1"/>
    <col min="16" max="16" width="9.875" style="116" customWidth="1" collapsed="1"/>
    <col min="17" max="23" width="8.375" style="116" hidden="1" customWidth="1" outlineLevel="1"/>
    <col min="24" max="25" width="8.75390625" style="116" hidden="1" customWidth="1" outlineLevel="1"/>
    <col min="26" max="26" width="8.625" style="116" hidden="1" customWidth="1" outlineLevel="1"/>
    <col min="27" max="27" width="9.00390625" style="116" hidden="1" customWidth="1" outlineLevel="1"/>
    <col min="28" max="28" width="9.125" style="116" hidden="1" customWidth="1" outlineLevel="1"/>
    <col min="29" max="29" width="10.125" style="116" customWidth="1" collapsed="1"/>
    <col min="30" max="30" width="9.875" style="116" customWidth="1"/>
    <col min="31" max="31" width="9.75390625" style="116" customWidth="1"/>
    <col min="32" max="32" width="9.625" style="116" customWidth="1"/>
    <col min="33" max="35" width="9.75390625" style="116" customWidth="1"/>
    <col min="36" max="16384" width="10.125" style="116" customWidth="1"/>
  </cols>
  <sheetData>
    <row r="1" spans="1:3" ht="12.75">
      <c r="A1" s="61" t="s">
        <v>112</v>
      </c>
      <c r="B1" s="115"/>
      <c r="C1" s="115"/>
    </row>
    <row r="2" spans="1:35" ht="17.25" customHeight="1">
      <c r="A2" s="61"/>
      <c r="C2" s="12" t="str">
        <f>Исх!$C$9</f>
        <v>тыс.тг.</v>
      </c>
      <c r="P2" s="117"/>
      <c r="AC2" s="117"/>
      <c r="AD2" s="117"/>
      <c r="AE2" s="117"/>
      <c r="AF2" s="117"/>
      <c r="AG2" s="117"/>
      <c r="AH2" s="117"/>
      <c r="AI2" s="117"/>
    </row>
    <row r="3" spans="1:35" ht="12.75" customHeight="1">
      <c r="A3" s="320" t="s">
        <v>2</v>
      </c>
      <c r="B3" s="322"/>
      <c r="C3" s="119"/>
      <c r="D3" s="323">
        <v>2013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>
        <v>2014</v>
      </c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120">
        <f>Q3+1</f>
        <v>2015</v>
      </c>
      <c r="AE3" s="120">
        <f>AD3+1</f>
        <v>2016</v>
      </c>
      <c r="AF3" s="120">
        <f>AE3+1</f>
        <v>2017</v>
      </c>
      <c r="AG3" s="120">
        <f>AF3+1</f>
        <v>2018</v>
      </c>
      <c r="AH3" s="120">
        <f>AG3+1</f>
        <v>2019</v>
      </c>
      <c r="AI3" s="120">
        <f>AH3+1</f>
        <v>2020</v>
      </c>
    </row>
    <row r="4" spans="1:35" ht="12.75">
      <c r="A4" s="321"/>
      <c r="B4" s="322"/>
      <c r="C4" s="121"/>
      <c r="D4" s="122">
        <v>1</v>
      </c>
      <c r="E4" s="122">
        <f>D4+1</f>
        <v>2</v>
      </c>
      <c r="F4" s="122">
        <f aca="true" t="shared" si="0" ref="F4:O4">E4+1</f>
        <v>3</v>
      </c>
      <c r="G4" s="122">
        <f t="shared" si="0"/>
        <v>4</v>
      </c>
      <c r="H4" s="122">
        <f t="shared" si="0"/>
        <v>5</v>
      </c>
      <c r="I4" s="122">
        <f t="shared" si="0"/>
        <v>6</v>
      </c>
      <c r="J4" s="122">
        <f t="shared" si="0"/>
        <v>7</v>
      </c>
      <c r="K4" s="122">
        <f t="shared" si="0"/>
        <v>8</v>
      </c>
      <c r="L4" s="122">
        <f t="shared" si="0"/>
        <v>9</v>
      </c>
      <c r="M4" s="122">
        <f t="shared" si="0"/>
        <v>10</v>
      </c>
      <c r="N4" s="122">
        <f t="shared" si="0"/>
        <v>11</v>
      </c>
      <c r="O4" s="122">
        <f t="shared" si="0"/>
        <v>12</v>
      </c>
      <c r="P4" s="118" t="s">
        <v>0</v>
      </c>
      <c r="Q4" s="122">
        <v>1</v>
      </c>
      <c r="R4" s="122">
        <f aca="true" t="shared" si="1" ref="R4:AB4">Q4+1</f>
        <v>2</v>
      </c>
      <c r="S4" s="122">
        <f t="shared" si="1"/>
        <v>3</v>
      </c>
      <c r="T4" s="122">
        <f t="shared" si="1"/>
        <v>4</v>
      </c>
      <c r="U4" s="122">
        <f t="shared" si="1"/>
        <v>5</v>
      </c>
      <c r="V4" s="122">
        <f t="shared" si="1"/>
        <v>6</v>
      </c>
      <c r="W4" s="122">
        <f t="shared" si="1"/>
        <v>7</v>
      </c>
      <c r="X4" s="122">
        <f t="shared" si="1"/>
        <v>8</v>
      </c>
      <c r="Y4" s="122">
        <f t="shared" si="1"/>
        <v>9</v>
      </c>
      <c r="Z4" s="122">
        <f t="shared" si="1"/>
        <v>10</v>
      </c>
      <c r="AA4" s="122">
        <f t="shared" si="1"/>
        <v>11</v>
      </c>
      <c r="AB4" s="122">
        <f t="shared" si="1"/>
        <v>12</v>
      </c>
      <c r="AC4" s="118" t="s">
        <v>0</v>
      </c>
      <c r="AD4" s="118" t="s">
        <v>109</v>
      </c>
      <c r="AE4" s="118" t="s">
        <v>109</v>
      </c>
      <c r="AF4" s="118" t="s">
        <v>109</v>
      </c>
      <c r="AG4" s="118" t="s">
        <v>109</v>
      </c>
      <c r="AH4" s="118" t="s">
        <v>109</v>
      </c>
      <c r="AI4" s="118" t="s">
        <v>109</v>
      </c>
    </row>
    <row r="5" spans="1:42" s="127" customFormat="1" ht="15" customHeight="1">
      <c r="A5" s="123" t="s">
        <v>113</v>
      </c>
      <c r="B5" s="124"/>
      <c r="C5" s="125">
        <f>C11+C6</f>
        <v>0</v>
      </c>
      <c r="D5" s="125">
        <f>D11+D6</f>
        <v>0</v>
      </c>
      <c r="E5" s="125">
        <f aca="true" t="shared" si="2" ref="E5:AH5">E11+E6</f>
        <v>0</v>
      </c>
      <c r="F5" s="125">
        <f t="shared" si="2"/>
        <v>0</v>
      </c>
      <c r="G5" s="125">
        <f t="shared" si="2"/>
        <v>0</v>
      </c>
      <c r="H5" s="125">
        <f t="shared" si="2"/>
        <v>0</v>
      </c>
      <c r="I5" s="125">
        <f t="shared" si="2"/>
        <v>0</v>
      </c>
      <c r="J5" s="125">
        <f t="shared" si="2"/>
        <v>0</v>
      </c>
      <c r="K5" s="125">
        <f t="shared" si="2"/>
        <v>0</v>
      </c>
      <c r="L5" s="125">
        <f t="shared" si="2"/>
        <v>0</v>
      </c>
      <c r="M5" s="125">
        <f t="shared" si="2"/>
        <v>1908.5133600000001</v>
      </c>
      <c r="N5" s="125">
        <f t="shared" si="2"/>
        <v>1908.5133600000001</v>
      </c>
      <c r="O5" s="125">
        <f t="shared" si="2"/>
        <v>1938.9164400000002</v>
      </c>
      <c r="P5" s="125">
        <f t="shared" si="2"/>
        <v>1938.9164400000002</v>
      </c>
      <c r="Q5" s="125">
        <f t="shared" si="2"/>
        <v>1923.679807</v>
      </c>
      <c r="R5" s="125">
        <f t="shared" si="2"/>
        <v>1908.443174</v>
      </c>
      <c r="S5" s="125">
        <f t="shared" si="2"/>
        <v>1930.906233</v>
      </c>
      <c r="T5" s="125">
        <f t="shared" si="2"/>
        <v>1876.8481777768748</v>
      </c>
      <c r="U5" s="125">
        <f t="shared" si="2"/>
        <v>1860.8793765897947</v>
      </c>
      <c r="V5" s="125">
        <f t="shared" si="2"/>
        <v>1845.3001374387597</v>
      </c>
      <c r="W5" s="125">
        <f t="shared" si="2"/>
        <v>1867.8101523237697</v>
      </c>
      <c r="X5" s="125">
        <f t="shared" si="2"/>
        <v>1890.7097292448245</v>
      </c>
      <c r="Y5" s="125">
        <f t="shared" si="2"/>
        <v>1951.6985602019245</v>
      </c>
      <c r="Z5" s="125">
        <f t="shared" si="2"/>
        <v>2013.076953195069</v>
      </c>
      <c r="AA5" s="125">
        <f t="shared" si="2"/>
        <v>2112.5446002242593</v>
      </c>
      <c r="AB5" s="125">
        <f t="shared" si="2"/>
        <v>2212.401809289494</v>
      </c>
      <c r="AC5" s="125">
        <f t="shared" si="2"/>
        <v>2212.401809289494</v>
      </c>
      <c r="AD5" s="125">
        <f t="shared" si="2"/>
        <v>3441.0741568838234</v>
      </c>
      <c r="AE5" s="125">
        <f t="shared" si="2"/>
        <v>5701.588511235373</v>
      </c>
      <c r="AF5" s="125">
        <f t="shared" si="2"/>
        <v>9137.919347235373</v>
      </c>
      <c r="AG5" s="125">
        <f t="shared" si="2"/>
        <v>13479.042791235372</v>
      </c>
      <c r="AH5" s="125">
        <f t="shared" si="2"/>
        <v>17820.166235235374</v>
      </c>
      <c r="AI5" s="125">
        <f>AI11+AI6</f>
        <v>22161.289679235375</v>
      </c>
      <c r="AJ5" s="126"/>
      <c r="AK5" s="126"/>
      <c r="AL5" s="126"/>
      <c r="AM5" s="126"/>
      <c r="AN5" s="126"/>
      <c r="AO5" s="126"/>
      <c r="AP5" s="126"/>
    </row>
    <row r="6" spans="1:35" s="127" customFormat="1" ht="15" customHeight="1">
      <c r="A6" s="123" t="s">
        <v>114</v>
      </c>
      <c r="B6" s="124"/>
      <c r="C6" s="125">
        <f>SUM(C7:C10)</f>
        <v>0</v>
      </c>
      <c r="D6" s="125">
        <f>SUM(D7:D10)</f>
        <v>0</v>
      </c>
      <c r="E6" s="125">
        <f aca="true" t="shared" si="3" ref="E6:AH6">SUM(E7:E10)</f>
        <v>0</v>
      </c>
      <c r="F6" s="125">
        <f t="shared" si="3"/>
        <v>0</v>
      </c>
      <c r="G6" s="125">
        <f t="shared" si="3"/>
        <v>0</v>
      </c>
      <c r="H6" s="125">
        <f t="shared" si="3"/>
        <v>0</v>
      </c>
      <c r="I6" s="125">
        <f t="shared" si="3"/>
        <v>0</v>
      </c>
      <c r="J6" s="125">
        <f t="shared" si="3"/>
        <v>0</v>
      </c>
      <c r="K6" s="125">
        <f t="shared" si="3"/>
        <v>0</v>
      </c>
      <c r="L6" s="125">
        <f t="shared" si="3"/>
        <v>0</v>
      </c>
      <c r="M6" s="125">
        <f t="shared" si="3"/>
        <v>0</v>
      </c>
      <c r="N6" s="125">
        <f t="shared" si="3"/>
        <v>0</v>
      </c>
      <c r="O6" s="125">
        <f t="shared" si="3"/>
        <v>30.40308</v>
      </c>
      <c r="P6" s="125">
        <f t="shared" si="3"/>
        <v>30.40308</v>
      </c>
      <c r="Q6" s="125">
        <f t="shared" si="3"/>
        <v>31.22072499999997</v>
      </c>
      <c r="R6" s="125">
        <f t="shared" si="3"/>
        <v>32.038369999999944</v>
      </c>
      <c r="S6" s="125">
        <f t="shared" si="3"/>
        <v>70.55570699999994</v>
      </c>
      <c r="T6" s="125">
        <f t="shared" si="3"/>
        <v>32.55192977687496</v>
      </c>
      <c r="U6" s="125">
        <f t="shared" si="3"/>
        <v>32.637406589794935</v>
      </c>
      <c r="V6" s="125">
        <f t="shared" si="3"/>
        <v>33.112445438759906</v>
      </c>
      <c r="W6" s="125">
        <f t="shared" si="3"/>
        <v>71.6767383237699</v>
      </c>
      <c r="X6" s="125">
        <f t="shared" si="3"/>
        <v>110.63059324482488</v>
      </c>
      <c r="Y6" s="125">
        <f t="shared" si="3"/>
        <v>187.6737022019248</v>
      </c>
      <c r="Z6" s="125">
        <f t="shared" si="3"/>
        <v>265.10637319506975</v>
      </c>
      <c r="AA6" s="125">
        <f t="shared" si="3"/>
        <v>380.62829822425977</v>
      </c>
      <c r="AB6" s="125">
        <f t="shared" si="3"/>
        <v>496.5397852894948</v>
      </c>
      <c r="AC6" s="125">
        <f t="shared" si="3"/>
        <v>496.5397852894948</v>
      </c>
      <c r="AD6" s="125">
        <f t="shared" si="3"/>
        <v>1917.8634688838242</v>
      </c>
      <c r="AE6" s="125">
        <f t="shared" si="3"/>
        <v>4371.029159235373</v>
      </c>
      <c r="AF6" s="125">
        <f t="shared" si="3"/>
        <v>8000.011331235373</v>
      </c>
      <c r="AG6" s="125">
        <f t="shared" si="3"/>
        <v>12533.786111235373</v>
      </c>
      <c r="AH6" s="125">
        <f t="shared" si="3"/>
        <v>17067.560891235375</v>
      </c>
      <c r="AI6" s="125">
        <f>SUM(AI7:AI10)</f>
        <v>21601.335671235374</v>
      </c>
    </row>
    <row r="7" spans="1:35" ht="15" customHeight="1">
      <c r="A7" s="128" t="s">
        <v>115</v>
      </c>
      <c r="B7" s="124"/>
      <c r="C7" s="129"/>
      <c r="D7" s="129">
        <f>'1-Ф3'!D35</f>
        <v>0</v>
      </c>
      <c r="E7" s="129">
        <f>'1-Ф3'!E35</f>
        <v>0</v>
      </c>
      <c r="F7" s="129">
        <f>'1-Ф3'!F35</f>
        <v>0</v>
      </c>
      <c r="G7" s="129">
        <f>'1-Ф3'!G35</f>
        <v>0</v>
      </c>
      <c r="H7" s="129">
        <f>'1-Ф3'!H35</f>
        <v>0</v>
      </c>
      <c r="I7" s="129">
        <f>'1-Ф3'!I35</f>
        <v>0</v>
      </c>
      <c r="J7" s="129">
        <f>'1-Ф3'!J35</f>
        <v>0</v>
      </c>
      <c r="K7" s="129">
        <f>'1-Ф3'!K35</f>
        <v>0</v>
      </c>
      <c r="L7" s="129">
        <f>'1-Ф3'!L35</f>
        <v>0</v>
      </c>
      <c r="M7" s="129">
        <f>'1-Ф3'!M35</f>
        <v>0</v>
      </c>
      <c r="N7" s="129">
        <f>'1-Ф3'!N35</f>
        <v>0</v>
      </c>
      <c r="O7" s="129">
        <f>'1-Ф3'!O35</f>
        <v>0</v>
      </c>
      <c r="P7" s="129">
        <f>'1-Ф3'!P35</f>
        <v>0</v>
      </c>
      <c r="Q7" s="129">
        <f>'1-Ф3'!Q35</f>
        <v>0.8176449999999704</v>
      </c>
      <c r="R7" s="129">
        <f>'1-Ф3'!R35</f>
        <v>1.6352899999999408</v>
      </c>
      <c r="S7" s="129">
        <f>'1-Ф3'!S35</f>
        <v>40.15262699999994</v>
      </c>
      <c r="T7" s="129">
        <f>'1-Ф3'!T35</f>
        <v>2.148849776874954</v>
      </c>
      <c r="U7" s="129">
        <f>'1-Ф3'!U35</f>
        <v>2.2343265897949323</v>
      </c>
      <c r="V7" s="129">
        <f>'1-Ф3'!V35</f>
        <v>2.709365438759903</v>
      </c>
      <c r="W7" s="129">
        <f>'1-Ф3'!W35</f>
        <v>41.273658323769894</v>
      </c>
      <c r="X7" s="129">
        <f>'1-Ф3'!X35</f>
        <v>80.22751324482488</v>
      </c>
      <c r="Y7" s="129">
        <f>'1-Ф3'!Y35</f>
        <v>157.27062220192482</v>
      </c>
      <c r="Z7" s="129">
        <f>'1-Ф3'!Z35</f>
        <v>234.70329319506976</v>
      </c>
      <c r="AA7" s="129">
        <f>'1-Ф3'!AA35</f>
        <v>350.2252182242598</v>
      </c>
      <c r="AB7" s="129">
        <f>'1-Ф3'!AB35</f>
        <v>466.1367052894948</v>
      </c>
      <c r="AC7" s="129">
        <f>'1-Ф3'!AC35</f>
        <v>466.1367052894948</v>
      </c>
      <c r="AD7" s="129">
        <f>'1-Ф3'!AD35</f>
        <v>1887.4603888838242</v>
      </c>
      <c r="AE7" s="129">
        <f>'1-Ф3'!AE35</f>
        <v>4340.626079235373</v>
      </c>
      <c r="AF7" s="129">
        <f>'1-Ф3'!AF35</f>
        <v>7969.608251235373</v>
      </c>
      <c r="AG7" s="129">
        <f>'1-Ф3'!AG35</f>
        <v>12503.383031235373</v>
      </c>
      <c r="AH7" s="129">
        <f>'1-Ф3'!AH35</f>
        <v>17037.157811235375</v>
      </c>
      <c r="AI7" s="129">
        <f>'1-Ф3'!AI35</f>
        <v>21570.932591235374</v>
      </c>
    </row>
    <row r="8" spans="1:35" ht="15" customHeight="1">
      <c r="A8" s="128" t="s">
        <v>116</v>
      </c>
      <c r="B8" s="124"/>
      <c r="C8" s="129"/>
      <c r="D8" s="129">
        <f>C8+'2-ф2'!D5-'1-Ф3'!D9/Исх!$C$18</f>
        <v>0</v>
      </c>
      <c r="E8" s="129">
        <f>D8+'2-ф2'!E5-'1-Ф3'!E9/Исх!$C$18</f>
        <v>0</v>
      </c>
      <c r="F8" s="129">
        <f>E8+'2-ф2'!F5-'1-Ф3'!F9/Исх!$C$18</f>
        <v>0</v>
      </c>
      <c r="G8" s="129">
        <f>F8+'2-ф2'!G5-'1-Ф3'!G9/Исх!$C$18</f>
        <v>0</v>
      </c>
      <c r="H8" s="129">
        <f>G8+'2-ф2'!H5-'1-Ф3'!H9/Исх!$C$18</f>
        <v>0</v>
      </c>
      <c r="I8" s="129">
        <f>H8+'2-ф2'!I5-'1-Ф3'!I9/Исх!$C$18</f>
        <v>0</v>
      </c>
      <c r="J8" s="129">
        <f>I8+'2-ф2'!J5-'1-Ф3'!J9/Исх!$C$18</f>
        <v>0</v>
      </c>
      <c r="K8" s="129">
        <f>J8+'2-ф2'!K5-'1-Ф3'!K9/Исх!$C$18</f>
        <v>0</v>
      </c>
      <c r="L8" s="129">
        <f>K8+'2-ф2'!L5-'1-Ф3'!L9/Исх!$C$18</f>
        <v>0</v>
      </c>
      <c r="M8" s="129">
        <f>L8+'2-ф2'!M5-'1-Ф3'!M9/Исх!$C$18</f>
        <v>0</v>
      </c>
      <c r="N8" s="129">
        <f>M8+'2-ф2'!N5-'1-Ф3'!N9/Исх!$C$18</f>
        <v>0</v>
      </c>
      <c r="O8" s="129">
        <f>N8+'2-ф2'!O5-'1-Ф3'!O9/Исх!$C$18</f>
        <v>0</v>
      </c>
      <c r="P8" s="129">
        <f>O8</f>
        <v>0</v>
      </c>
      <c r="Q8" s="129">
        <f>P8+'2-ф2'!Q5-'1-Ф3'!Q9/Исх!$C$18</f>
        <v>0</v>
      </c>
      <c r="R8" s="129">
        <f>Q8+'2-ф2'!R5-'1-Ф3'!R9/Исх!$C$18</f>
        <v>0</v>
      </c>
      <c r="S8" s="129">
        <f>R8+'2-ф2'!S5-'1-Ф3'!S9/Исх!$C$18</f>
        <v>0</v>
      </c>
      <c r="T8" s="129">
        <f>S8+'2-ф2'!T5-'1-Ф3'!T9/Исх!$C$18</f>
        <v>0</v>
      </c>
      <c r="U8" s="129">
        <f>T8+'2-ф2'!U5-'1-Ф3'!U9/Исх!$C$18</f>
        <v>0</v>
      </c>
      <c r="V8" s="129">
        <f>U8+'2-ф2'!V5-'1-Ф3'!V9/Исх!$C$18</f>
        <v>0</v>
      </c>
      <c r="W8" s="129">
        <f>V8+'2-ф2'!W5-'1-Ф3'!W9/Исх!$C$18</f>
        <v>0</v>
      </c>
      <c r="X8" s="129">
        <f>W8+'2-ф2'!X5-'1-Ф3'!X9/Исх!$C$18</f>
        <v>0</v>
      </c>
      <c r="Y8" s="129">
        <f>X8+'2-ф2'!Y5-'1-Ф3'!Y9/Исх!$C$18</f>
        <v>0</v>
      </c>
      <c r="Z8" s="129">
        <f>Y8+'2-ф2'!Z5-'1-Ф3'!Z9/Исх!$C$18</f>
        <v>0</v>
      </c>
      <c r="AA8" s="129">
        <f>Z8+'2-ф2'!AA5-'1-Ф3'!AA9/Исх!$C$18</f>
        <v>0</v>
      </c>
      <c r="AB8" s="129">
        <f>AA8+'2-ф2'!AB5-'1-Ф3'!AB9/Исх!$C$18</f>
        <v>0</v>
      </c>
      <c r="AC8" s="129">
        <f>AB8</f>
        <v>0</v>
      </c>
      <c r="AD8" s="129">
        <f>AC8+'2-ф2'!AD5-'1-Ф3'!AD9/Исх!$C$18</f>
        <v>0</v>
      </c>
      <c r="AE8" s="129">
        <f>AD8+'2-ф2'!AE5-'1-Ф3'!AE9/Исх!$C$18</f>
        <v>0</v>
      </c>
      <c r="AF8" s="129">
        <f>AE8+'2-ф2'!AF5-'1-Ф3'!AF9/Исх!$C$18</f>
        <v>0</v>
      </c>
      <c r="AG8" s="129">
        <f>AF8+'2-ф2'!AG5-'1-Ф3'!AG9/Исх!$C$18</f>
        <v>0</v>
      </c>
      <c r="AH8" s="129">
        <f>AG8+'2-ф2'!AH5-'1-Ф3'!AH9/Исх!$C$18</f>
        <v>0</v>
      </c>
      <c r="AI8" s="129">
        <f>AH8+'2-ф2'!AI5-'1-Ф3'!AI9/Исх!$C$18</f>
        <v>0</v>
      </c>
    </row>
    <row r="9" spans="1:35" ht="15" customHeight="1">
      <c r="A9" s="128" t="s">
        <v>117</v>
      </c>
      <c r="B9" s="124"/>
      <c r="C9" s="129"/>
      <c r="D9" s="129">
        <f>C9+'1-Ф3'!D13/Исх!$C$18-'2-ф2'!D9</f>
        <v>0</v>
      </c>
      <c r="E9" s="129">
        <f>D9+'1-Ф3'!E13/Исх!$C$18-'2-ф2'!E9</f>
        <v>0</v>
      </c>
      <c r="F9" s="129">
        <f>E9+'1-Ф3'!F13/Исх!$C$18-'2-ф2'!F9</f>
        <v>0</v>
      </c>
      <c r="G9" s="129">
        <f aca="true" t="shared" si="4" ref="G9:L9">F9</f>
        <v>0</v>
      </c>
      <c r="H9" s="129">
        <f t="shared" si="4"/>
        <v>0</v>
      </c>
      <c r="I9" s="129">
        <f t="shared" si="4"/>
        <v>0</v>
      </c>
      <c r="J9" s="129">
        <f t="shared" si="4"/>
        <v>0</v>
      </c>
      <c r="K9" s="129">
        <f t="shared" si="4"/>
        <v>0</v>
      </c>
      <c r="L9" s="129">
        <f t="shared" si="4"/>
        <v>0</v>
      </c>
      <c r="M9" s="129">
        <f>L9+'1-Ф3'!M13-'2-ф2'!M9</f>
        <v>0</v>
      </c>
      <c r="N9" s="129">
        <f>M9+'1-Ф3'!N13-'2-ф2'!N9</f>
        <v>0</v>
      </c>
      <c r="O9" s="129">
        <f>N9+'1-Ф3'!O13-'2-ф2'!O9</f>
        <v>30.40308</v>
      </c>
      <c r="P9" s="129">
        <f>O9</f>
        <v>30.40308</v>
      </c>
      <c r="Q9" s="129">
        <f>O9</f>
        <v>30.40308</v>
      </c>
      <c r="R9" s="129">
        <f aca="true" t="shared" si="5" ref="R9:AB9">P9</f>
        <v>30.40308</v>
      </c>
      <c r="S9" s="129">
        <f t="shared" si="5"/>
        <v>30.40308</v>
      </c>
      <c r="T9" s="129">
        <f t="shared" si="5"/>
        <v>30.40308</v>
      </c>
      <c r="U9" s="129">
        <f t="shared" si="5"/>
        <v>30.40308</v>
      </c>
      <c r="V9" s="129">
        <f t="shared" si="5"/>
        <v>30.40308</v>
      </c>
      <c r="W9" s="129">
        <f t="shared" si="5"/>
        <v>30.40308</v>
      </c>
      <c r="X9" s="129">
        <f t="shared" si="5"/>
        <v>30.40308</v>
      </c>
      <c r="Y9" s="129">
        <f t="shared" si="5"/>
        <v>30.40308</v>
      </c>
      <c r="Z9" s="129">
        <f t="shared" si="5"/>
        <v>30.40308</v>
      </c>
      <c r="AA9" s="129">
        <f t="shared" si="5"/>
        <v>30.40308</v>
      </c>
      <c r="AB9" s="129">
        <f t="shared" si="5"/>
        <v>30.40308</v>
      </c>
      <c r="AC9" s="129">
        <f>AB9</f>
        <v>30.40308</v>
      </c>
      <c r="AD9" s="129">
        <f aca="true" t="shared" si="6" ref="AD9:AI9">AB9</f>
        <v>30.40308</v>
      </c>
      <c r="AE9" s="129">
        <f t="shared" si="6"/>
        <v>30.40308</v>
      </c>
      <c r="AF9" s="129">
        <f t="shared" si="6"/>
        <v>30.40308</v>
      </c>
      <c r="AG9" s="129">
        <f t="shared" si="6"/>
        <v>30.40308</v>
      </c>
      <c r="AH9" s="129">
        <f t="shared" si="6"/>
        <v>30.40308</v>
      </c>
      <c r="AI9" s="129">
        <f t="shared" si="6"/>
        <v>30.40308</v>
      </c>
    </row>
    <row r="10" spans="1:35" ht="12.75">
      <c r="A10" s="128" t="s">
        <v>297</v>
      </c>
      <c r="B10" s="124"/>
      <c r="C10" s="129"/>
      <c r="D10" s="129"/>
      <c r="E10" s="129"/>
      <c r="F10" s="129">
        <f>E10+'1-Ф3'!F13/Исх!$C$18*ндс</f>
        <v>0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>
        <f>O10</f>
        <v>0</v>
      </c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>
        <f>AB10</f>
        <v>0</v>
      </c>
      <c r="AD10" s="129"/>
      <c r="AE10" s="129"/>
      <c r="AF10" s="129"/>
      <c r="AG10" s="129"/>
      <c r="AH10" s="129"/>
      <c r="AI10" s="129"/>
    </row>
    <row r="11" spans="1:35" ht="15" customHeight="1">
      <c r="A11" s="123" t="s">
        <v>118</v>
      </c>
      <c r="B11" s="124"/>
      <c r="C11" s="125">
        <f aca="true" t="shared" si="7" ref="C11:AH11">SUM(C12:C14)</f>
        <v>0</v>
      </c>
      <c r="D11" s="125">
        <f t="shared" si="7"/>
        <v>0</v>
      </c>
      <c r="E11" s="125">
        <f t="shared" si="7"/>
        <v>0</v>
      </c>
      <c r="F11" s="125">
        <f t="shared" si="7"/>
        <v>0</v>
      </c>
      <c r="G11" s="125">
        <f t="shared" si="7"/>
        <v>0</v>
      </c>
      <c r="H11" s="125">
        <f t="shared" si="7"/>
        <v>0</v>
      </c>
      <c r="I11" s="125">
        <f t="shared" si="7"/>
        <v>0</v>
      </c>
      <c r="J11" s="125">
        <f t="shared" si="7"/>
        <v>0</v>
      </c>
      <c r="K11" s="125">
        <f t="shared" si="7"/>
        <v>0</v>
      </c>
      <c r="L11" s="125">
        <f t="shared" si="7"/>
        <v>0</v>
      </c>
      <c r="M11" s="125">
        <f t="shared" si="7"/>
        <v>1908.5133600000001</v>
      </c>
      <c r="N11" s="125">
        <f t="shared" si="7"/>
        <v>1908.5133600000001</v>
      </c>
      <c r="O11" s="125">
        <f t="shared" si="7"/>
        <v>1908.5133600000001</v>
      </c>
      <c r="P11" s="125">
        <f t="shared" si="7"/>
        <v>1908.5133600000001</v>
      </c>
      <c r="Q11" s="125">
        <f t="shared" si="7"/>
        <v>1892.459082</v>
      </c>
      <c r="R11" s="125">
        <f t="shared" si="7"/>
        <v>1876.404804</v>
      </c>
      <c r="S11" s="125">
        <f t="shared" si="7"/>
        <v>1860.350526</v>
      </c>
      <c r="T11" s="125">
        <f t="shared" si="7"/>
        <v>1844.2962479999999</v>
      </c>
      <c r="U11" s="125">
        <f t="shared" si="7"/>
        <v>1828.2419699999998</v>
      </c>
      <c r="V11" s="125">
        <f t="shared" si="7"/>
        <v>1812.1876919999997</v>
      </c>
      <c r="W11" s="125">
        <f t="shared" si="7"/>
        <v>1796.1334139999997</v>
      </c>
      <c r="X11" s="125">
        <f t="shared" si="7"/>
        <v>1780.0791359999996</v>
      </c>
      <c r="Y11" s="125">
        <f t="shared" si="7"/>
        <v>1764.0248579999995</v>
      </c>
      <c r="Z11" s="125">
        <f t="shared" si="7"/>
        <v>1747.9705799999995</v>
      </c>
      <c r="AA11" s="125">
        <f t="shared" si="7"/>
        <v>1731.9163019999994</v>
      </c>
      <c r="AB11" s="125">
        <f t="shared" si="7"/>
        <v>1715.8620239999993</v>
      </c>
      <c r="AC11" s="125">
        <f t="shared" si="7"/>
        <v>1715.8620239999993</v>
      </c>
      <c r="AD11" s="125">
        <f t="shared" si="7"/>
        <v>1523.2106879999992</v>
      </c>
      <c r="AE11" s="125">
        <f t="shared" si="7"/>
        <v>1330.5593519999993</v>
      </c>
      <c r="AF11" s="125">
        <f t="shared" si="7"/>
        <v>1137.9080159999994</v>
      </c>
      <c r="AG11" s="125">
        <f t="shared" si="7"/>
        <v>945.2566799999994</v>
      </c>
      <c r="AH11" s="125">
        <f t="shared" si="7"/>
        <v>752.6053439999994</v>
      </c>
      <c r="AI11" s="125">
        <f>SUM(AI12:AI14)</f>
        <v>559.9540079999994</v>
      </c>
    </row>
    <row r="12" spans="1:35" ht="12.75">
      <c r="A12" s="128" t="s">
        <v>119</v>
      </c>
      <c r="B12" s="130"/>
      <c r="C12" s="129"/>
      <c r="D12" s="129">
        <f>C12+'1-Ф3'!D21/Исх!$C$18-'2-ф2'!D13</f>
        <v>0</v>
      </c>
      <c r="E12" s="129">
        <f>D12+'1-Ф3'!E21/Исх!$C$18-'2-ф2'!E13</f>
        <v>0</v>
      </c>
      <c r="F12" s="129">
        <f>E12+'1-Ф3'!F21/Исх!$C$18-'2-ф2'!F13</f>
        <v>0</v>
      </c>
      <c r="G12" s="129">
        <f>F12+'1-Ф3'!G21/Исх!$C$18-'2-ф2'!G13</f>
        <v>0</v>
      </c>
      <c r="H12" s="129">
        <f>G12+'1-Ф3'!H21/Исх!$C$18-'2-ф2'!H13</f>
        <v>0</v>
      </c>
      <c r="I12" s="129">
        <f>H12+'1-Ф3'!I21/Исх!$C$18-'2-ф2'!I13</f>
        <v>0</v>
      </c>
      <c r="J12" s="129">
        <f>I12+'1-Ф3'!J21/Исх!$C$18-'2-ф2'!J13</f>
        <v>0</v>
      </c>
      <c r="K12" s="129">
        <f>J12+'1-Ф3'!K21/Исх!$C$18-'2-ф2'!K13</f>
        <v>0</v>
      </c>
      <c r="L12" s="129">
        <f>K12+'1-Ф3'!L21/Исх!$C$18-'2-ф2'!L13</f>
        <v>0</v>
      </c>
      <c r="M12" s="129">
        <f>L12+'1-Ф3'!M21/Исх!$C$18-'2-ф2'!M13</f>
        <v>1908.5133600000001</v>
      </c>
      <c r="N12" s="129">
        <f>M12+'1-Ф3'!N21/Исх!$C$18-'2-ф2'!N13</f>
        <v>1908.5133600000001</v>
      </c>
      <c r="O12" s="129">
        <f>N12+'1-Ф3'!O21/Исх!$C$18-'2-ф2'!O13</f>
        <v>1908.5133600000001</v>
      </c>
      <c r="P12" s="129">
        <f>O12</f>
        <v>1908.5133600000001</v>
      </c>
      <c r="Q12" s="129">
        <f>P12+'1-Ф3'!Q21/Исх!$C$18-'2-ф2'!Q13</f>
        <v>1892.459082</v>
      </c>
      <c r="R12" s="129">
        <f>Q12+'1-Ф3'!R21/Исх!$C$18-'2-ф2'!R13</f>
        <v>1876.404804</v>
      </c>
      <c r="S12" s="129">
        <f>R12+'1-Ф3'!S21/Исх!$C$18-'2-ф2'!S13</f>
        <v>1860.350526</v>
      </c>
      <c r="T12" s="129">
        <f>S12+'1-Ф3'!T21/Исх!$C$18-'2-ф2'!T13</f>
        <v>1844.2962479999999</v>
      </c>
      <c r="U12" s="129">
        <f>T12+'1-Ф3'!U21/Исх!$C$18-'2-ф2'!U13</f>
        <v>1828.2419699999998</v>
      </c>
      <c r="V12" s="129">
        <f>U12+'1-Ф3'!V21/Исх!$C$18-'2-ф2'!V13</f>
        <v>1812.1876919999997</v>
      </c>
      <c r="W12" s="129">
        <f>V12+'1-Ф3'!W21/Исх!$C$18-'2-ф2'!W13</f>
        <v>1796.1334139999997</v>
      </c>
      <c r="X12" s="129">
        <f>W12+'1-Ф3'!X21/Исх!$C$18-'2-ф2'!X13</f>
        <v>1780.0791359999996</v>
      </c>
      <c r="Y12" s="129">
        <f>X12+'1-Ф3'!Y21/Исх!$C$18-'2-ф2'!Y13</f>
        <v>1764.0248579999995</v>
      </c>
      <c r="Z12" s="129">
        <f>Y12+'1-Ф3'!Z21/Исх!$C$18-'2-ф2'!Z13</f>
        <v>1747.9705799999995</v>
      </c>
      <c r="AA12" s="129">
        <f>Z12+'1-Ф3'!AA21/Исх!$C$18-'2-ф2'!AA13</f>
        <v>1731.9163019999994</v>
      </c>
      <c r="AB12" s="129">
        <f>AA12+'1-Ф3'!AB21/Исх!$C$18-'2-ф2'!AB13</f>
        <v>1715.8620239999993</v>
      </c>
      <c r="AC12" s="129">
        <f>AB12</f>
        <v>1715.8620239999993</v>
      </c>
      <c r="AD12" s="129">
        <f>AC12+'1-Ф3'!AD21/Исх!$C$18-'2-ф2'!AD13</f>
        <v>1523.2106879999992</v>
      </c>
      <c r="AE12" s="129">
        <f>AD12+'1-Ф3'!AE21/Исх!$C$18-'2-ф2'!AE13</f>
        <v>1330.5593519999993</v>
      </c>
      <c r="AF12" s="129">
        <f>AE12+'1-Ф3'!AF21/Исх!$C$18-'2-ф2'!AF13</f>
        <v>1137.9080159999994</v>
      </c>
      <c r="AG12" s="129">
        <f>AF12+'1-Ф3'!AG21/Исх!$C$18-'2-ф2'!AG13</f>
        <v>945.2566799999994</v>
      </c>
      <c r="AH12" s="129">
        <f>AG12+'1-Ф3'!AH21/Исх!$C$18-'2-ф2'!AH13</f>
        <v>752.6053439999994</v>
      </c>
      <c r="AI12" s="129">
        <f>AH12+'1-Ф3'!AI21/Исх!$C$18-'2-ф2'!AI13</f>
        <v>559.9540079999994</v>
      </c>
    </row>
    <row r="13" spans="1:35" ht="15" customHeight="1" hidden="1">
      <c r="A13" s="128" t="s">
        <v>120</v>
      </c>
      <c r="B13" s="130"/>
      <c r="C13" s="129"/>
      <c r="D13" s="129">
        <f>C13</f>
        <v>0</v>
      </c>
      <c r="E13" s="129">
        <f>D13</f>
        <v>0</v>
      </c>
      <c r="F13" s="129">
        <f aca="true" t="shared" si="8" ref="F13:AI14">E13</f>
        <v>0</v>
      </c>
      <c r="G13" s="129">
        <f t="shared" si="8"/>
        <v>0</v>
      </c>
      <c r="H13" s="129">
        <f t="shared" si="8"/>
        <v>0</v>
      </c>
      <c r="I13" s="129">
        <f t="shared" si="8"/>
        <v>0</v>
      </c>
      <c r="J13" s="129">
        <f t="shared" si="8"/>
        <v>0</v>
      </c>
      <c r="K13" s="129">
        <f t="shared" si="8"/>
        <v>0</v>
      </c>
      <c r="L13" s="129">
        <f t="shared" si="8"/>
        <v>0</v>
      </c>
      <c r="M13" s="129">
        <f t="shared" si="8"/>
        <v>0</v>
      </c>
      <c r="N13" s="129">
        <f t="shared" si="8"/>
        <v>0</v>
      </c>
      <c r="O13" s="129">
        <f t="shared" si="8"/>
        <v>0</v>
      </c>
      <c r="P13" s="129">
        <f t="shared" si="8"/>
        <v>0</v>
      </c>
      <c r="Q13" s="129">
        <f t="shared" si="8"/>
        <v>0</v>
      </c>
      <c r="R13" s="129">
        <f t="shared" si="8"/>
        <v>0</v>
      </c>
      <c r="S13" s="129">
        <f t="shared" si="8"/>
        <v>0</v>
      </c>
      <c r="T13" s="129">
        <f t="shared" si="8"/>
        <v>0</v>
      </c>
      <c r="U13" s="129">
        <f t="shared" si="8"/>
        <v>0</v>
      </c>
      <c r="V13" s="129">
        <f t="shared" si="8"/>
        <v>0</v>
      </c>
      <c r="W13" s="129">
        <f t="shared" si="8"/>
        <v>0</v>
      </c>
      <c r="X13" s="129">
        <f t="shared" si="8"/>
        <v>0</v>
      </c>
      <c r="Y13" s="129">
        <f t="shared" si="8"/>
        <v>0</v>
      </c>
      <c r="Z13" s="129">
        <f t="shared" si="8"/>
        <v>0</v>
      </c>
      <c r="AA13" s="129">
        <f t="shared" si="8"/>
        <v>0</v>
      </c>
      <c r="AB13" s="129">
        <f t="shared" si="8"/>
        <v>0</v>
      </c>
      <c r="AC13" s="129">
        <f t="shared" si="8"/>
        <v>0</v>
      </c>
      <c r="AD13" s="129">
        <f t="shared" si="8"/>
        <v>0</v>
      </c>
      <c r="AE13" s="129">
        <f t="shared" si="8"/>
        <v>0</v>
      </c>
      <c r="AF13" s="129">
        <f t="shared" si="8"/>
        <v>0</v>
      </c>
      <c r="AG13" s="129">
        <f t="shared" si="8"/>
        <v>0</v>
      </c>
      <c r="AH13" s="129">
        <f t="shared" si="8"/>
        <v>0</v>
      </c>
      <c r="AI13" s="129">
        <f t="shared" si="8"/>
        <v>0</v>
      </c>
    </row>
    <row r="14" spans="1:35" ht="12.75">
      <c r="A14" s="128" t="s">
        <v>121</v>
      </c>
      <c r="B14" s="130"/>
      <c r="C14" s="129"/>
      <c r="D14" s="129">
        <f>IF('2-ф2'!D30&lt;0,-'2-ф2'!D30,0)</f>
        <v>0</v>
      </c>
      <c r="E14" s="129">
        <f>IF('2-ф2'!E30&lt;0,-'2-ф2'!E30,0)</f>
        <v>0</v>
      </c>
      <c r="F14" s="129">
        <f>IF('2-ф2'!F30&lt;0,-'2-ф2'!F30,0)</f>
        <v>0</v>
      </c>
      <c r="G14" s="129">
        <f>IF('2-ф2'!G30&lt;0,-'2-ф2'!G30,0)</f>
        <v>0</v>
      </c>
      <c r="H14" s="129">
        <f>IF('2-ф2'!H30&lt;0,-'2-ф2'!H30,0)</f>
        <v>0</v>
      </c>
      <c r="I14" s="129">
        <f>IF('2-ф2'!I30&lt;0,-'2-ф2'!I30,0)</f>
        <v>0</v>
      </c>
      <c r="J14" s="129">
        <f>IF('2-ф2'!J30&lt;0,-'2-ф2'!J30,0)</f>
        <v>0</v>
      </c>
      <c r="K14" s="129">
        <f>IF('2-ф2'!K30&lt;0,-'2-ф2'!K30,0)</f>
        <v>0</v>
      </c>
      <c r="L14" s="129">
        <f>IF('2-ф2'!L30&lt;0,-'2-ф2'!L30,0)</f>
        <v>0</v>
      </c>
      <c r="M14" s="129">
        <f>IF('2-ф2'!M30&lt;0,-'2-ф2'!M30,0)</f>
        <v>0</v>
      </c>
      <c r="N14" s="129">
        <f>IF('2-ф2'!N30&lt;0,-'2-ф2'!N30,0)</f>
        <v>0</v>
      </c>
      <c r="O14" s="129">
        <f>IF('2-ф2'!O30&lt;0,-'2-ф2'!O30,0)</f>
        <v>0</v>
      </c>
      <c r="P14" s="129">
        <f t="shared" si="8"/>
        <v>0</v>
      </c>
      <c r="Q14" s="129">
        <f>IF('2-ф2'!Q30&lt;0,-'2-ф2'!Q30,0)</f>
        <v>0</v>
      </c>
      <c r="R14" s="129">
        <f>IF('2-ф2'!R30&lt;0,-'2-ф2'!R30,0)</f>
        <v>0</v>
      </c>
      <c r="S14" s="129">
        <f>IF('2-ф2'!S30&lt;0,-'2-ф2'!S30,0)</f>
        <v>0</v>
      </c>
      <c r="T14" s="129">
        <f>IF('2-ф2'!T30&lt;0,-'2-ф2'!T30,0)</f>
        <v>0</v>
      </c>
      <c r="U14" s="129">
        <f>IF('2-ф2'!U30&lt;0,-'2-ф2'!U30,0)</f>
        <v>0</v>
      </c>
      <c r="V14" s="129">
        <f>IF('2-ф2'!V30&lt;0,-'2-ф2'!V30,0)</f>
        <v>0</v>
      </c>
      <c r="W14" s="129">
        <f>IF('2-ф2'!W30&lt;0,-'2-ф2'!W30,0)</f>
        <v>0</v>
      </c>
      <c r="X14" s="129">
        <f>IF('2-ф2'!X30&lt;0,-'2-ф2'!X30,0)</f>
        <v>0</v>
      </c>
      <c r="Y14" s="129">
        <f>IF('2-ф2'!Y30&lt;0,-'2-ф2'!Y30,0)</f>
        <v>0</v>
      </c>
      <c r="Z14" s="129">
        <f>IF('2-ф2'!Z30&lt;0,-'2-ф2'!Z30,0)</f>
        <v>0</v>
      </c>
      <c r="AA14" s="129">
        <f>IF('2-ф2'!AA30&lt;0,-'2-ф2'!AA30,0)</f>
        <v>0</v>
      </c>
      <c r="AB14" s="129">
        <f>IF('2-ф2'!AB30&lt;0,-'2-ф2'!AB30,0)</f>
        <v>0</v>
      </c>
      <c r="AC14" s="129">
        <f t="shared" si="8"/>
        <v>0</v>
      </c>
      <c r="AD14" s="129">
        <f>IF('2-ф2'!AD30&lt;0,-'2-ф2'!AD30,0)</f>
        <v>0</v>
      </c>
      <c r="AE14" s="129">
        <f>IF('2-ф2'!AE30&lt;0,-'2-ф2'!AE30,0)</f>
        <v>0</v>
      </c>
      <c r="AF14" s="129">
        <f>IF('2-ф2'!AF30&lt;0,-'2-ф2'!AF30,0)</f>
        <v>0</v>
      </c>
      <c r="AG14" s="129">
        <f>IF('2-ф2'!AG30&lt;0,-'2-ф2'!AG30,0)</f>
        <v>0</v>
      </c>
      <c r="AH14" s="129">
        <f>IF('2-ф2'!AH30&lt;0,-'2-ф2'!AH30,0)</f>
        <v>0</v>
      </c>
      <c r="AI14" s="129">
        <f>IF('2-ф2'!AI30&lt;0,-'2-ф2'!AI30,0)</f>
        <v>0</v>
      </c>
    </row>
    <row r="15" spans="1:184" ht="12.75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</row>
    <row r="16" spans="1:42" s="127" customFormat="1" ht="15" customHeight="1">
      <c r="A16" s="123" t="s">
        <v>122</v>
      </c>
      <c r="B16" s="124"/>
      <c r="C16" s="124">
        <f aca="true" t="shared" si="9" ref="C16:AH16">C21+C24+C17</f>
        <v>0</v>
      </c>
      <c r="D16" s="124">
        <f t="shared" si="9"/>
        <v>0</v>
      </c>
      <c r="E16" s="124">
        <f t="shared" si="9"/>
        <v>0</v>
      </c>
      <c r="F16" s="124">
        <f t="shared" si="9"/>
        <v>0</v>
      </c>
      <c r="G16" s="124">
        <f t="shared" si="9"/>
        <v>0</v>
      </c>
      <c r="H16" s="124">
        <f t="shared" si="9"/>
        <v>0</v>
      </c>
      <c r="I16" s="124">
        <f t="shared" si="9"/>
        <v>0</v>
      </c>
      <c r="J16" s="124">
        <f t="shared" si="9"/>
        <v>0</v>
      </c>
      <c r="K16" s="124">
        <f t="shared" si="9"/>
        <v>0</v>
      </c>
      <c r="L16" s="124">
        <f t="shared" si="9"/>
        <v>0</v>
      </c>
      <c r="M16" s="124">
        <f t="shared" si="9"/>
        <v>1908.5133600000001</v>
      </c>
      <c r="N16" s="124">
        <f t="shared" si="9"/>
        <v>1908.5133600000001</v>
      </c>
      <c r="O16" s="124">
        <f t="shared" si="9"/>
        <v>1938.91644</v>
      </c>
      <c r="P16" s="124">
        <f t="shared" si="9"/>
        <v>1938.91644</v>
      </c>
      <c r="Q16" s="124">
        <f t="shared" si="9"/>
        <v>1923.6798070000002</v>
      </c>
      <c r="R16" s="124">
        <f t="shared" si="9"/>
        <v>1908.4431740000002</v>
      </c>
      <c r="S16" s="124">
        <f t="shared" si="9"/>
        <v>1930.9062330000002</v>
      </c>
      <c r="T16" s="124">
        <f t="shared" si="9"/>
        <v>1876.8481777768748</v>
      </c>
      <c r="U16" s="124">
        <f t="shared" si="9"/>
        <v>1860.879376589795</v>
      </c>
      <c r="V16" s="124">
        <f t="shared" si="9"/>
        <v>1845.30013743876</v>
      </c>
      <c r="W16" s="124">
        <f t="shared" si="9"/>
        <v>1867.8101523237701</v>
      </c>
      <c r="X16" s="124">
        <f t="shared" si="9"/>
        <v>1890.7097292448252</v>
      </c>
      <c r="Y16" s="124">
        <f t="shared" si="9"/>
        <v>1951.6985602019254</v>
      </c>
      <c r="Z16" s="124">
        <f t="shared" si="9"/>
        <v>2013.0769531950705</v>
      </c>
      <c r="AA16" s="124">
        <f t="shared" si="9"/>
        <v>2112.5446002242606</v>
      </c>
      <c r="AB16" s="124">
        <f t="shared" si="9"/>
        <v>2212.4018092894958</v>
      </c>
      <c r="AC16" s="124">
        <f t="shared" si="9"/>
        <v>2212.4018092894958</v>
      </c>
      <c r="AD16" s="124">
        <f t="shared" si="9"/>
        <v>3441.0741568838257</v>
      </c>
      <c r="AE16" s="124">
        <f t="shared" si="9"/>
        <v>5701.588511235374</v>
      </c>
      <c r="AF16" s="124">
        <f t="shared" si="9"/>
        <v>9137.919347235373</v>
      </c>
      <c r="AG16" s="124">
        <f t="shared" si="9"/>
        <v>13479.042791235373</v>
      </c>
      <c r="AH16" s="124">
        <f t="shared" si="9"/>
        <v>17820.166235235374</v>
      </c>
      <c r="AI16" s="124">
        <f>AI21+AI24+AI17</f>
        <v>22161.289679235375</v>
      </c>
      <c r="AJ16" s="126"/>
      <c r="AK16" s="126"/>
      <c r="AL16" s="126"/>
      <c r="AM16" s="126"/>
      <c r="AN16" s="126"/>
      <c r="AO16" s="126"/>
      <c r="AP16" s="126"/>
    </row>
    <row r="17" spans="1:35" ht="15" customHeight="1">
      <c r="A17" s="123" t="s">
        <v>123</v>
      </c>
      <c r="B17" s="124"/>
      <c r="C17" s="124">
        <f aca="true" t="shared" si="10" ref="C17:AH17">SUM(C18:C20)</f>
        <v>0</v>
      </c>
      <c r="D17" s="124">
        <f t="shared" si="10"/>
        <v>0</v>
      </c>
      <c r="E17" s="124">
        <f t="shared" si="10"/>
        <v>0</v>
      </c>
      <c r="F17" s="124">
        <f t="shared" si="10"/>
        <v>0</v>
      </c>
      <c r="G17" s="124">
        <f t="shared" si="10"/>
        <v>0</v>
      </c>
      <c r="H17" s="124">
        <f t="shared" si="10"/>
        <v>0</v>
      </c>
      <c r="I17" s="124">
        <f t="shared" si="10"/>
        <v>0</v>
      </c>
      <c r="J17" s="124">
        <f t="shared" si="10"/>
        <v>0</v>
      </c>
      <c r="K17" s="124">
        <f t="shared" si="10"/>
        <v>0</v>
      </c>
      <c r="L17" s="124">
        <f t="shared" si="10"/>
        <v>0</v>
      </c>
      <c r="M17" s="124">
        <f t="shared" si="10"/>
        <v>0</v>
      </c>
      <c r="N17" s="124">
        <f t="shared" si="10"/>
        <v>9.463045410000001</v>
      </c>
      <c r="O17" s="124">
        <f t="shared" si="10"/>
        <v>18.926090820000002</v>
      </c>
      <c r="P17" s="124">
        <f t="shared" si="10"/>
        <v>18.926090820000002</v>
      </c>
      <c r="Q17" s="124">
        <f t="shared" si="10"/>
        <v>28.389136230000005</v>
      </c>
      <c r="R17" s="124">
        <f t="shared" si="10"/>
        <v>37.852181640000005</v>
      </c>
      <c r="S17" s="124">
        <f t="shared" si="10"/>
        <v>0</v>
      </c>
      <c r="T17" s="124">
        <f t="shared" si="10"/>
        <v>0</v>
      </c>
      <c r="U17" s="124">
        <f t="shared" si="10"/>
        <v>0</v>
      </c>
      <c r="V17" s="124">
        <f t="shared" si="10"/>
        <v>0</v>
      </c>
      <c r="W17" s="124">
        <f t="shared" si="10"/>
        <v>0</v>
      </c>
      <c r="X17" s="124">
        <f t="shared" si="10"/>
        <v>0</v>
      </c>
      <c r="Y17" s="124">
        <f t="shared" si="10"/>
        <v>0</v>
      </c>
      <c r="Z17" s="124">
        <f t="shared" si="10"/>
        <v>0</v>
      </c>
      <c r="AA17" s="124">
        <f t="shared" si="10"/>
        <v>0</v>
      </c>
      <c r="AB17" s="124">
        <f t="shared" si="10"/>
        <v>0</v>
      </c>
      <c r="AC17" s="124">
        <f t="shared" si="10"/>
        <v>0</v>
      </c>
      <c r="AD17" s="124">
        <f t="shared" si="10"/>
        <v>0</v>
      </c>
      <c r="AE17" s="124">
        <f t="shared" si="10"/>
        <v>0</v>
      </c>
      <c r="AF17" s="124">
        <f t="shared" si="10"/>
        <v>0</v>
      </c>
      <c r="AG17" s="124">
        <f t="shared" si="10"/>
        <v>0</v>
      </c>
      <c r="AH17" s="124">
        <f t="shared" si="10"/>
        <v>0</v>
      </c>
      <c r="AI17" s="124">
        <f>SUM(AI18:AI20)</f>
        <v>0</v>
      </c>
    </row>
    <row r="18" spans="1:35" ht="12.75" hidden="1">
      <c r="A18" s="128" t="s">
        <v>124</v>
      </c>
      <c r="B18" s="130"/>
      <c r="C18" s="130"/>
      <c r="D18" s="130">
        <f>C18</f>
        <v>0</v>
      </c>
      <c r="E18" s="130">
        <f>D18</f>
        <v>0</v>
      </c>
      <c r="F18" s="130">
        <f aca="true" t="shared" si="11" ref="F18:O18">E18</f>
        <v>0</v>
      </c>
      <c r="G18" s="130">
        <f t="shared" si="11"/>
        <v>0</v>
      </c>
      <c r="H18" s="130">
        <f t="shared" si="11"/>
        <v>0</v>
      </c>
      <c r="I18" s="130">
        <f t="shared" si="11"/>
        <v>0</v>
      </c>
      <c r="J18" s="130">
        <f t="shared" si="11"/>
        <v>0</v>
      </c>
      <c r="K18" s="130">
        <f t="shared" si="11"/>
        <v>0</v>
      </c>
      <c r="L18" s="130">
        <f t="shared" si="11"/>
        <v>0</v>
      </c>
      <c r="M18" s="130">
        <f t="shared" si="11"/>
        <v>0</v>
      </c>
      <c r="N18" s="130">
        <f t="shared" si="11"/>
        <v>0</v>
      </c>
      <c r="O18" s="130">
        <f t="shared" si="11"/>
        <v>0</v>
      </c>
      <c r="P18" s="130">
        <f>O18</f>
        <v>0</v>
      </c>
      <c r="Q18" s="130">
        <f>P18</f>
        <v>0</v>
      </c>
      <c r="R18" s="130">
        <f>Q18</f>
        <v>0</v>
      </c>
      <c r="S18" s="130">
        <f>R18</f>
        <v>0</v>
      </c>
      <c r="T18" s="130">
        <f>S18</f>
        <v>0</v>
      </c>
      <c r="U18" s="130">
        <f aca="true" t="shared" si="12" ref="U18:AF18">T18</f>
        <v>0</v>
      </c>
      <c r="V18" s="130">
        <f t="shared" si="12"/>
        <v>0</v>
      </c>
      <c r="W18" s="130">
        <f t="shared" si="12"/>
        <v>0</v>
      </c>
      <c r="X18" s="130">
        <f t="shared" si="12"/>
        <v>0</v>
      </c>
      <c r="Y18" s="130">
        <f t="shared" si="12"/>
        <v>0</v>
      </c>
      <c r="Z18" s="130">
        <f t="shared" si="12"/>
        <v>0</v>
      </c>
      <c r="AA18" s="130">
        <f t="shared" si="12"/>
        <v>0</v>
      </c>
      <c r="AB18" s="130">
        <f t="shared" si="12"/>
        <v>0</v>
      </c>
      <c r="AC18" s="130">
        <f t="shared" si="12"/>
        <v>0</v>
      </c>
      <c r="AD18" s="130">
        <f t="shared" si="12"/>
        <v>0</v>
      </c>
      <c r="AE18" s="130">
        <f t="shared" si="12"/>
        <v>0</v>
      </c>
      <c r="AF18" s="130">
        <f t="shared" si="12"/>
        <v>0</v>
      </c>
      <c r="AG18" s="130">
        <f>AF18</f>
        <v>0</v>
      </c>
      <c r="AH18" s="130">
        <f>AG18</f>
        <v>0</v>
      </c>
      <c r="AI18" s="130">
        <f>AH18</f>
        <v>0</v>
      </c>
    </row>
    <row r="19" spans="1:36" ht="25.5">
      <c r="A19" s="128" t="s">
        <v>125</v>
      </c>
      <c r="B19" s="130"/>
      <c r="C19" s="130"/>
      <c r="D19" s="130">
        <f>C19+'2-ф2'!D14-'1-Ф3'!D15-кр!C8</f>
        <v>0</v>
      </c>
      <c r="E19" s="130">
        <f>D19+'2-ф2'!E14-'1-Ф3'!E15-кр!D8</f>
        <v>0</v>
      </c>
      <c r="F19" s="130">
        <f>E19+'2-ф2'!F14-'1-Ф3'!F15-кр!E8</f>
        <v>0</v>
      </c>
      <c r="G19" s="130">
        <f>F19+'2-ф2'!G14-'1-Ф3'!G15-кр!F8</f>
        <v>0</v>
      </c>
      <c r="H19" s="130">
        <f>G19+'2-ф2'!H14-'1-Ф3'!H15-кр!G8</f>
        <v>0</v>
      </c>
      <c r="I19" s="130">
        <f>H19+'2-ф2'!I14-'1-Ф3'!I15-кр!H8</f>
        <v>0</v>
      </c>
      <c r="J19" s="130">
        <f>I19+'2-ф2'!J14-'1-Ф3'!J15-кр!I8</f>
        <v>0</v>
      </c>
      <c r="K19" s="130">
        <f>J19+'2-ф2'!K14-'1-Ф3'!K15-кр!J8</f>
        <v>0</v>
      </c>
      <c r="L19" s="130">
        <f>K19+'2-ф2'!L14-'1-Ф3'!L15-кр!K8</f>
        <v>0</v>
      </c>
      <c r="M19" s="130">
        <f>L19+'2-ф2'!M14-'1-Ф3'!M15-кр!L8</f>
        <v>0</v>
      </c>
      <c r="N19" s="130">
        <f>M19+'2-ф2'!N14-'1-Ф3'!N15-кр!M8</f>
        <v>9.463045410000001</v>
      </c>
      <c r="O19" s="130">
        <f>N19+'2-ф2'!O14-'1-Ф3'!O15-кр!N8</f>
        <v>18.926090820000002</v>
      </c>
      <c r="P19" s="130">
        <f>O19</f>
        <v>18.926090820000002</v>
      </c>
      <c r="Q19" s="130">
        <f>P19+'2-ф2'!Q14-'1-Ф3'!Q15-кр!P8</f>
        <v>28.389136230000005</v>
      </c>
      <c r="R19" s="130">
        <f>Q19+'2-ф2'!R14-'1-Ф3'!R15-кр!Q8</f>
        <v>37.852181640000005</v>
      </c>
      <c r="S19" s="130">
        <f>R19+'2-ф2'!S14-'1-Ф3'!S15-кр!R8</f>
        <v>0</v>
      </c>
      <c r="T19" s="130">
        <f>S19+'2-ф2'!T14-'1-Ф3'!T15-кр!S8</f>
        <v>0</v>
      </c>
      <c r="U19" s="130">
        <f>T19+'2-ф2'!U14-'1-Ф3'!U15-кр!T8</f>
        <v>0</v>
      </c>
      <c r="V19" s="130">
        <f>U19+'2-ф2'!V14-'1-Ф3'!V15-кр!U8</f>
        <v>0</v>
      </c>
      <c r="W19" s="130">
        <f>V19+'2-ф2'!W14-'1-Ф3'!W15-кр!V8</f>
        <v>0</v>
      </c>
      <c r="X19" s="130">
        <f>W19+'2-ф2'!X14-'1-Ф3'!X15-кр!W8</f>
        <v>0</v>
      </c>
      <c r="Y19" s="130">
        <f>X19+'2-ф2'!Y14-'1-Ф3'!Y15-кр!X8</f>
        <v>0</v>
      </c>
      <c r="Z19" s="130">
        <f>Y19+'2-ф2'!Z14-'1-Ф3'!Z15-кр!Y8</f>
        <v>0</v>
      </c>
      <c r="AA19" s="130">
        <f>Z19+'2-ф2'!AA14-'1-Ф3'!AA15-кр!Z8</f>
        <v>0</v>
      </c>
      <c r="AB19" s="130">
        <f>AA19+'2-ф2'!AB14-'1-Ф3'!AB15-кр!AA8</f>
        <v>0</v>
      </c>
      <c r="AC19" s="130">
        <f>AB19</f>
        <v>0</v>
      </c>
      <c r="AD19" s="130">
        <f>AC19+'2-ф2'!AD14-'1-Ф3'!AD15</f>
        <v>0</v>
      </c>
      <c r="AE19" s="130">
        <f>AD19+'2-ф2'!AE14-'1-Ф3'!AE15</f>
        <v>0</v>
      </c>
      <c r="AF19" s="130">
        <f>AE19+'2-ф2'!AF14-'1-Ф3'!AF15</f>
        <v>0</v>
      </c>
      <c r="AG19" s="130">
        <f>AF19+'2-ф2'!AG14-'1-Ф3'!AG15</f>
        <v>0</v>
      </c>
      <c r="AH19" s="130">
        <f>AG19+'2-ф2'!AH14-'1-Ф3'!AH15</f>
        <v>0</v>
      </c>
      <c r="AI19" s="130">
        <f>AH19+'2-ф2'!AI14-'1-Ф3'!AI15</f>
        <v>0</v>
      </c>
      <c r="AJ19" s="117"/>
    </row>
    <row r="20" spans="1:35" ht="12.75">
      <c r="A20" s="128" t="s">
        <v>127</v>
      </c>
      <c r="B20" s="130"/>
      <c r="C20" s="130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30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30">
        <f>AB20</f>
        <v>0</v>
      </c>
      <c r="AD20" s="130"/>
      <c r="AE20" s="130"/>
      <c r="AF20" s="130"/>
      <c r="AG20" s="130"/>
      <c r="AH20" s="130"/>
      <c r="AI20" s="130"/>
    </row>
    <row r="21" spans="1:35" ht="15" customHeight="1">
      <c r="A21" s="123" t="s">
        <v>128</v>
      </c>
      <c r="B21" s="124"/>
      <c r="C21" s="124">
        <f aca="true" t="shared" si="13" ref="C21:AH21">SUM(C22:C23)</f>
        <v>0</v>
      </c>
      <c r="D21" s="124">
        <f t="shared" si="13"/>
        <v>0</v>
      </c>
      <c r="E21" s="124">
        <f t="shared" si="13"/>
        <v>0</v>
      </c>
      <c r="F21" s="124">
        <f t="shared" si="13"/>
        <v>0</v>
      </c>
      <c r="G21" s="124">
        <f t="shared" si="13"/>
        <v>0</v>
      </c>
      <c r="H21" s="124">
        <f t="shared" si="13"/>
        <v>0</v>
      </c>
      <c r="I21" s="124">
        <f t="shared" si="13"/>
        <v>0</v>
      </c>
      <c r="J21" s="124">
        <f t="shared" si="13"/>
        <v>0</v>
      </c>
      <c r="K21" s="124">
        <f t="shared" si="13"/>
        <v>0</v>
      </c>
      <c r="L21" s="124">
        <f t="shared" si="13"/>
        <v>0</v>
      </c>
      <c r="M21" s="124">
        <f t="shared" si="13"/>
        <v>1622.2363560000001</v>
      </c>
      <c r="N21" s="124">
        <f t="shared" si="13"/>
        <v>1622.2363560000001</v>
      </c>
      <c r="O21" s="124">
        <f t="shared" si="13"/>
        <v>1622.2363560000001</v>
      </c>
      <c r="P21" s="124">
        <f t="shared" si="13"/>
        <v>1622.2363560000001</v>
      </c>
      <c r="Q21" s="124">
        <f t="shared" si="13"/>
        <v>1622.2363560000001</v>
      </c>
      <c r="R21" s="124">
        <f t="shared" si="13"/>
        <v>1622.2363560000001</v>
      </c>
      <c r="S21" s="124">
        <f t="shared" si="13"/>
        <v>1669.55158305</v>
      </c>
      <c r="T21" s="124">
        <f t="shared" si="13"/>
        <v>1602.769519728</v>
      </c>
      <c r="U21" s="124">
        <f t="shared" si="13"/>
        <v>1535.987456406</v>
      </c>
      <c r="V21" s="124">
        <f t="shared" si="13"/>
        <v>1469.2053930840002</v>
      </c>
      <c r="W21" s="124">
        <f t="shared" si="13"/>
        <v>1402.4233297620003</v>
      </c>
      <c r="X21" s="124">
        <f t="shared" si="13"/>
        <v>1335.6412664400004</v>
      </c>
      <c r="Y21" s="124">
        <f t="shared" si="13"/>
        <v>1268.8592031180006</v>
      </c>
      <c r="Z21" s="124">
        <f t="shared" si="13"/>
        <v>1202.0771397960007</v>
      </c>
      <c r="AA21" s="124">
        <f t="shared" si="13"/>
        <v>1135.2950764740008</v>
      </c>
      <c r="AB21" s="124">
        <f t="shared" si="13"/>
        <v>1068.513013152001</v>
      </c>
      <c r="AC21" s="124">
        <f t="shared" si="13"/>
        <v>1068.513013152001</v>
      </c>
      <c r="AD21" s="124">
        <f t="shared" si="13"/>
        <v>267.1282532880009</v>
      </c>
      <c r="AE21" s="124">
        <f t="shared" si="13"/>
        <v>9.094947017729282E-13</v>
      </c>
      <c r="AF21" s="124">
        <f t="shared" si="13"/>
        <v>9.094947017729282E-13</v>
      </c>
      <c r="AG21" s="124">
        <f t="shared" si="13"/>
        <v>9.094947017729282E-13</v>
      </c>
      <c r="AH21" s="124">
        <f t="shared" si="13"/>
        <v>9.094947017729282E-13</v>
      </c>
      <c r="AI21" s="124">
        <f>SUM(AI22:AI23)</f>
        <v>9.094947017729282E-13</v>
      </c>
    </row>
    <row r="22" spans="1:35" ht="12.75">
      <c r="A22" s="128" t="s">
        <v>126</v>
      </c>
      <c r="B22" s="130"/>
      <c r="C22" s="124"/>
      <c r="D22" s="130">
        <f>кр!C12</f>
        <v>0</v>
      </c>
      <c r="E22" s="130">
        <f>кр!D12</f>
        <v>0</v>
      </c>
      <c r="F22" s="130">
        <f>кр!E12</f>
        <v>0</v>
      </c>
      <c r="G22" s="130">
        <f>кр!F12</f>
        <v>0</v>
      </c>
      <c r="H22" s="130">
        <f>кр!G12</f>
        <v>0</v>
      </c>
      <c r="I22" s="130">
        <f>кр!H12</f>
        <v>0</v>
      </c>
      <c r="J22" s="130">
        <f>кр!I12</f>
        <v>0</v>
      </c>
      <c r="K22" s="130">
        <f>кр!J12</f>
        <v>0</v>
      </c>
      <c r="L22" s="130">
        <f>кр!K12</f>
        <v>0</v>
      </c>
      <c r="M22" s="130">
        <f>кр!L12</f>
        <v>1622.2363560000001</v>
      </c>
      <c r="N22" s="130">
        <f>кр!M12</f>
        <v>1622.2363560000001</v>
      </c>
      <c r="O22" s="130">
        <f>кр!N12</f>
        <v>1622.2363560000001</v>
      </c>
      <c r="P22" s="130">
        <f>кр!O12</f>
        <v>1622.2363560000001</v>
      </c>
      <c r="Q22" s="130">
        <f>кр!P12</f>
        <v>1622.2363560000001</v>
      </c>
      <c r="R22" s="130">
        <f>кр!Q12</f>
        <v>1622.2363560000001</v>
      </c>
      <c r="S22" s="130">
        <f>кр!R12</f>
        <v>1669.55158305</v>
      </c>
      <c r="T22" s="130">
        <f>кр!S12</f>
        <v>1602.769519728</v>
      </c>
      <c r="U22" s="130">
        <f>кр!T12</f>
        <v>1535.987456406</v>
      </c>
      <c r="V22" s="130">
        <f>кр!U12</f>
        <v>1469.2053930840002</v>
      </c>
      <c r="W22" s="130">
        <f>кр!V12</f>
        <v>1402.4233297620003</v>
      </c>
      <c r="X22" s="130">
        <f>кр!W12</f>
        <v>1335.6412664400004</v>
      </c>
      <c r="Y22" s="130">
        <f>кр!X12</f>
        <v>1268.8592031180006</v>
      </c>
      <c r="Z22" s="130">
        <f>кр!Y12</f>
        <v>1202.0771397960007</v>
      </c>
      <c r="AA22" s="130">
        <f>кр!Z12</f>
        <v>1135.2950764740008</v>
      </c>
      <c r="AB22" s="130">
        <f>кр!AA12</f>
        <v>1068.513013152001</v>
      </c>
      <c r="AC22" s="130">
        <f>кр!AB12</f>
        <v>1068.513013152001</v>
      </c>
      <c r="AD22" s="130">
        <f>кр!AO12</f>
        <v>267.1282532880009</v>
      </c>
      <c r="AE22" s="130">
        <f>кр!BB12</f>
        <v>9.094947017729282E-13</v>
      </c>
      <c r="AF22" s="130">
        <f>кр!BO12</f>
        <v>9.094947017729282E-13</v>
      </c>
      <c r="AG22" s="130">
        <f>кр!CB12</f>
        <v>9.094947017729282E-13</v>
      </c>
      <c r="AH22" s="130">
        <f>кр!CO12</f>
        <v>9.094947017729282E-13</v>
      </c>
      <c r="AI22" s="130">
        <f>кр!DB12</f>
        <v>9.094947017729282E-13</v>
      </c>
    </row>
    <row r="23" spans="1:35" ht="15" customHeight="1" hidden="1">
      <c r="A23" s="128" t="s">
        <v>129</v>
      </c>
      <c r="B23" s="130"/>
      <c r="C23" s="130"/>
      <c r="D23" s="130">
        <f>C23</f>
        <v>0</v>
      </c>
      <c r="E23" s="130">
        <f>D23</f>
        <v>0</v>
      </c>
      <c r="F23" s="130">
        <f aca="true" t="shared" si="14" ref="F23:AI23">E23</f>
        <v>0</v>
      </c>
      <c r="G23" s="130">
        <f t="shared" si="14"/>
        <v>0</v>
      </c>
      <c r="H23" s="130">
        <f t="shared" si="14"/>
        <v>0</v>
      </c>
      <c r="I23" s="130">
        <f t="shared" si="14"/>
        <v>0</v>
      </c>
      <c r="J23" s="130">
        <f t="shared" si="14"/>
        <v>0</v>
      </c>
      <c r="K23" s="130">
        <f t="shared" si="14"/>
        <v>0</v>
      </c>
      <c r="L23" s="130">
        <f t="shared" si="14"/>
        <v>0</v>
      </c>
      <c r="M23" s="130">
        <f t="shared" si="14"/>
        <v>0</v>
      </c>
      <c r="N23" s="130">
        <f t="shared" si="14"/>
        <v>0</v>
      </c>
      <c r="O23" s="130">
        <f t="shared" si="14"/>
        <v>0</v>
      </c>
      <c r="P23" s="130">
        <f t="shared" si="14"/>
        <v>0</v>
      </c>
      <c r="Q23" s="130">
        <f t="shared" si="14"/>
        <v>0</v>
      </c>
      <c r="R23" s="130">
        <f t="shared" si="14"/>
        <v>0</v>
      </c>
      <c r="S23" s="130">
        <f t="shared" si="14"/>
        <v>0</v>
      </c>
      <c r="T23" s="130">
        <f t="shared" si="14"/>
        <v>0</v>
      </c>
      <c r="U23" s="130">
        <f t="shared" si="14"/>
        <v>0</v>
      </c>
      <c r="V23" s="130">
        <f t="shared" si="14"/>
        <v>0</v>
      </c>
      <c r="W23" s="130">
        <f t="shared" si="14"/>
        <v>0</v>
      </c>
      <c r="X23" s="130">
        <f t="shared" si="14"/>
        <v>0</v>
      </c>
      <c r="Y23" s="130">
        <f t="shared" si="14"/>
        <v>0</v>
      </c>
      <c r="Z23" s="130">
        <f t="shared" si="14"/>
        <v>0</v>
      </c>
      <c r="AA23" s="130">
        <f t="shared" si="14"/>
        <v>0</v>
      </c>
      <c r="AB23" s="130">
        <f t="shared" si="14"/>
        <v>0</v>
      </c>
      <c r="AC23" s="124">
        <f>AB23</f>
        <v>0</v>
      </c>
      <c r="AD23" s="130">
        <f t="shared" si="14"/>
        <v>0</v>
      </c>
      <c r="AE23" s="130">
        <f t="shared" si="14"/>
        <v>0</v>
      </c>
      <c r="AF23" s="130">
        <f t="shared" si="14"/>
        <v>0</v>
      </c>
      <c r="AG23" s="130">
        <f t="shared" si="14"/>
        <v>0</v>
      </c>
      <c r="AH23" s="130">
        <f t="shared" si="14"/>
        <v>0</v>
      </c>
      <c r="AI23" s="130">
        <f t="shared" si="14"/>
        <v>0</v>
      </c>
    </row>
    <row r="24" spans="1:35" s="127" customFormat="1" ht="15" customHeight="1">
      <c r="A24" s="123" t="s">
        <v>130</v>
      </c>
      <c r="B24" s="124"/>
      <c r="C24" s="124">
        <f aca="true" t="shared" si="15" ref="C24:AH24">SUM(C25:C26)</f>
        <v>0</v>
      </c>
      <c r="D24" s="124">
        <f t="shared" si="15"/>
        <v>0</v>
      </c>
      <c r="E24" s="124">
        <f t="shared" si="15"/>
        <v>0</v>
      </c>
      <c r="F24" s="124">
        <f t="shared" si="15"/>
        <v>0</v>
      </c>
      <c r="G24" s="124">
        <f t="shared" si="15"/>
        <v>0</v>
      </c>
      <c r="H24" s="124">
        <f t="shared" si="15"/>
        <v>0</v>
      </c>
      <c r="I24" s="124">
        <f t="shared" si="15"/>
        <v>0</v>
      </c>
      <c r="J24" s="124">
        <f t="shared" si="15"/>
        <v>0</v>
      </c>
      <c r="K24" s="124">
        <f t="shared" si="15"/>
        <v>0</v>
      </c>
      <c r="L24" s="124">
        <f t="shared" si="15"/>
        <v>0</v>
      </c>
      <c r="M24" s="124">
        <f t="shared" si="15"/>
        <v>286.27700400000003</v>
      </c>
      <c r="N24" s="124">
        <f t="shared" si="15"/>
        <v>276.81395859</v>
      </c>
      <c r="O24" s="124">
        <f t="shared" si="15"/>
        <v>297.75399318</v>
      </c>
      <c r="P24" s="124">
        <f t="shared" si="15"/>
        <v>297.75399318</v>
      </c>
      <c r="Q24" s="124">
        <f t="shared" si="15"/>
        <v>273.05431477</v>
      </c>
      <c r="R24" s="124">
        <f t="shared" si="15"/>
        <v>248.35463636</v>
      </c>
      <c r="S24" s="124">
        <f t="shared" si="15"/>
        <v>261.35464994999995</v>
      </c>
      <c r="T24" s="124">
        <f t="shared" si="15"/>
        <v>274.0786580488749</v>
      </c>
      <c r="U24" s="124">
        <f t="shared" si="15"/>
        <v>324.89192018379487</v>
      </c>
      <c r="V24" s="124">
        <f t="shared" si="15"/>
        <v>376.0947443547599</v>
      </c>
      <c r="W24" s="124">
        <f t="shared" si="15"/>
        <v>465.38682256176986</v>
      </c>
      <c r="X24" s="124">
        <f t="shared" si="15"/>
        <v>555.0684628048249</v>
      </c>
      <c r="Y24" s="124">
        <f t="shared" si="15"/>
        <v>682.8393570839248</v>
      </c>
      <c r="Z24" s="124">
        <f t="shared" si="15"/>
        <v>810.9998133990698</v>
      </c>
      <c r="AA24" s="124">
        <f t="shared" si="15"/>
        <v>977.2495237502599</v>
      </c>
      <c r="AB24" s="124">
        <f t="shared" si="15"/>
        <v>1143.8887961374949</v>
      </c>
      <c r="AC24" s="124">
        <f t="shared" si="15"/>
        <v>1143.8887961374949</v>
      </c>
      <c r="AD24" s="124">
        <f t="shared" si="15"/>
        <v>3173.945903595825</v>
      </c>
      <c r="AE24" s="124">
        <f t="shared" si="15"/>
        <v>5701.5885112353735</v>
      </c>
      <c r="AF24" s="124">
        <f t="shared" si="15"/>
        <v>9137.919347235373</v>
      </c>
      <c r="AG24" s="124">
        <f t="shared" si="15"/>
        <v>13479.042791235373</v>
      </c>
      <c r="AH24" s="124">
        <f t="shared" si="15"/>
        <v>17820.166235235374</v>
      </c>
      <c r="AI24" s="124">
        <f>SUM(AI25:AI26)</f>
        <v>22161.289679235375</v>
      </c>
    </row>
    <row r="25" spans="1:35" ht="15" customHeight="1">
      <c r="A25" s="128" t="s">
        <v>131</v>
      </c>
      <c r="B25" s="124"/>
      <c r="C25" s="130"/>
      <c r="D25" s="130">
        <f>C25+'1-Ф3'!D28</f>
        <v>0</v>
      </c>
      <c r="E25" s="130">
        <f>D25+'1-Ф3'!E28</f>
        <v>0</v>
      </c>
      <c r="F25" s="130">
        <f>E25+'1-Ф3'!F28</f>
        <v>0</v>
      </c>
      <c r="G25" s="130">
        <f>F25+'1-Ф3'!G28</f>
        <v>0</v>
      </c>
      <c r="H25" s="130">
        <f>G25+'1-Ф3'!H28</f>
        <v>0</v>
      </c>
      <c r="I25" s="130">
        <f>H25+'1-Ф3'!I28</f>
        <v>0</v>
      </c>
      <c r="J25" s="130">
        <f>I25+'1-Ф3'!J28</f>
        <v>0</v>
      </c>
      <c r="K25" s="130">
        <f>J25+'1-Ф3'!K28</f>
        <v>0</v>
      </c>
      <c r="L25" s="130">
        <f>K25+'1-Ф3'!L28</f>
        <v>0</v>
      </c>
      <c r="M25" s="130">
        <f>L25+'1-Ф3'!M28</f>
        <v>286.27700400000003</v>
      </c>
      <c r="N25" s="130">
        <f>M25+'1-Ф3'!N28</f>
        <v>286.27700400000003</v>
      </c>
      <c r="O25" s="130">
        <f>N25+'1-Ф3'!O28</f>
        <v>316.680084</v>
      </c>
      <c r="P25" s="130">
        <f>O25</f>
        <v>316.680084</v>
      </c>
      <c r="Q25" s="130">
        <f>P25+'1-Ф3'!Q28</f>
        <v>316.680084</v>
      </c>
      <c r="R25" s="130">
        <f>Q25+'1-Ф3'!R28</f>
        <v>316.680084</v>
      </c>
      <c r="S25" s="130">
        <f>R25+'1-Ф3'!S28</f>
        <v>316.680084</v>
      </c>
      <c r="T25" s="130">
        <f>S25+'1-Ф3'!T28</f>
        <v>316.680084</v>
      </c>
      <c r="U25" s="130">
        <f>T25+'1-Ф3'!U28</f>
        <v>316.680084</v>
      </c>
      <c r="V25" s="130">
        <f>U25+'1-Ф3'!V28</f>
        <v>316.680084</v>
      </c>
      <c r="W25" s="130">
        <f>V25+'1-Ф3'!W28</f>
        <v>316.680084</v>
      </c>
      <c r="X25" s="130">
        <f>W25+'1-Ф3'!X28</f>
        <v>316.680084</v>
      </c>
      <c r="Y25" s="130">
        <f>X25+'1-Ф3'!Y28</f>
        <v>316.680084</v>
      </c>
      <c r="Z25" s="130">
        <f>Y25+'1-Ф3'!Z28</f>
        <v>316.680084</v>
      </c>
      <c r="AA25" s="130">
        <f>Z25+'1-Ф3'!AA28</f>
        <v>316.680084</v>
      </c>
      <c r="AB25" s="130">
        <f>AA25+'1-Ф3'!AB28</f>
        <v>316.680084</v>
      </c>
      <c r="AC25" s="130">
        <f>AB25</f>
        <v>316.680084</v>
      </c>
      <c r="AD25" s="130">
        <f>AC25+'1-Ф3'!AD28</f>
        <v>316.680084</v>
      </c>
      <c r="AE25" s="130">
        <f>AD25+'1-Ф3'!AE28</f>
        <v>316.680084</v>
      </c>
      <c r="AF25" s="130">
        <f>AE25+'1-Ф3'!AF28</f>
        <v>316.680084</v>
      </c>
      <c r="AG25" s="130">
        <f>AF25+'1-Ф3'!AG28</f>
        <v>316.680084</v>
      </c>
      <c r="AH25" s="130">
        <f>AG25+'1-Ф3'!AH28</f>
        <v>316.680084</v>
      </c>
      <c r="AI25" s="130">
        <f>AH25+'1-Ф3'!AI28</f>
        <v>316.680084</v>
      </c>
    </row>
    <row r="26" spans="1:35" ht="15" customHeight="1">
      <c r="A26" s="128" t="s">
        <v>132</v>
      </c>
      <c r="B26" s="124"/>
      <c r="C26" s="130"/>
      <c r="D26" s="130">
        <f>'2-ф2'!D18</f>
        <v>0</v>
      </c>
      <c r="E26" s="130">
        <f>'2-ф2'!E18</f>
        <v>0</v>
      </c>
      <c r="F26" s="130">
        <f>'2-ф2'!F18</f>
        <v>0</v>
      </c>
      <c r="G26" s="130">
        <f>'2-ф2'!G18</f>
        <v>0</v>
      </c>
      <c r="H26" s="130">
        <f>'2-ф2'!H18</f>
        <v>0</v>
      </c>
      <c r="I26" s="130">
        <f>'2-ф2'!I18</f>
        <v>0</v>
      </c>
      <c r="J26" s="130">
        <f>'2-ф2'!J18</f>
        <v>0</v>
      </c>
      <c r="K26" s="130">
        <f>'2-ф2'!K18</f>
        <v>0</v>
      </c>
      <c r="L26" s="130">
        <f>'2-ф2'!L18</f>
        <v>0</v>
      </c>
      <c r="M26" s="130">
        <f>'2-ф2'!M18</f>
        <v>0</v>
      </c>
      <c r="N26" s="130">
        <f>'2-ф2'!N18</f>
        <v>-9.463045410000001</v>
      </c>
      <c r="O26" s="130">
        <f>'2-ф2'!O18</f>
        <v>-18.926090820000002</v>
      </c>
      <c r="P26" s="130">
        <f>'2-ф2'!P18</f>
        <v>-18.926090820000002</v>
      </c>
      <c r="Q26" s="130">
        <f>'2-ф2'!Q18</f>
        <v>-43.62576923000001</v>
      </c>
      <c r="R26" s="130">
        <f>'2-ф2'!R18</f>
        <v>-68.32544764000002</v>
      </c>
      <c r="S26" s="130">
        <f>'2-ф2'!S18</f>
        <v>-55.32543405000007</v>
      </c>
      <c r="T26" s="130">
        <f>'2-ф2'!T18</f>
        <v>-42.60142595112511</v>
      </c>
      <c r="U26" s="130">
        <f>'2-ф2'!U18</f>
        <v>8.211836183794865</v>
      </c>
      <c r="V26" s="130">
        <f>'2-ф2'!V18</f>
        <v>59.414660354759846</v>
      </c>
      <c r="W26" s="130">
        <f>'2-ф2'!W18</f>
        <v>148.70673856176984</v>
      </c>
      <c r="X26" s="130">
        <f>'2-ф2'!X18</f>
        <v>238.38837880482484</v>
      </c>
      <c r="Y26" s="130">
        <f>'2-ф2'!Y18</f>
        <v>366.15927308392486</v>
      </c>
      <c r="Z26" s="130">
        <f>'2-ф2'!Z18</f>
        <v>494.31972939906984</v>
      </c>
      <c r="AA26" s="130">
        <f>'2-ф2'!AA18</f>
        <v>660.5694397502598</v>
      </c>
      <c r="AB26" s="130">
        <f>'2-ф2'!AB18</f>
        <v>827.2087121374948</v>
      </c>
      <c r="AC26" s="130">
        <f>'2-ф2'!AC18</f>
        <v>827.2087121374948</v>
      </c>
      <c r="AD26" s="130">
        <f>'2-ф2'!AD18</f>
        <v>2857.2658195958247</v>
      </c>
      <c r="AE26" s="130">
        <f>'2-ф2'!AE18</f>
        <v>5384.908427235374</v>
      </c>
      <c r="AF26" s="130">
        <f>'2-ф2'!AF18</f>
        <v>8821.239263235373</v>
      </c>
      <c r="AG26" s="130">
        <f>'2-ф2'!AG18</f>
        <v>13162.362707235374</v>
      </c>
      <c r="AH26" s="130">
        <f>'2-ф2'!AH18</f>
        <v>17503.486151235375</v>
      </c>
      <c r="AI26" s="130">
        <f>'2-ф2'!AI18</f>
        <v>21844.609595235375</v>
      </c>
    </row>
    <row r="28" spans="1:35" ht="12.75">
      <c r="A28" s="133" t="s">
        <v>133</v>
      </c>
      <c r="B28" s="134"/>
      <c r="C28" s="135">
        <f aca="true" t="shared" si="16" ref="C28:AH28">C5-C16</f>
        <v>0</v>
      </c>
      <c r="D28" s="136">
        <f t="shared" si="16"/>
        <v>0</v>
      </c>
      <c r="E28" s="136">
        <f t="shared" si="16"/>
        <v>0</v>
      </c>
      <c r="F28" s="136">
        <f t="shared" si="16"/>
        <v>0</v>
      </c>
      <c r="G28" s="136">
        <f t="shared" si="16"/>
        <v>0</v>
      </c>
      <c r="H28" s="136">
        <f t="shared" si="16"/>
        <v>0</v>
      </c>
      <c r="I28" s="136">
        <f t="shared" si="16"/>
        <v>0</v>
      </c>
      <c r="J28" s="136">
        <f t="shared" si="16"/>
        <v>0</v>
      </c>
      <c r="K28" s="136">
        <f t="shared" si="16"/>
        <v>0</v>
      </c>
      <c r="L28" s="136">
        <f t="shared" si="16"/>
        <v>0</v>
      </c>
      <c r="M28" s="136">
        <f t="shared" si="16"/>
        <v>0</v>
      </c>
      <c r="N28" s="136">
        <f t="shared" si="16"/>
        <v>0</v>
      </c>
      <c r="O28" s="136">
        <f t="shared" si="16"/>
        <v>0</v>
      </c>
      <c r="P28" s="136">
        <f>P5-P16</f>
        <v>0</v>
      </c>
      <c r="Q28" s="136">
        <f t="shared" si="16"/>
        <v>0</v>
      </c>
      <c r="R28" s="136">
        <f t="shared" si="16"/>
        <v>0</v>
      </c>
      <c r="S28" s="136">
        <f t="shared" si="16"/>
        <v>0</v>
      </c>
      <c r="T28" s="136">
        <f t="shared" si="16"/>
        <v>0</v>
      </c>
      <c r="U28" s="136">
        <f t="shared" si="16"/>
        <v>0</v>
      </c>
      <c r="V28" s="136">
        <f t="shared" si="16"/>
        <v>0</v>
      </c>
      <c r="W28" s="136">
        <f t="shared" si="16"/>
        <v>0</v>
      </c>
      <c r="X28" s="136">
        <f t="shared" si="16"/>
        <v>0</v>
      </c>
      <c r="Y28" s="136">
        <f t="shared" si="16"/>
        <v>0</v>
      </c>
      <c r="Z28" s="136">
        <f t="shared" si="16"/>
        <v>0</v>
      </c>
      <c r="AA28" s="136">
        <f t="shared" si="16"/>
        <v>0</v>
      </c>
      <c r="AB28" s="136">
        <f t="shared" si="16"/>
        <v>0</v>
      </c>
      <c r="AC28" s="136">
        <f t="shared" si="16"/>
        <v>0</v>
      </c>
      <c r="AD28" s="136">
        <f t="shared" si="16"/>
        <v>0</v>
      </c>
      <c r="AE28" s="136">
        <f t="shared" si="16"/>
        <v>0</v>
      </c>
      <c r="AF28" s="136">
        <f t="shared" si="16"/>
        <v>0</v>
      </c>
      <c r="AG28" s="136">
        <f t="shared" si="16"/>
        <v>0</v>
      </c>
      <c r="AH28" s="136">
        <f t="shared" si="16"/>
        <v>0</v>
      </c>
      <c r="AI28" s="136">
        <f>AI5-AI16</f>
        <v>0</v>
      </c>
    </row>
    <row r="29" ht="12.75" hidden="1"/>
    <row r="30" spans="1:35" ht="12.75" hidden="1">
      <c r="A30" s="116" t="s">
        <v>132</v>
      </c>
      <c r="P30" s="117">
        <f>P26</f>
        <v>-18.926090820000002</v>
      </c>
      <c r="Q30" s="117">
        <f>'[45]ф2'!Q32</f>
        <v>109.48954266069855</v>
      </c>
      <c r="R30" s="117">
        <f>'[45]ф2'!R32</f>
        <v>109.48954266069855</v>
      </c>
      <c r="S30" s="117">
        <f>'[45]ф2'!S32</f>
        <v>108.45296951069854</v>
      </c>
      <c r="T30" s="117">
        <f>'[45]ф2'!T32</f>
        <v>106.37982321069852</v>
      </c>
      <c r="U30" s="117">
        <f>'[45]ф2'!U32</f>
        <v>103.27010376069849</v>
      </c>
      <c r="V30" s="117">
        <f>'[45]ф2'!V32</f>
        <v>103.27010376069849</v>
      </c>
      <c r="W30" s="117">
        <f>'[45]ф2'!W32</f>
        <v>103.27010376069849</v>
      </c>
      <c r="X30" s="117">
        <f>'[45]ф2'!X32</f>
        <v>99.20125340855881</v>
      </c>
      <c r="Y30" s="117">
        <f>'[45]ф2'!Y32</f>
        <v>99.20125340855881</v>
      </c>
      <c r="Z30" s="117">
        <f>'[45]ф2'!Z32</f>
        <v>99.20125340855881</v>
      </c>
      <c r="AA30" s="117">
        <f>'[45]ф2'!AA32</f>
        <v>99.20125340855881</v>
      </c>
      <c r="AB30" s="117">
        <f>'[45]ф2'!AB32</f>
        <v>82.61608300855879</v>
      </c>
      <c r="AC30" s="117">
        <f>AC26-P26</f>
        <v>846.1348029574948</v>
      </c>
      <c r="AD30" s="117">
        <f aca="true" t="shared" si="17" ref="AD30:AI30">AD26-AC26</f>
        <v>2030.05710745833</v>
      </c>
      <c r="AE30" s="117">
        <f t="shared" si="17"/>
        <v>2527.642607639549</v>
      </c>
      <c r="AF30" s="117">
        <f t="shared" si="17"/>
        <v>3436.330835999999</v>
      </c>
      <c r="AG30" s="117">
        <f t="shared" si="17"/>
        <v>4341.123444000001</v>
      </c>
      <c r="AH30" s="117">
        <f t="shared" si="17"/>
        <v>4341.123444000001</v>
      </c>
      <c r="AI30" s="117">
        <f t="shared" si="17"/>
        <v>4341.123444000001</v>
      </c>
    </row>
    <row r="31" spans="1:35" ht="12.75" hidden="1">
      <c r="A31" s="116" t="s">
        <v>134</v>
      </c>
      <c r="P31" s="117">
        <f>(P8+P10+P13+P14)-(C8+C10+C13+C14)</f>
        <v>0</v>
      </c>
      <c r="AC31" s="117">
        <f>(AC8+AC10+AC13+AC14)-(P8+P10+P13+P14)</f>
        <v>0</v>
      </c>
      <c r="AD31" s="117">
        <f aca="true" t="shared" si="18" ref="AD31:AI31">(AD8+AD10+AD13+AD14)-(AC8+AC10+AC13+AC14)</f>
        <v>0</v>
      </c>
      <c r="AE31" s="117">
        <f t="shared" si="18"/>
        <v>0</v>
      </c>
      <c r="AF31" s="117">
        <f t="shared" si="18"/>
        <v>0</v>
      </c>
      <c r="AG31" s="117">
        <f t="shared" si="18"/>
        <v>0</v>
      </c>
      <c r="AH31" s="117">
        <f t="shared" si="18"/>
        <v>0</v>
      </c>
      <c r="AI31" s="117">
        <f t="shared" si="18"/>
        <v>0</v>
      </c>
    </row>
    <row r="32" spans="1:35" ht="12.75" hidden="1">
      <c r="A32" s="116" t="s">
        <v>135</v>
      </c>
      <c r="P32" s="117">
        <f>P9-C9</f>
        <v>30.40308</v>
      </c>
      <c r="AC32" s="117">
        <f>AC9-P9</f>
        <v>0</v>
      </c>
      <c r="AD32" s="117">
        <f aca="true" t="shared" si="19" ref="AD32:AI32">AD9-AC9</f>
        <v>0</v>
      </c>
      <c r="AE32" s="117">
        <f t="shared" si="19"/>
        <v>0</v>
      </c>
      <c r="AF32" s="117">
        <f t="shared" si="19"/>
        <v>0</v>
      </c>
      <c r="AG32" s="117">
        <f t="shared" si="19"/>
        <v>0</v>
      </c>
      <c r="AH32" s="117">
        <f t="shared" si="19"/>
        <v>0</v>
      </c>
      <c r="AI32" s="117">
        <f t="shared" si="19"/>
        <v>0</v>
      </c>
    </row>
    <row r="33" spans="1:35" ht="12.75" hidden="1">
      <c r="A33" s="116" t="s">
        <v>136</v>
      </c>
      <c r="P33" s="117">
        <f>(P21+P17)-(C21+C17)</f>
        <v>1641.16244682</v>
      </c>
      <c r="AC33" s="117">
        <f>(AC21+AC17)-(P21+P17)</f>
        <v>-572.6494336679991</v>
      </c>
      <c r="AD33" s="117">
        <f aca="true" t="shared" si="20" ref="AD33:AI33">(AD21+AD17)-(AC21+AC17)</f>
        <v>-801.384759864</v>
      </c>
      <c r="AE33" s="117">
        <f t="shared" si="20"/>
        <v>-267.128253288</v>
      </c>
      <c r="AF33" s="117">
        <f t="shared" si="20"/>
        <v>0</v>
      </c>
      <c r="AG33" s="117">
        <f t="shared" si="20"/>
        <v>0</v>
      </c>
      <c r="AH33" s="117">
        <f t="shared" si="20"/>
        <v>0</v>
      </c>
      <c r="AI33" s="117">
        <f t="shared" si="20"/>
        <v>0</v>
      </c>
    </row>
    <row r="34" spans="1:35" ht="12.75" hidden="1">
      <c r="A34" s="116" t="s">
        <v>137</v>
      </c>
      <c r="P34" s="117">
        <f>-P31+P32+P33</f>
        <v>1671.56552682</v>
      </c>
      <c r="Q34" s="117">
        <f aca="true" t="shared" si="21" ref="Q34:AB34">Q31+Q32+Q33</f>
        <v>0</v>
      </c>
      <c r="R34" s="117">
        <f t="shared" si="21"/>
        <v>0</v>
      </c>
      <c r="S34" s="117">
        <f t="shared" si="21"/>
        <v>0</v>
      </c>
      <c r="T34" s="117">
        <f t="shared" si="21"/>
        <v>0</v>
      </c>
      <c r="U34" s="117">
        <f t="shared" si="21"/>
        <v>0</v>
      </c>
      <c r="V34" s="117">
        <f t="shared" si="21"/>
        <v>0</v>
      </c>
      <c r="W34" s="117">
        <f t="shared" si="21"/>
        <v>0</v>
      </c>
      <c r="X34" s="117">
        <f t="shared" si="21"/>
        <v>0</v>
      </c>
      <c r="Y34" s="117">
        <f t="shared" si="21"/>
        <v>0</v>
      </c>
      <c r="Z34" s="117">
        <f t="shared" si="21"/>
        <v>0</v>
      </c>
      <c r="AA34" s="117">
        <f t="shared" si="21"/>
        <v>0</v>
      </c>
      <c r="AB34" s="117">
        <f t="shared" si="21"/>
        <v>0</v>
      </c>
      <c r="AC34" s="117">
        <f aca="true" t="shared" si="22" ref="AC34:AH34">-AC31+AC32+AC33</f>
        <v>-572.6494336679991</v>
      </c>
      <c r="AD34" s="117">
        <f t="shared" si="22"/>
        <v>-801.384759864</v>
      </c>
      <c r="AE34" s="117">
        <f t="shared" si="22"/>
        <v>-267.128253288</v>
      </c>
      <c r="AF34" s="117">
        <f t="shared" si="22"/>
        <v>0</v>
      </c>
      <c r="AG34" s="117">
        <f t="shared" si="22"/>
        <v>0</v>
      </c>
      <c r="AH34" s="117">
        <f t="shared" si="22"/>
        <v>0</v>
      </c>
      <c r="AI34" s="117">
        <f>-AI31+AI32+AI33</f>
        <v>0</v>
      </c>
    </row>
    <row r="35" spans="1:35" ht="12.75" hidden="1">
      <c r="A35" s="116" t="s">
        <v>75</v>
      </c>
      <c r="P35" s="117">
        <f>'2-ф2'!P13</f>
        <v>0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>
        <f>'2-ф2'!AC13</f>
        <v>192.65133600000004</v>
      </c>
      <c r="AD35" s="117">
        <f>'2-ф2'!AD13</f>
        <v>192.65133600000001</v>
      </c>
      <c r="AE35" s="117">
        <f>'2-ф2'!AE13</f>
        <v>192.65133600000001</v>
      </c>
      <c r="AF35" s="117">
        <f>'2-ф2'!AF13</f>
        <v>192.65133600000001</v>
      </c>
      <c r="AG35" s="117">
        <f>'2-ф2'!AG13</f>
        <v>192.65133600000001</v>
      </c>
      <c r="AH35" s="117">
        <f>'2-ф2'!AH13</f>
        <v>192.65133600000001</v>
      </c>
      <c r="AI35" s="117">
        <f>'2-ф2'!AI13</f>
        <v>192.65133600000001</v>
      </c>
    </row>
    <row r="36" spans="1:35" ht="12.75" hidden="1">
      <c r="A36" s="116" t="s">
        <v>138</v>
      </c>
      <c r="P36" s="117">
        <f>-'1-Ф3'!P21</f>
        <v>-1908.5133600000001</v>
      </c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>
        <f>-'1-Ф3'!AC21</f>
        <v>0</v>
      </c>
      <c r="AD36" s="117">
        <f>-'1-Ф3'!AD21</f>
        <v>0</v>
      </c>
      <c r="AE36" s="117">
        <f>-'1-Ф3'!AE21</f>
        <v>0</v>
      </c>
      <c r="AF36" s="117">
        <f>-'1-Ф3'!AF21</f>
        <v>0</v>
      </c>
      <c r="AG36" s="117">
        <f>-'1-Ф3'!AG21</f>
        <v>0</v>
      </c>
      <c r="AH36" s="117">
        <f>-'1-Ф3'!AH21</f>
        <v>0</v>
      </c>
      <c r="AI36" s="117">
        <f>-'1-Ф3'!AI21</f>
        <v>0</v>
      </c>
    </row>
    <row r="37" spans="1:35" ht="12.75" hidden="1">
      <c r="A37" s="116" t="s">
        <v>139</v>
      </c>
      <c r="P37" s="117">
        <f>P30+P34+P35+P36+P25</f>
        <v>60.806160000000034</v>
      </c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>
        <f aca="true" t="shared" si="23" ref="AC37:AH37">AC30+AC34+AC35+AC36</f>
        <v>466.1367052894957</v>
      </c>
      <c r="AD37" s="117">
        <f t="shared" si="23"/>
        <v>1421.3236835943299</v>
      </c>
      <c r="AE37" s="117">
        <f t="shared" si="23"/>
        <v>2453.165690351549</v>
      </c>
      <c r="AF37" s="117">
        <f t="shared" si="23"/>
        <v>3628.982171999999</v>
      </c>
      <c r="AG37" s="117">
        <f t="shared" si="23"/>
        <v>4533.774780000001</v>
      </c>
      <c r="AH37" s="117">
        <f t="shared" si="23"/>
        <v>4533.774780000001</v>
      </c>
      <c r="AI37" s="117">
        <f>AI30+AI34+AI35+AI36</f>
        <v>4533.774780000001</v>
      </c>
    </row>
    <row r="38" ht="12.75" hidden="1"/>
    <row r="39" spans="1:35" ht="12.75" hidden="1">
      <c r="A39" s="116" t="s">
        <v>145</v>
      </c>
      <c r="P39" s="117">
        <f>'1-Ф3'!P34</f>
        <v>0</v>
      </c>
      <c r="AC39" s="117">
        <f>'1-Ф3'!AC34</f>
        <v>466.13670528949467</v>
      </c>
      <c r="AD39" s="117">
        <f>'1-Ф3'!AD34</f>
        <v>1421.3236835943294</v>
      </c>
      <c r="AE39" s="117">
        <f>'1-Ф3'!AE34</f>
        <v>2453.165690351549</v>
      </c>
      <c r="AF39" s="117">
        <f>'1-Ф3'!AF34</f>
        <v>3628.982172</v>
      </c>
      <c r="AG39" s="117">
        <f>'1-Ф3'!AG34</f>
        <v>4533.77478</v>
      </c>
      <c r="AH39" s="117">
        <f>'1-Ф3'!AH34</f>
        <v>4533.77478</v>
      </c>
      <c r="AI39" s="117">
        <f>'1-Ф3'!AI34</f>
        <v>4533.77478</v>
      </c>
    </row>
    <row r="40" spans="1:35" ht="12.75" hidden="1">
      <c r="A40" s="133" t="s">
        <v>133</v>
      </c>
      <c r="B40" s="134"/>
      <c r="C40" s="135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>
        <f>P39-P37</f>
        <v>-60.806160000000034</v>
      </c>
      <c r="Q40" s="136">
        <f aca="true" t="shared" si="24" ref="Q40:AB40">Q39-Q37</f>
        <v>0</v>
      </c>
      <c r="R40" s="136">
        <f t="shared" si="24"/>
        <v>0</v>
      </c>
      <c r="S40" s="136">
        <f t="shared" si="24"/>
        <v>0</v>
      </c>
      <c r="T40" s="136">
        <f t="shared" si="24"/>
        <v>0</v>
      </c>
      <c r="U40" s="136">
        <f t="shared" si="24"/>
        <v>0</v>
      </c>
      <c r="V40" s="136">
        <f t="shared" si="24"/>
        <v>0</v>
      </c>
      <c r="W40" s="136">
        <f t="shared" si="24"/>
        <v>0</v>
      </c>
      <c r="X40" s="136">
        <f t="shared" si="24"/>
        <v>0</v>
      </c>
      <c r="Y40" s="136">
        <f t="shared" si="24"/>
        <v>0</v>
      </c>
      <c r="Z40" s="136">
        <f t="shared" si="24"/>
        <v>0</v>
      </c>
      <c r="AA40" s="136">
        <f t="shared" si="24"/>
        <v>0</v>
      </c>
      <c r="AB40" s="136">
        <f t="shared" si="24"/>
        <v>0</v>
      </c>
      <c r="AC40" s="136">
        <f aca="true" t="shared" si="25" ref="AC40:AH40">AC39-AC37</f>
        <v>-1.0231815394945443E-12</v>
      </c>
      <c r="AD40" s="136">
        <f t="shared" si="25"/>
        <v>0</v>
      </c>
      <c r="AE40" s="136">
        <f t="shared" si="25"/>
        <v>0</v>
      </c>
      <c r="AF40" s="136">
        <f t="shared" si="25"/>
        <v>0</v>
      </c>
      <c r="AG40" s="136">
        <f t="shared" si="25"/>
        <v>0</v>
      </c>
      <c r="AH40" s="136">
        <f t="shared" si="25"/>
        <v>0</v>
      </c>
      <c r="AI40" s="136">
        <f>AI39-AI37</f>
        <v>0</v>
      </c>
    </row>
    <row r="41" spans="11:14" ht="12.75">
      <c r="K41" s="230">
        <f>K28-J28</f>
        <v>0</v>
      </c>
      <c r="L41" s="230">
        <f>L28-K28</f>
        <v>0</v>
      </c>
      <c r="M41" s="230">
        <f>M28-L28</f>
        <v>0</v>
      </c>
      <c r="N41" s="230">
        <f>N28-M28</f>
        <v>0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37"/>
  <sheetViews>
    <sheetView showGridLines="0" zoomScalePageLayoutView="0" workbookViewId="0" topLeftCell="A1">
      <pane ySplit="3" topLeftCell="A7" activePane="bottomLeft" state="frozen"/>
      <selection pane="topLeft" activeCell="A34" sqref="A34"/>
      <selection pane="bottomLeft" activeCell="C23" sqref="C23"/>
    </sheetView>
  </sheetViews>
  <sheetFormatPr defaultColWidth="9.00390625" defaultRowHeight="12.75"/>
  <cols>
    <col min="1" max="1" width="31.375" style="71" customWidth="1"/>
    <col min="2" max="2" width="18.75390625" style="71" customWidth="1"/>
    <col min="3" max="3" width="20.00390625" style="71" customWidth="1"/>
    <col min="4" max="4" width="19.00390625" style="71" customWidth="1"/>
    <col min="5" max="13" width="9.125" style="71" customWidth="1"/>
    <col min="14" max="14" width="14.375" style="71" customWidth="1"/>
    <col min="15" max="16384" width="9.125" style="71" customWidth="1"/>
  </cols>
  <sheetData>
    <row r="1" spans="1:3" ht="15.75" customHeight="1">
      <c r="A1" s="324" t="s">
        <v>36</v>
      </c>
      <c r="B1" s="324"/>
      <c r="C1" s="324"/>
    </row>
    <row r="2" spans="1:7" ht="12" customHeight="1">
      <c r="A2" s="61"/>
      <c r="G2" s="234">
        <f>'1-Ф3'!B35</f>
        <v>21570.932591235363</v>
      </c>
    </row>
    <row r="3" spans="1:3" ht="12.75">
      <c r="A3" s="72" t="s">
        <v>26</v>
      </c>
      <c r="B3" s="73" t="s">
        <v>37</v>
      </c>
      <c r="C3" s="73" t="s">
        <v>7</v>
      </c>
    </row>
    <row r="4" ht="12.75">
      <c r="A4" s="61" t="s">
        <v>147</v>
      </c>
    </row>
    <row r="5" spans="1:3" ht="12.75">
      <c r="A5" s="74" t="s">
        <v>100</v>
      </c>
      <c r="B5" s="74"/>
      <c r="C5" s="142">
        <v>151.54</v>
      </c>
    </row>
    <row r="6" spans="1:3" ht="12.75">
      <c r="A6" s="74" t="s">
        <v>157</v>
      </c>
      <c r="B6" s="74"/>
      <c r="C6" s="221">
        <v>4.61</v>
      </c>
    </row>
    <row r="7" spans="1:4" ht="12.75">
      <c r="A7" s="74" t="s">
        <v>71</v>
      </c>
      <c r="B7" s="74"/>
      <c r="C7" s="154">
        <f>(20%*C8+C34*(1-C19)*(1-C8))*0+7%</f>
        <v>0.07</v>
      </c>
      <c r="D7" s="71" t="s">
        <v>196</v>
      </c>
    </row>
    <row r="8" spans="1:3" ht="12.75" hidden="1">
      <c r="A8" s="74" t="s">
        <v>193</v>
      </c>
      <c r="B8" s="74"/>
      <c r="C8" s="77">
        <v>0</v>
      </c>
    </row>
    <row r="9" spans="1:3" ht="12.75">
      <c r="A9" s="74" t="s">
        <v>140</v>
      </c>
      <c r="B9" s="74"/>
      <c r="C9" s="78" t="s">
        <v>57</v>
      </c>
    </row>
    <row r="10" ht="12.75">
      <c r="A10" s="61" t="s">
        <v>141</v>
      </c>
    </row>
    <row r="11" spans="1:3" ht="12.75">
      <c r="A11" s="74" t="s">
        <v>45</v>
      </c>
      <c r="B11" s="76" t="s">
        <v>39</v>
      </c>
      <c r="C11" s="77">
        <v>0.1</v>
      </c>
    </row>
    <row r="12" spans="1:3" ht="12.75">
      <c r="A12" s="74" t="s">
        <v>50</v>
      </c>
      <c r="B12" s="76" t="s">
        <v>39</v>
      </c>
      <c r="C12" s="77">
        <v>0.05</v>
      </c>
    </row>
    <row r="13" spans="1:3" ht="12.75">
      <c r="A13" s="74" t="s">
        <v>198</v>
      </c>
      <c r="B13" s="76" t="s">
        <v>39</v>
      </c>
      <c r="C13" s="77">
        <v>0.1</v>
      </c>
    </row>
    <row r="14" spans="1:3" ht="12.75" hidden="1">
      <c r="A14" s="74" t="s">
        <v>48</v>
      </c>
      <c r="B14" s="76" t="s">
        <v>39</v>
      </c>
      <c r="C14" s="77">
        <f>11%*0</f>
        <v>0</v>
      </c>
    </row>
    <row r="15" spans="1:3" ht="12.75">
      <c r="A15" s="74" t="s">
        <v>111</v>
      </c>
      <c r="B15" s="76" t="s">
        <v>57</v>
      </c>
      <c r="C15" s="79">
        <v>18.66</v>
      </c>
    </row>
    <row r="16" spans="1:3" ht="12.75">
      <c r="A16" s="74" t="s">
        <v>1</v>
      </c>
      <c r="B16" s="76"/>
      <c r="C16" s="232">
        <f>1.5%</f>
        <v>0.015</v>
      </c>
    </row>
    <row r="17" spans="1:4" ht="12.75" hidden="1">
      <c r="A17" s="74" t="s">
        <v>38</v>
      </c>
      <c r="B17" s="76" t="s">
        <v>39</v>
      </c>
      <c r="C17" s="77">
        <f>12%*0</f>
        <v>0</v>
      </c>
      <c r="D17" s="71" t="s">
        <v>197</v>
      </c>
    </row>
    <row r="18" spans="1:4" ht="12.75" hidden="1">
      <c r="A18" s="74" t="s">
        <v>58</v>
      </c>
      <c r="B18" s="74"/>
      <c r="C18" s="75">
        <v>1</v>
      </c>
      <c r="D18" s="71" t="s">
        <v>197</v>
      </c>
    </row>
    <row r="19" spans="1:4" ht="12.75">
      <c r="A19" s="74" t="s">
        <v>219</v>
      </c>
      <c r="B19" s="76" t="s">
        <v>39</v>
      </c>
      <c r="C19" s="77">
        <v>0.03</v>
      </c>
      <c r="D19" s="71" t="s">
        <v>218</v>
      </c>
    </row>
    <row r="20" spans="1:10" ht="12.75">
      <c r="A20" s="61" t="s">
        <v>261</v>
      </c>
      <c r="C20" s="144"/>
      <c r="D20" s="144"/>
      <c r="E20" s="144"/>
      <c r="F20" s="144"/>
      <c r="G20" s="144"/>
      <c r="H20" s="144"/>
      <c r="I20" s="144"/>
      <c r="J20" s="144"/>
    </row>
    <row r="21" spans="1:10" ht="12.75">
      <c r="A21" s="74" t="s">
        <v>262</v>
      </c>
      <c r="B21" s="76" t="s">
        <v>263</v>
      </c>
      <c r="C21" s="142">
        <v>12</v>
      </c>
      <c r="D21" s="144"/>
      <c r="E21" s="144"/>
      <c r="F21" s="144"/>
      <c r="G21" s="144"/>
      <c r="H21" s="144"/>
      <c r="I21" s="144"/>
      <c r="J21" s="144"/>
    </row>
    <row r="22" spans="1:10" ht="12.75">
      <c r="A22" s="74" t="s">
        <v>264</v>
      </c>
      <c r="B22" s="76" t="s">
        <v>265</v>
      </c>
      <c r="C22" s="142">
        <v>8</v>
      </c>
      <c r="D22" s="144"/>
      <c r="E22" s="144"/>
      <c r="F22" s="144"/>
      <c r="G22" s="144"/>
      <c r="H22" s="144"/>
      <c r="I22" s="144"/>
      <c r="J22" s="144"/>
    </row>
    <row r="23" spans="1:10" ht="12.75">
      <c r="A23" s="74" t="s">
        <v>266</v>
      </c>
      <c r="B23" s="76" t="s">
        <v>267</v>
      </c>
      <c r="C23" s="143">
        <f>C21*C22</f>
        <v>96</v>
      </c>
      <c r="D23" s="144"/>
      <c r="E23" s="144"/>
      <c r="F23" s="144"/>
      <c r="G23" s="144"/>
      <c r="H23" s="144"/>
      <c r="I23" s="144"/>
      <c r="J23" s="144"/>
    </row>
    <row r="24" spans="1:10" ht="12.75">
      <c r="A24" s="74" t="s">
        <v>268</v>
      </c>
      <c r="B24" s="76" t="s">
        <v>269</v>
      </c>
      <c r="C24" s="142">
        <v>25</v>
      </c>
      <c r="D24" s="144"/>
      <c r="E24" s="144"/>
      <c r="F24" s="144"/>
      <c r="G24" s="144"/>
      <c r="H24" s="144"/>
      <c r="I24" s="144"/>
      <c r="J24" s="144"/>
    </row>
    <row r="25" ht="12.75">
      <c r="A25" s="61" t="s">
        <v>202</v>
      </c>
    </row>
    <row r="26" spans="1:4" ht="12.75">
      <c r="A26" s="161" t="s">
        <v>270</v>
      </c>
      <c r="B26" s="76" t="s">
        <v>271</v>
      </c>
      <c r="C26" s="142">
        <v>350</v>
      </c>
      <c r="D26" s="218" t="s">
        <v>304</v>
      </c>
    </row>
    <row r="27" spans="1:4" ht="12.75">
      <c r="A27" s="161" t="s">
        <v>222</v>
      </c>
      <c r="B27" s="215" t="s">
        <v>223</v>
      </c>
      <c r="C27" s="216">
        <v>18.2</v>
      </c>
      <c r="D27" s="218" t="s">
        <v>274</v>
      </c>
    </row>
    <row r="28" spans="1:3" ht="12.75">
      <c r="A28" s="161" t="s">
        <v>275</v>
      </c>
      <c r="B28" s="76" t="s">
        <v>271</v>
      </c>
      <c r="C28" s="216">
        <v>530</v>
      </c>
    </row>
    <row r="29" spans="1:4" ht="12.75">
      <c r="A29" s="161" t="s">
        <v>276</v>
      </c>
      <c r="B29" s="76" t="s">
        <v>278</v>
      </c>
      <c r="C29" s="216">
        <v>417</v>
      </c>
      <c r="D29" s="218" t="s">
        <v>279</v>
      </c>
    </row>
    <row r="30" spans="1:3" ht="12.75">
      <c r="A30" s="161" t="s">
        <v>277</v>
      </c>
      <c r="B30" s="76" t="s">
        <v>271</v>
      </c>
      <c r="C30" s="142">
        <f>46*$C$6</f>
        <v>212.06</v>
      </c>
    </row>
    <row r="31" ht="12.75">
      <c r="A31" s="61" t="s">
        <v>221</v>
      </c>
    </row>
    <row r="32" spans="1:4" ht="12.75">
      <c r="A32" s="161" t="s">
        <v>272</v>
      </c>
      <c r="B32" s="215" t="s">
        <v>220</v>
      </c>
      <c r="C32" s="267">
        <f>3.6+5.4+6</f>
        <v>15</v>
      </c>
      <c r="D32" s="71" t="s">
        <v>273</v>
      </c>
    </row>
    <row r="33" ht="12.75">
      <c r="A33" s="61" t="s">
        <v>148</v>
      </c>
    </row>
    <row r="34" spans="1:3" ht="12.75">
      <c r="A34" s="74" t="s">
        <v>55</v>
      </c>
      <c r="B34" s="76" t="s">
        <v>39</v>
      </c>
      <c r="C34" s="77">
        <v>0.07</v>
      </c>
    </row>
    <row r="35" spans="1:3" ht="12.75">
      <c r="A35" s="74" t="s">
        <v>149</v>
      </c>
      <c r="B35" s="76" t="s">
        <v>150</v>
      </c>
      <c r="C35" s="221">
        <v>2.5</v>
      </c>
    </row>
    <row r="36" spans="1:3" ht="12.75">
      <c r="A36" s="74" t="s">
        <v>151</v>
      </c>
      <c r="B36" s="76" t="s">
        <v>153</v>
      </c>
      <c r="C36" s="142">
        <v>5</v>
      </c>
    </row>
    <row r="37" spans="1:3" ht="12.75">
      <c r="A37" s="74" t="s">
        <v>152</v>
      </c>
      <c r="B37" s="76" t="s">
        <v>153</v>
      </c>
      <c r="C37" s="142">
        <v>5</v>
      </c>
    </row>
  </sheetData>
  <sheetProtection/>
  <mergeCells count="1">
    <mergeCell ref="A1:C1"/>
  </mergeCells>
  <hyperlinks>
    <hyperlink ref="D27" r:id="rId1" display="http://www.esalmaty.kz/?uin=1270095046"/>
    <hyperlink ref="D29" r:id="rId2" display="http://satu.kz/p768279-konditsionery-opolaskivateli-dlya.html"/>
    <hyperlink ref="D26" r:id="rId3" display="http://himchistka-almaty.kz/03-09-ceny-na-stirku-postelnogo-belya.html"/>
  </hyperlinks>
  <printOptions/>
  <pageMargins left="0.3" right="0.25" top="0.43" bottom="0.33" header="0.21" footer="0.24"/>
  <pageSetup horizontalDpi="600" verticalDpi="600" orientation="landscape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7"/>
  <sheetViews>
    <sheetView showGridLines="0" zoomScalePageLayoutView="0" workbookViewId="0" topLeftCell="A1">
      <pane ySplit="4" topLeftCell="A5" activePane="bottomLeft" state="frozen"/>
      <selection pane="topLeft" activeCell="C8" sqref="C8"/>
      <selection pane="bottomLeft" activeCell="E12" sqref="E12"/>
    </sheetView>
  </sheetViews>
  <sheetFormatPr defaultColWidth="8.875" defaultRowHeight="12.75"/>
  <cols>
    <col min="1" max="1" width="29.75390625" style="71" customWidth="1"/>
    <col min="2" max="2" width="10.875" style="71" customWidth="1"/>
    <col min="3" max="3" width="15.00390625" style="71" customWidth="1"/>
    <col min="4" max="16384" width="8.875" style="71" customWidth="1"/>
  </cols>
  <sheetData>
    <row r="1" ht="12.75">
      <c r="A1" s="61" t="s">
        <v>280</v>
      </c>
    </row>
    <row r="3" spans="1:3" ht="12.75">
      <c r="A3" s="145" t="s">
        <v>282</v>
      </c>
      <c r="C3" s="137"/>
    </row>
    <row r="4" spans="1:3" ht="12.75">
      <c r="A4" s="213" t="s">
        <v>26</v>
      </c>
      <c r="B4" s="220" t="s">
        <v>225</v>
      </c>
      <c r="C4" s="220" t="s">
        <v>7</v>
      </c>
    </row>
    <row r="5" spans="1:3" ht="12.75">
      <c r="A5" s="74" t="s">
        <v>281</v>
      </c>
      <c r="B5" s="219" t="s">
        <v>228</v>
      </c>
      <c r="C5" s="143">
        <f>Исх!C23*Исх!C24</f>
        <v>2400</v>
      </c>
    </row>
    <row r="6" spans="1:3" ht="12.75">
      <c r="A6" s="74" t="s">
        <v>156</v>
      </c>
      <c r="B6" s="219" t="s">
        <v>271</v>
      </c>
      <c r="C6" s="143">
        <f>Исх!C26</f>
        <v>350</v>
      </c>
    </row>
    <row r="7" spans="1:3" ht="12.75">
      <c r="A7" s="151" t="s">
        <v>283</v>
      </c>
      <c r="B7" s="284" t="s">
        <v>57</v>
      </c>
      <c r="C7" s="274">
        <f>C5*C6/1000</f>
        <v>840</v>
      </c>
    </row>
  </sheetData>
  <sheetProtection/>
  <printOptions/>
  <pageMargins left="0.49" right="0.18" top="0.3" bottom="2.11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G1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7" sqref="D17"/>
    </sheetView>
  </sheetViews>
  <sheetFormatPr defaultColWidth="8.875" defaultRowHeight="12.75"/>
  <cols>
    <col min="1" max="1" width="33.75390625" style="71" customWidth="1"/>
    <col min="2" max="2" width="11.00390625" style="71" bestFit="1" customWidth="1"/>
    <col min="3" max="3" width="13.125" style="71" customWidth="1"/>
    <col min="4" max="4" width="15.625" style="71" customWidth="1"/>
    <col min="5" max="5" width="10.25390625" style="71" customWidth="1"/>
    <col min="6" max="6" width="8.375" style="71" customWidth="1"/>
    <col min="7" max="13" width="5.75390625" style="71" customWidth="1"/>
    <col min="14" max="16384" width="8.875" style="71" customWidth="1"/>
  </cols>
  <sheetData>
    <row r="1" spans="1:7" ht="12.75">
      <c r="A1" s="61" t="s">
        <v>224</v>
      </c>
      <c r="B1" s="61"/>
      <c r="G1" s="61"/>
    </row>
    <row r="3" spans="1:5" ht="12.75" customHeight="1">
      <c r="A3" s="327" t="s">
        <v>185</v>
      </c>
      <c r="B3" s="325" t="s">
        <v>225</v>
      </c>
      <c r="C3" s="328" t="s">
        <v>226</v>
      </c>
      <c r="D3" s="326" t="s">
        <v>287</v>
      </c>
      <c r="E3" s="326"/>
    </row>
    <row r="4" spans="1:5" ht="12.75">
      <c r="A4" s="327"/>
      <c r="B4" s="325"/>
      <c r="C4" s="329"/>
      <c r="D4" s="266" t="s">
        <v>284</v>
      </c>
      <c r="E4" s="266" t="s">
        <v>227</v>
      </c>
    </row>
    <row r="5" spans="1:5" ht="12.75">
      <c r="A5" s="74" t="str">
        <f>Исх!A28</f>
        <v>Стиральный порошок</v>
      </c>
      <c r="B5" s="76" t="s">
        <v>228</v>
      </c>
      <c r="C5" s="219">
        <f>Исх!C28</f>
        <v>530</v>
      </c>
      <c r="D5" s="285">
        <v>0.03</v>
      </c>
      <c r="E5" s="143">
        <f>$C5*D5</f>
        <v>15.899999999999999</v>
      </c>
    </row>
    <row r="6" spans="1:6" ht="12.75">
      <c r="A6" s="74" t="str">
        <f>Исх!A29</f>
        <v>Ополаскиватель (кондиционер)</v>
      </c>
      <c r="B6" s="76" t="s">
        <v>230</v>
      </c>
      <c r="C6" s="219">
        <f>Исх!C29</f>
        <v>417</v>
      </c>
      <c r="D6" s="285">
        <f>0.075/5</f>
        <v>0.015</v>
      </c>
      <c r="E6" s="143">
        <f>$C6*D6</f>
        <v>6.255</v>
      </c>
      <c r="F6" s="71" t="s">
        <v>285</v>
      </c>
    </row>
    <row r="7" spans="1:6" ht="12.75">
      <c r="A7" s="74" t="str">
        <f>Исх!A30</f>
        <v>Отбеливатель</v>
      </c>
      <c r="B7" s="76" t="s">
        <v>228</v>
      </c>
      <c r="C7" s="219">
        <f>Исх!C30</f>
        <v>212.06</v>
      </c>
      <c r="D7" s="285">
        <v>0.015</v>
      </c>
      <c r="E7" s="143">
        <f>$C7*D7</f>
        <v>3.1809</v>
      </c>
      <c r="F7" s="71" t="s">
        <v>286</v>
      </c>
    </row>
    <row r="8" spans="1:5" ht="12.75">
      <c r="A8" s="270" t="s">
        <v>0</v>
      </c>
      <c r="B8" s="271"/>
      <c r="C8" s="272"/>
      <c r="D8" s="273"/>
      <c r="E8" s="274">
        <f>SUM(E5:E7)</f>
        <v>25.3359</v>
      </c>
    </row>
    <row r="9" spans="1:5" ht="12.75">
      <c r="A9" s="74" t="s">
        <v>288</v>
      </c>
      <c r="B9" s="76" t="s">
        <v>57</v>
      </c>
      <c r="C9" s="297"/>
      <c r="D9" s="298"/>
      <c r="E9" s="299">
        <f>Пост!C15+Пост!C17+Пост!C20</f>
        <v>376.179275</v>
      </c>
    </row>
    <row r="10" spans="1:5" ht="12.75">
      <c r="A10" s="74" t="s">
        <v>298</v>
      </c>
      <c r="B10" s="76" t="s">
        <v>228</v>
      </c>
      <c r="C10" s="297"/>
      <c r="D10" s="298"/>
      <c r="E10" s="299">
        <f>Дох!C5</f>
        <v>2400</v>
      </c>
    </row>
    <row r="11" spans="1:5" ht="12.75">
      <c r="A11" s="74" t="s">
        <v>299</v>
      </c>
      <c r="B11" s="76" t="s">
        <v>229</v>
      </c>
      <c r="C11" s="297"/>
      <c r="D11" s="298"/>
      <c r="E11" s="299">
        <f>E9*1000/E10</f>
        <v>156.74136458333334</v>
      </c>
    </row>
    <row r="12" spans="1:6" ht="12.75">
      <c r="A12" s="151" t="s">
        <v>300</v>
      </c>
      <c r="B12" s="269" t="s">
        <v>301</v>
      </c>
      <c r="C12" s="297"/>
      <c r="D12" s="298"/>
      <c r="E12" s="299">
        <f>E8+E11</f>
        <v>182.07726458333335</v>
      </c>
      <c r="F12" s="71" t="s">
        <v>313</v>
      </c>
    </row>
    <row r="13" spans="1:5" ht="12.75">
      <c r="A13" s="301" t="s">
        <v>312</v>
      </c>
      <c r="B13" s="302" t="s">
        <v>39</v>
      </c>
      <c r="C13" s="303"/>
      <c r="D13" s="304"/>
      <c r="E13" s="300">
        <f>(Дох!C6-'Расх перем'!E12)/Дох!C6</f>
        <v>0.479779244047619</v>
      </c>
    </row>
  </sheetData>
  <sheetProtection/>
  <mergeCells count="4">
    <mergeCell ref="B3:B4"/>
    <mergeCell ref="D3:E3"/>
    <mergeCell ref="A3:A4"/>
    <mergeCell ref="C3:C4"/>
  </mergeCells>
  <printOptions/>
  <pageMargins left="0.2" right="0.25" top="0.45" bottom="0.38" header="0.2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outlinePr summaryBelow="0"/>
  </sheetPr>
  <dimension ref="A1:AJ7"/>
  <sheetViews>
    <sheetView showGridLines="0" showZeros="0" zoomScalePageLayoutView="0" workbookViewId="0" topLeftCell="A1">
      <pane xSplit="3" ySplit="4" topLeftCell="P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X13" sqref="X13"/>
    </sheetView>
  </sheetViews>
  <sheetFormatPr defaultColWidth="10.125" defaultRowHeight="12.75" outlineLevelCol="1"/>
  <cols>
    <col min="1" max="1" width="31.375" style="225" customWidth="1"/>
    <col min="2" max="2" width="11.375" style="225" customWidth="1"/>
    <col min="3" max="3" width="4.375" style="225" customWidth="1"/>
    <col min="4" max="10" width="6.25390625" style="225" hidden="1" customWidth="1" outlineLevel="1"/>
    <col min="11" max="12" width="9.00390625" style="225" hidden="1" customWidth="1" outlineLevel="1"/>
    <col min="13" max="14" width="8.625" style="225" hidden="1" customWidth="1" outlineLevel="1"/>
    <col min="15" max="15" width="8.875" style="225" hidden="1" customWidth="1" outlineLevel="1"/>
    <col min="16" max="16" width="9.125" style="225" customWidth="1" collapsed="1"/>
    <col min="17" max="28" width="8.375" style="225" hidden="1" customWidth="1" outlineLevel="1"/>
    <col min="29" max="29" width="9.125" style="225" customWidth="1" collapsed="1"/>
    <col min="30" max="35" width="9.125" style="225" customWidth="1"/>
    <col min="36" max="36" width="10.125" style="223" customWidth="1"/>
    <col min="37" max="16384" width="10.125" style="225" customWidth="1"/>
  </cols>
  <sheetData>
    <row r="1" spans="1:36" ht="12.75">
      <c r="A1" s="227" t="s">
        <v>289</v>
      </c>
      <c r="B1" s="224"/>
      <c r="C1" s="224"/>
      <c r="AJ1" s="225"/>
    </row>
    <row r="2" spans="1:36" ht="12.75">
      <c r="A2" s="227"/>
      <c r="B2" s="228" t="s">
        <v>228</v>
      </c>
      <c r="C2" s="226"/>
      <c r="AJ2" s="225"/>
    </row>
    <row r="3" spans="1:36" ht="12.75" customHeight="1">
      <c r="A3" s="330" t="s">
        <v>190</v>
      </c>
      <c r="B3" s="322" t="s">
        <v>86</v>
      </c>
      <c r="C3" s="119"/>
      <c r="D3" s="323">
        <v>2013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>
        <v>2014</v>
      </c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120">
        <v>2015</v>
      </c>
      <c r="AE3" s="120">
        <f>AD3+1</f>
        <v>2016</v>
      </c>
      <c r="AF3" s="120">
        <f>AE3+1</f>
        <v>2017</v>
      </c>
      <c r="AG3" s="120">
        <f>AF3+1</f>
        <v>2018</v>
      </c>
      <c r="AH3" s="120">
        <f>AG3+1</f>
        <v>2019</v>
      </c>
      <c r="AI3" s="120">
        <f>AH3+1</f>
        <v>2020</v>
      </c>
      <c r="AJ3" s="225"/>
    </row>
    <row r="4" spans="1:36" ht="12.75">
      <c r="A4" s="331"/>
      <c r="B4" s="322"/>
      <c r="C4" s="121"/>
      <c r="D4" s="122">
        <f aca="true" t="shared" si="0" ref="D4:L4">C4+1</f>
        <v>1</v>
      </c>
      <c r="E4" s="122">
        <f t="shared" si="0"/>
        <v>2</v>
      </c>
      <c r="F4" s="122">
        <f t="shared" si="0"/>
        <v>3</v>
      </c>
      <c r="G4" s="122">
        <f t="shared" si="0"/>
        <v>4</v>
      </c>
      <c r="H4" s="122">
        <f t="shared" si="0"/>
        <v>5</v>
      </c>
      <c r="I4" s="122">
        <f t="shared" si="0"/>
        <v>6</v>
      </c>
      <c r="J4" s="122">
        <f t="shared" si="0"/>
        <v>7</v>
      </c>
      <c r="K4" s="122">
        <f t="shared" si="0"/>
        <v>8</v>
      </c>
      <c r="L4" s="122">
        <f t="shared" si="0"/>
        <v>9</v>
      </c>
      <c r="M4" s="122">
        <f>L4+1</f>
        <v>10</v>
      </c>
      <c r="N4" s="122">
        <f>M4+1</f>
        <v>11</v>
      </c>
      <c r="O4" s="122">
        <f>N4+1</f>
        <v>12</v>
      </c>
      <c r="P4" s="118" t="s">
        <v>0</v>
      </c>
      <c r="Q4" s="122">
        <v>1</v>
      </c>
      <c r="R4" s="122">
        <f aca="true" t="shared" si="1" ref="R4:AB4">Q4+1</f>
        <v>2</v>
      </c>
      <c r="S4" s="122">
        <f t="shared" si="1"/>
        <v>3</v>
      </c>
      <c r="T4" s="122">
        <f t="shared" si="1"/>
        <v>4</v>
      </c>
      <c r="U4" s="122">
        <f t="shared" si="1"/>
        <v>5</v>
      </c>
      <c r="V4" s="122">
        <f t="shared" si="1"/>
        <v>6</v>
      </c>
      <c r="W4" s="122">
        <f t="shared" si="1"/>
        <v>7</v>
      </c>
      <c r="X4" s="122">
        <f t="shared" si="1"/>
        <v>8</v>
      </c>
      <c r="Y4" s="122">
        <f t="shared" si="1"/>
        <v>9</v>
      </c>
      <c r="Z4" s="122">
        <f t="shared" si="1"/>
        <v>10</v>
      </c>
      <c r="AA4" s="122">
        <f t="shared" si="1"/>
        <v>11</v>
      </c>
      <c r="AB4" s="122">
        <f t="shared" si="1"/>
        <v>12</v>
      </c>
      <c r="AC4" s="118" t="s">
        <v>0</v>
      </c>
      <c r="AD4" s="118"/>
      <c r="AE4" s="118"/>
      <c r="AF4" s="118"/>
      <c r="AG4" s="118"/>
      <c r="AH4" s="118"/>
      <c r="AI4" s="118"/>
      <c r="AJ4" s="225"/>
    </row>
    <row r="5" spans="1:35" s="289" customFormat="1" ht="15" customHeight="1">
      <c r="A5" s="286" t="s">
        <v>290</v>
      </c>
      <c r="B5" s="287"/>
      <c r="C5" s="287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7">
        <f>SUM(D5:O5)</f>
        <v>0</v>
      </c>
      <c r="Q5" s="290">
        <v>0.5</v>
      </c>
      <c r="R5" s="290">
        <v>0.5</v>
      </c>
      <c r="S5" s="290">
        <v>0.55</v>
      </c>
      <c r="T5" s="290">
        <v>0.55</v>
      </c>
      <c r="U5" s="290">
        <v>0.6</v>
      </c>
      <c r="V5" s="290">
        <v>0.6</v>
      </c>
      <c r="W5" s="290">
        <v>0.65</v>
      </c>
      <c r="X5" s="290">
        <v>0.65</v>
      </c>
      <c r="Y5" s="290">
        <v>0.7</v>
      </c>
      <c r="Z5" s="290">
        <v>0.7</v>
      </c>
      <c r="AA5" s="290">
        <v>0.75</v>
      </c>
      <c r="AB5" s="290">
        <v>0.75</v>
      </c>
      <c r="AC5" s="291">
        <f>AVERAGE(Q5:AB5)</f>
        <v>0.6250000000000001</v>
      </c>
      <c r="AD5" s="290">
        <v>0.75</v>
      </c>
      <c r="AE5" s="290">
        <v>0.8</v>
      </c>
      <c r="AF5" s="290">
        <v>0.9</v>
      </c>
      <c r="AG5" s="290">
        <v>1</v>
      </c>
      <c r="AH5" s="292">
        <f>AG5</f>
        <v>1</v>
      </c>
      <c r="AI5" s="292">
        <f>AH5</f>
        <v>1</v>
      </c>
    </row>
    <row r="6" spans="1:36" ht="15" customHeight="1">
      <c r="A6" s="233" t="s">
        <v>281</v>
      </c>
      <c r="B6" s="124">
        <f>P6+AC6+AD6+AE6+AF6+AG6+AH6+AI6</f>
        <v>174960</v>
      </c>
      <c r="C6" s="124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24">
        <f>SUM(D6:O6)</f>
        <v>0</v>
      </c>
      <c r="Q6" s="130">
        <f>Дох!$C$5*Услуги!Q$5</f>
        <v>1200</v>
      </c>
      <c r="R6" s="130">
        <f>Дох!$C$5*Услуги!R$5</f>
        <v>1200</v>
      </c>
      <c r="S6" s="130">
        <f>Дох!$C$5*Услуги!S$5</f>
        <v>1320</v>
      </c>
      <c r="T6" s="130">
        <f>Дох!$C$5*Услуги!T$5</f>
        <v>1320</v>
      </c>
      <c r="U6" s="130">
        <f>Дох!$C$5*Услуги!U$5</f>
        <v>1440</v>
      </c>
      <c r="V6" s="130">
        <f>Дох!$C$5*Услуги!V$5</f>
        <v>1440</v>
      </c>
      <c r="W6" s="130">
        <f>Дох!$C$5*Услуги!W$5</f>
        <v>1560</v>
      </c>
      <c r="X6" s="130">
        <f>Дох!$C$5*Услуги!X$5</f>
        <v>1560</v>
      </c>
      <c r="Y6" s="130">
        <f>Дох!$C$5*Услуги!Y$5</f>
        <v>1680</v>
      </c>
      <c r="Z6" s="130">
        <f>Дох!$C$5*Услуги!Z$5</f>
        <v>1680</v>
      </c>
      <c r="AA6" s="130">
        <f>Дох!$C$5*Услуги!AA$5</f>
        <v>1800</v>
      </c>
      <c r="AB6" s="130">
        <f>Дох!$C$5*Услуги!AB$5</f>
        <v>1800</v>
      </c>
      <c r="AC6" s="124">
        <f>SUM(Q6:AB6)</f>
        <v>18000</v>
      </c>
      <c r="AD6" s="130">
        <f>Дох!$C$5*Услуги!AD$5*12</f>
        <v>21600</v>
      </c>
      <c r="AE6" s="130">
        <f>Дох!$C$5*Услуги!AE$5*12</f>
        <v>23040</v>
      </c>
      <c r="AF6" s="130">
        <f>Дох!$C$5*Услуги!AF$5*12</f>
        <v>25920</v>
      </c>
      <c r="AG6" s="130">
        <f>Дох!$C$5*Услуги!AG$5*12</f>
        <v>28800</v>
      </c>
      <c r="AH6" s="130">
        <f>Дох!$C$5*Услуги!AH$5*12</f>
        <v>28800</v>
      </c>
      <c r="AI6" s="130">
        <f>Дох!$C$5*Услуги!AI$5*12</f>
        <v>28800</v>
      </c>
      <c r="AJ6" s="225"/>
    </row>
    <row r="7" spans="1:36" ht="15" customHeight="1" hidden="1">
      <c r="A7" s="233"/>
      <c r="B7" s="124">
        <f>P7+AC7+AD7+AE7+AF7+AG7+AH7+AI7</f>
        <v>0</v>
      </c>
      <c r="C7" s="124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24">
        <f>SUM(D7:O7)</f>
        <v>0</v>
      </c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24">
        <f>SUM(Q7:AB7)</f>
        <v>0</v>
      </c>
      <c r="AD7" s="130">
        <f aca="true" t="shared" si="2" ref="AD7:AI7">AC7</f>
        <v>0</v>
      </c>
      <c r="AE7" s="130">
        <f t="shared" si="2"/>
        <v>0</v>
      </c>
      <c r="AF7" s="130">
        <f t="shared" si="2"/>
        <v>0</v>
      </c>
      <c r="AG7" s="130">
        <f t="shared" si="2"/>
        <v>0</v>
      </c>
      <c r="AH7" s="130">
        <f t="shared" si="2"/>
        <v>0</v>
      </c>
      <c r="AI7" s="130">
        <f t="shared" si="2"/>
        <v>0</v>
      </c>
      <c r="AJ7" s="225"/>
    </row>
    <row r="8" ht="7.5" customHeight="1"/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M27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D7" sqref="D7"/>
    </sheetView>
  </sheetViews>
  <sheetFormatPr defaultColWidth="9.00390625" defaultRowHeight="12.75"/>
  <cols>
    <col min="1" max="1" width="5.625" style="71" customWidth="1"/>
    <col min="2" max="2" width="33.375" style="71" customWidth="1"/>
    <col min="3" max="3" width="10.00390625" style="71" customWidth="1"/>
    <col min="4" max="4" width="11.625" style="71" customWidth="1"/>
    <col min="5" max="5" width="12.75390625" style="71" customWidth="1"/>
    <col min="6" max="8" width="11.625" style="71" customWidth="1"/>
    <col min="9" max="9" width="11.625" style="71" hidden="1" customWidth="1"/>
    <col min="10" max="10" width="10.125" style="71" customWidth="1"/>
    <col min="11" max="11" width="12.00390625" style="71" customWidth="1"/>
    <col min="12" max="16384" width="9.125" style="71" customWidth="1"/>
  </cols>
  <sheetData>
    <row r="1" ht="5.25" customHeight="1"/>
    <row r="2" spans="1:11" ht="16.5" customHeight="1">
      <c r="A2" s="61" t="s">
        <v>142</v>
      </c>
      <c r="D2" s="160"/>
      <c r="E2" s="160"/>
      <c r="F2" s="160"/>
      <c r="G2" s="160"/>
      <c r="H2" s="160"/>
      <c r="I2" s="160"/>
      <c r="J2" s="160"/>
      <c r="K2" s="212" t="str">
        <f>Исх!C9</f>
        <v>тыс.тг.</v>
      </c>
    </row>
    <row r="3" spans="1:11" ht="8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3" ht="42" customHeight="1">
      <c r="A4" s="259" t="s">
        <v>33</v>
      </c>
      <c r="B4" s="217" t="s">
        <v>34</v>
      </c>
      <c r="C4" s="217" t="s">
        <v>35</v>
      </c>
      <c r="D4" s="147" t="s">
        <v>93</v>
      </c>
      <c r="E4" s="147" t="s">
        <v>94</v>
      </c>
      <c r="F4" s="147" t="s">
        <v>45</v>
      </c>
      <c r="G4" s="147" t="s">
        <v>46</v>
      </c>
      <c r="H4" s="147" t="s">
        <v>47</v>
      </c>
      <c r="I4" s="147" t="s">
        <v>48</v>
      </c>
      <c r="J4" s="147" t="s">
        <v>49</v>
      </c>
      <c r="K4" s="147" t="s">
        <v>42</v>
      </c>
      <c r="M4" s="234">
        <f>'1-Ф3'!B2</f>
        <v>0</v>
      </c>
    </row>
    <row r="5" spans="1:11" s="61" customFormat="1" ht="12.75">
      <c r="A5" s="140"/>
      <c r="B5" s="148" t="s">
        <v>92</v>
      </c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>
      <c r="A6" s="74">
        <v>1</v>
      </c>
      <c r="B6" s="74" t="s">
        <v>231</v>
      </c>
      <c r="C6" s="74">
        <v>1</v>
      </c>
      <c r="D6" s="142">
        <v>19</v>
      </c>
      <c r="E6" s="149">
        <f>C6*D6</f>
        <v>19</v>
      </c>
      <c r="F6" s="149">
        <f>E6*$C$22</f>
        <v>1.9000000000000001</v>
      </c>
      <c r="G6" s="149">
        <f>(E6-$C$26*C6-F6)*$C$24</f>
        <v>-0.15600000000000003</v>
      </c>
      <c r="H6" s="149">
        <f>(E6-F6)*$C$23</f>
        <v>0.8550000000000001</v>
      </c>
      <c r="I6" s="149">
        <f>((E6-F6)*$C$25-H6)*0</f>
        <v>0</v>
      </c>
      <c r="J6" s="149">
        <f>E6-F6-G6</f>
        <v>17.256</v>
      </c>
      <c r="K6" s="150">
        <f>SUM(F6:J6)</f>
        <v>19.855</v>
      </c>
    </row>
    <row r="7" spans="1:11" s="61" customFormat="1" ht="12.75">
      <c r="A7" s="151"/>
      <c r="B7" s="151" t="s">
        <v>0</v>
      </c>
      <c r="C7" s="31">
        <f aca="true" t="shared" si="0" ref="C7:K7">SUM(C6:C6)</f>
        <v>1</v>
      </c>
      <c r="D7" s="31">
        <f t="shared" si="0"/>
        <v>19</v>
      </c>
      <c r="E7" s="31">
        <f t="shared" si="0"/>
        <v>19</v>
      </c>
      <c r="F7" s="31">
        <f t="shared" si="0"/>
        <v>1.9000000000000001</v>
      </c>
      <c r="G7" s="31">
        <f t="shared" si="0"/>
        <v>-0.15600000000000003</v>
      </c>
      <c r="H7" s="31">
        <f t="shared" si="0"/>
        <v>0.8550000000000001</v>
      </c>
      <c r="I7" s="31">
        <f t="shared" si="0"/>
        <v>0</v>
      </c>
      <c r="J7" s="31">
        <f t="shared" si="0"/>
        <v>17.256</v>
      </c>
      <c r="K7" s="31">
        <f t="shared" si="0"/>
        <v>19.855</v>
      </c>
    </row>
    <row r="8" spans="1:11" s="61" customFormat="1" ht="12.75">
      <c r="A8" s="140"/>
      <c r="B8" s="140" t="s">
        <v>97</v>
      </c>
      <c r="C8" s="140"/>
      <c r="D8" s="141"/>
      <c r="E8" s="141"/>
      <c r="F8" s="141"/>
      <c r="G8" s="141"/>
      <c r="H8" s="141"/>
      <c r="I8" s="141"/>
      <c r="J8" s="141"/>
      <c r="K8" s="141"/>
    </row>
    <row r="9" spans="1:11" ht="12.75">
      <c r="A9" s="74">
        <v>1</v>
      </c>
      <c r="B9" s="74" t="s">
        <v>291</v>
      </c>
      <c r="C9" s="74">
        <v>1</v>
      </c>
      <c r="D9" s="142">
        <v>70</v>
      </c>
      <c r="E9" s="149">
        <f>C9*D9</f>
        <v>70</v>
      </c>
      <c r="F9" s="149">
        <f>E9*$C$22</f>
        <v>7</v>
      </c>
      <c r="G9" s="149">
        <f>(E9-$C$26*C9-F9)*$C$24</f>
        <v>4.434</v>
      </c>
      <c r="H9" s="149">
        <f>(E9-F9)*$C$23</f>
        <v>3.1500000000000004</v>
      </c>
      <c r="I9" s="149">
        <f>((E9-F9)*$C$25-H9)*0</f>
        <v>0</v>
      </c>
      <c r="J9" s="149">
        <f>E9-F9-G9</f>
        <v>58.566</v>
      </c>
      <c r="K9" s="150">
        <f>SUM(F9:J9)</f>
        <v>73.15</v>
      </c>
    </row>
    <row r="10" spans="1:11" ht="12.75">
      <c r="A10" s="74">
        <v>2</v>
      </c>
      <c r="B10" s="74" t="s">
        <v>292</v>
      </c>
      <c r="C10" s="74">
        <v>1</v>
      </c>
      <c r="D10" s="142">
        <v>60</v>
      </c>
      <c r="E10" s="149">
        <f>C10*D10</f>
        <v>60</v>
      </c>
      <c r="F10" s="149">
        <f>E10*$C$22</f>
        <v>6</v>
      </c>
      <c r="G10" s="149">
        <f>(E10-$C$26*C10-F10)*$C$24</f>
        <v>3.5340000000000007</v>
      </c>
      <c r="H10" s="149">
        <f>(E10-F10)*$C$23</f>
        <v>2.7</v>
      </c>
      <c r="I10" s="149">
        <f>((E10-F10)*$C$25-H10)*0</f>
        <v>0</v>
      </c>
      <c r="J10" s="149">
        <f>E10-F10-G10</f>
        <v>50.466</v>
      </c>
      <c r="K10" s="150">
        <f>SUM(F10:J10)</f>
        <v>62.7</v>
      </c>
    </row>
    <row r="11" spans="1:11" ht="12.75">
      <c r="A11" s="74">
        <v>3</v>
      </c>
      <c r="B11" s="74" t="s">
        <v>293</v>
      </c>
      <c r="C11" s="74">
        <v>1</v>
      </c>
      <c r="D11" s="142">
        <v>70</v>
      </c>
      <c r="E11" s="149">
        <f>C11*D11</f>
        <v>70</v>
      </c>
      <c r="F11" s="149">
        <f>E11*$C$22</f>
        <v>7</v>
      </c>
      <c r="G11" s="149">
        <f>(E11-$C$26*C11-F11)*$C$24</f>
        <v>4.434</v>
      </c>
      <c r="H11" s="149">
        <f>(E11-F11)*$C$23</f>
        <v>3.1500000000000004</v>
      </c>
      <c r="I11" s="149">
        <f>((E11-F11)*$C$25-H11)*0</f>
        <v>0</v>
      </c>
      <c r="J11" s="149">
        <f>E11-F11-G11</f>
        <v>58.566</v>
      </c>
      <c r="K11" s="150">
        <f>SUM(F11:J11)</f>
        <v>73.15</v>
      </c>
    </row>
    <row r="12" spans="1:11" s="61" customFormat="1" ht="12.75">
      <c r="A12" s="151"/>
      <c r="B12" s="152" t="s">
        <v>0</v>
      </c>
      <c r="C12" s="151">
        <f aca="true" t="shared" si="1" ref="C12:K12">SUM(C8:C11)</f>
        <v>3</v>
      </c>
      <c r="D12" s="150">
        <f t="shared" si="1"/>
        <v>200</v>
      </c>
      <c r="E12" s="150">
        <f t="shared" si="1"/>
        <v>200</v>
      </c>
      <c r="F12" s="150">
        <f t="shared" si="1"/>
        <v>20</v>
      </c>
      <c r="G12" s="150">
        <f t="shared" si="1"/>
        <v>12.402000000000001</v>
      </c>
      <c r="H12" s="150">
        <f t="shared" si="1"/>
        <v>9</v>
      </c>
      <c r="I12" s="150">
        <f t="shared" si="1"/>
        <v>0</v>
      </c>
      <c r="J12" s="150">
        <f t="shared" si="1"/>
        <v>167.598</v>
      </c>
      <c r="K12" s="150">
        <f t="shared" si="1"/>
        <v>209.00000000000003</v>
      </c>
    </row>
    <row r="13" spans="1:11" s="61" customFormat="1" ht="12.75" hidden="1">
      <c r="A13" s="140"/>
      <c r="B13" s="140" t="s">
        <v>98</v>
      </c>
      <c r="C13" s="140"/>
      <c r="D13" s="141"/>
      <c r="E13" s="141"/>
      <c r="F13" s="141"/>
      <c r="G13" s="141"/>
      <c r="H13" s="141"/>
      <c r="I13" s="141"/>
      <c r="J13" s="141"/>
      <c r="K13" s="141"/>
    </row>
    <row r="14" spans="1:11" ht="12.75" hidden="1">
      <c r="A14" s="74"/>
      <c r="B14" s="74"/>
      <c r="C14" s="149"/>
      <c r="D14" s="142"/>
      <c r="E14" s="149">
        <f>C14*D14</f>
        <v>0</v>
      </c>
      <c r="F14" s="149">
        <f>E14*$C$22</f>
        <v>0</v>
      </c>
      <c r="G14" s="149">
        <f>(E14-$C$26*C14-F14)*$C$24</f>
        <v>0</v>
      </c>
      <c r="H14" s="149">
        <f>(E14-F14)*$C$23</f>
        <v>0</v>
      </c>
      <c r="I14" s="149">
        <f>((E14-F14)*$C$25-H14)*0</f>
        <v>0</v>
      </c>
      <c r="J14" s="149">
        <f>E14-F14-G14</f>
        <v>0</v>
      </c>
      <c r="K14" s="150">
        <f>SUM(F14:J14)</f>
        <v>0</v>
      </c>
    </row>
    <row r="15" spans="1:11" s="61" customFormat="1" ht="12.75" hidden="1">
      <c r="A15" s="151"/>
      <c r="B15" s="152" t="s">
        <v>0</v>
      </c>
      <c r="C15" s="151">
        <f aca="true" t="shared" si="2" ref="C15:K15">SUM(C14:C14)</f>
        <v>0</v>
      </c>
      <c r="D15" s="150">
        <f t="shared" si="2"/>
        <v>0</v>
      </c>
      <c r="E15" s="150">
        <f t="shared" si="2"/>
        <v>0</v>
      </c>
      <c r="F15" s="150">
        <f t="shared" si="2"/>
        <v>0</v>
      </c>
      <c r="G15" s="150">
        <f t="shared" si="2"/>
        <v>0</v>
      </c>
      <c r="H15" s="150">
        <f t="shared" si="2"/>
        <v>0</v>
      </c>
      <c r="I15" s="150">
        <f t="shared" si="2"/>
        <v>0</v>
      </c>
      <c r="J15" s="150">
        <f t="shared" si="2"/>
        <v>0</v>
      </c>
      <c r="K15" s="150">
        <f t="shared" si="2"/>
        <v>0</v>
      </c>
    </row>
    <row r="16" spans="1:11" s="61" customFormat="1" ht="12.75" hidden="1">
      <c r="A16" s="140"/>
      <c r="B16" s="140" t="s">
        <v>105</v>
      </c>
      <c r="C16" s="140"/>
      <c r="D16" s="141"/>
      <c r="E16" s="141"/>
      <c r="F16" s="141"/>
      <c r="G16" s="141"/>
      <c r="H16" s="141"/>
      <c r="I16" s="141"/>
      <c r="J16" s="141"/>
      <c r="K16" s="141"/>
    </row>
    <row r="17" spans="1:11" ht="12.75" hidden="1">
      <c r="A17" s="74"/>
      <c r="B17" s="74"/>
      <c r="C17" s="149"/>
      <c r="D17" s="142"/>
      <c r="E17" s="149">
        <f>C17*D17</f>
        <v>0</v>
      </c>
      <c r="F17" s="149">
        <f>E17*$C$22</f>
        <v>0</v>
      </c>
      <c r="G17" s="149">
        <f>(E17-$C$26*C17-F17)*$C$24</f>
        <v>0</v>
      </c>
      <c r="H17" s="149">
        <f>(E17-F17)*$C$23</f>
        <v>0</v>
      </c>
      <c r="I17" s="149">
        <f>((E17-F17)*$C$25-H17)*0</f>
        <v>0</v>
      </c>
      <c r="J17" s="149">
        <f>E17-F17-G17</f>
        <v>0</v>
      </c>
      <c r="K17" s="150">
        <f>SUM(F17:J17)</f>
        <v>0</v>
      </c>
    </row>
    <row r="18" spans="1:11" s="61" customFormat="1" ht="12.75" hidden="1">
      <c r="A18" s="151"/>
      <c r="B18" s="152" t="s">
        <v>0</v>
      </c>
      <c r="C18" s="151">
        <f aca="true" t="shared" si="3" ref="C18:K18">SUM(C17:C17)</f>
        <v>0</v>
      </c>
      <c r="D18" s="150">
        <f t="shared" si="3"/>
        <v>0</v>
      </c>
      <c r="E18" s="150">
        <f t="shared" si="3"/>
        <v>0</v>
      </c>
      <c r="F18" s="150">
        <f t="shared" si="3"/>
        <v>0</v>
      </c>
      <c r="G18" s="150">
        <f t="shared" si="3"/>
        <v>0</v>
      </c>
      <c r="H18" s="150">
        <f t="shared" si="3"/>
        <v>0</v>
      </c>
      <c r="I18" s="150">
        <f t="shared" si="3"/>
        <v>0</v>
      </c>
      <c r="J18" s="150">
        <f t="shared" si="3"/>
        <v>0</v>
      </c>
      <c r="K18" s="150">
        <f t="shared" si="3"/>
        <v>0</v>
      </c>
    </row>
    <row r="19" spans="1:11" ht="12.75" hidden="1">
      <c r="A19" s="74"/>
      <c r="B19" s="74"/>
      <c r="C19" s="74"/>
      <c r="D19" s="149"/>
      <c r="E19" s="149"/>
      <c r="F19" s="149"/>
      <c r="G19" s="149"/>
      <c r="H19" s="149"/>
      <c r="I19" s="149"/>
      <c r="J19" s="149"/>
      <c r="K19" s="149"/>
    </row>
    <row r="20" spans="1:11" s="61" customFormat="1" ht="12.75">
      <c r="A20" s="151"/>
      <c r="B20" s="151" t="s">
        <v>106</v>
      </c>
      <c r="C20" s="150">
        <f aca="true" t="shared" si="4" ref="C20:K20">C7+C12+C15+C18</f>
        <v>4</v>
      </c>
      <c r="D20" s="150">
        <f t="shared" si="4"/>
        <v>219</v>
      </c>
      <c r="E20" s="150">
        <f t="shared" si="4"/>
        <v>219</v>
      </c>
      <c r="F20" s="150">
        <f t="shared" si="4"/>
        <v>21.9</v>
      </c>
      <c r="G20" s="150">
        <f t="shared" si="4"/>
        <v>12.246</v>
      </c>
      <c r="H20" s="150">
        <f t="shared" si="4"/>
        <v>9.855</v>
      </c>
      <c r="I20" s="150">
        <f t="shared" si="4"/>
        <v>0</v>
      </c>
      <c r="J20" s="150">
        <f t="shared" si="4"/>
        <v>184.854</v>
      </c>
      <c r="K20" s="153">
        <f t="shared" si="4"/>
        <v>228.85500000000002</v>
      </c>
    </row>
    <row r="22" spans="2:10" ht="12.75">
      <c r="B22" s="74" t="s">
        <v>45</v>
      </c>
      <c r="C22" s="154">
        <f>Исх!C11</f>
        <v>0.1</v>
      </c>
      <c r="D22" s="155"/>
      <c r="E22" s="155"/>
      <c r="F22" s="155"/>
      <c r="G22" s="332"/>
      <c r="H22" s="332"/>
      <c r="I22" s="332"/>
      <c r="J22" s="332"/>
    </row>
    <row r="23" spans="2:10" ht="12.75">
      <c r="B23" s="74" t="s">
        <v>50</v>
      </c>
      <c r="C23" s="154">
        <f>Исх!C12</f>
        <v>0.05</v>
      </c>
      <c r="D23" s="155"/>
      <c r="E23" s="155"/>
      <c r="F23" s="155"/>
      <c r="G23" s="155"/>
      <c r="H23" s="155"/>
      <c r="I23" s="156"/>
      <c r="J23" s="157"/>
    </row>
    <row r="24" spans="2:10" ht="12.75">
      <c r="B24" s="74" t="s">
        <v>46</v>
      </c>
      <c r="C24" s="154">
        <f>Исх!C13</f>
        <v>0.1</v>
      </c>
      <c r="D24" s="155"/>
      <c r="E24" s="155"/>
      <c r="F24" s="155"/>
      <c r="G24" s="155"/>
      <c r="H24" s="155"/>
      <c r="I24" s="156"/>
      <c r="J24" s="157"/>
    </row>
    <row r="25" spans="2:10" ht="12.75">
      <c r="B25" s="74" t="s">
        <v>48</v>
      </c>
      <c r="C25" s="154">
        <f>Исх!C14</f>
        <v>0</v>
      </c>
      <c r="D25" s="158"/>
      <c r="E25" s="158"/>
      <c r="F25" s="155"/>
      <c r="G25" s="155"/>
      <c r="H25" s="155"/>
      <c r="I25" s="156"/>
      <c r="J25" s="157"/>
    </row>
    <row r="26" spans="2:3" ht="12.75">
      <c r="B26" s="74" t="s">
        <v>111</v>
      </c>
      <c r="C26" s="159">
        <f>Исх!C15</f>
        <v>18.66</v>
      </c>
    </row>
    <row r="27" spans="7:10" ht="12.75">
      <c r="G27" s="155"/>
      <c r="H27" s="155"/>
      <c r="I27" s="156"/>
      <c r="J27" s="157"/>
    </row>
  </sheetData>
  <sheetProtection/>
  <mergeCells count="1">
    <mergeCell ref="G22:J22"/>
  </mergeCells>
  <printOptions/>
  <pageMargins left="0.4" right="0.2755905511811024" top="0.35433070866141736" bottom="0.35433070866141736" header="0.236220472440944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V49"/>
  <sheetViews>
    <sheetView showGridLines="0" zoomScalePageLayoutView="0" workbookViewId="0" topLeftCell="A1">
      <pane ySplit="5" topLeftCell="A6" activePane="bottomLeft" state="frozen"/>
      <selection pane="topLeft" activeCell="A34" sqref="A34"/>
      <selection pane="bottomLeft" activeCell="C13" sqref="C13"/>
    </sheetView>
  </sheetViews>
  <sheetFormatPr defaultColWidth="8.875" defaultRowHeight="12.75" outlineLevelRow="1"/>
  <cols>
    <col min="1" max="1" width="34.375" style="71" customWidth="1"/>
    <col min="2" max="2" width="11.25390625" style="71" customWidth="1"/>
    <col min="3" max="10" width="8.25390625" style="71" customWidth="1"/>
    <col min="11" max="11" width="24.875" style="71" customWidth="1"/>
    <col min="12" max="12" width="8.875" style="71" customWidth="1"/>
    <col min="13" max="13" width="34.25390625" style="71" customWidth="1"/>
    <col min="14" max="14" width="8.25390625" style="71" customWidth="1"/>
    <col min="15" max="16384" width="8.875" style="71" customWidth="1"/>
  </cols>
  <sheetData>
    <row r="1" spans="1:13" ht="12.75">
      <c r="A1" s="61" t="s">
        <v>146</v>
      </c>
      <c r="M1" s="61" t="s">
        <v>232</v>
      </c>
    </row>
    <row r="2" ht="12.75">
      <c r="A2" s="61"/>
    </row>
    <row r="3" spans="1:13" ht="12.75" hidden="1">
      <c r="A3" s="61"/>
      <c r="B3" s="61"/>
      <c r="C3" s="279" t="s">
        <v>238</v>
      </c>
      <c r="D3" s="280">
        <v>0</v>
      </c>
      <c r="E3" s="61"/>
      <c r="F3" s="61"/>
      <c r="G3" s="61"/>
      <c r="H3" s="61"/>
      <c r="I3" s="61"/>
      <c r="J3" s="61"/>
      <c r="K3" s="61"/>
      <c r="L3" s="61"/>
      <c r="M3" s="61"/>
    </row>
    <row r="4" spans="3:22" ht="12.75">
      <c r="C4" s="137"/>
      <c r="D4" s="137"/>
      <c r="E4" s="137"/>
      <c r="F4" s="137"/>
      <c r="G4" s="137"/>
      <c r="H4" s="137"/>
      <c r="J4" s="144" t="str">
        <f>Исх!C9</f>
        <v>тыс.тг.</v>
      </c>
      <c r="V4" s="144" t="str">
        <f>Исх!C9</f>
        <v>тыс.тг.</v>
      </c>
    </row>
    <row r="5" spans="1:22" ht="25.5">
      <c r="A5" s="268" t="s">
        <v>41</v>
      </c>
      <c r="B5" s="266" t="s">
        <v>235</v>
      </c>
      <c r="C5" s="261">
        <v>2013</v>
      </c>
      <c r="D5" s="261">
        <f aca="true" t="shared" si="0" ref="D5:J5">C5+1</f>
        <v>2014</v>
      </c>
      <c r="E5" s="261">
        <f t="shared" si="0"/>
        <v>2015</v>
      </c>
      <c r="F5" s="261">
        <f t="shared" si="0"/>
        <v>2016</v>
      </c>
      <c r="G5" s="261">
        <f t="shared" si="0"/>
        <v>2017</v>
      </c>
      <c r="H5" s="261">
        <f t="shared" si="0"/>
        <v>2018</v>
      </c>
      <c r="I5" s="261">
        <f t="shared" si="0"/>
        <v>2019</v>
      </c>
      <c r="J5" s="261">
        <f t="shared" si="0"/>
        <v>2020</v>
      </c>
      <c r="K5" s="261" t="s">
        <v>236</v>
      </c>
      <c r="L5" s="278"/>
      <c r="M5" s="268" t="s">
        <v>41</v>
      </c>
      <c r="N5" s="261"/>
      <c r="O5" s="261">
        <v>2013</v>
      </c>
      <c r="P5" s="261">
        <f aca="true" t="shared" si="1" ref="P5:V5">O5+1</f>
        <v>2014</v>
      </c>
      <c r="Q5" s="261">
        <f t="shared" si="1"/>
        <v>2015</v>
      </c>
      <c r="R5" s="261">
        <f t="shared" si="1"/>
        <v>2016</v>
      </c>
      <c r="S5" s="261">
        <f t="shared" si="1"/>
        <v>2017</v>
      </c>
      <c r="T5" s="261">
        <f t="shared" si="1"/>
        <v>2018</v>
      </c>
      <c r="U5" s="261">
        <f t="shared" si="1"/>
        <v>2019</v>
      </c>
      <c r="V5" s="261">
        <f t="shared" si="1"/>
        <v>2020</v>
      </c>
    </row>
    <row r="6" spans="1:22" ht="12.75">
      <c r="A6" s="74" t="s">
        <v>42</v>
      </c>
      <c r="B6" s="143"/>
      <c r="C6" s="149">
        <f>ФОТ!K20</f>
        <v>228.85500000000002</v>
      </c>
      <c r="D6" s="149">
        <f aca="true" t="shared" si="2" ref="D6:J6">C6</f>
        <v>228.85500000000002</v>
      </c>
      <c r="E6" s="149">
        <f t="shared" si="2"/>
        <v>228.85500000000002</v>
      </c>
      <c r="F6" s="149">
        <f t="shared" si="2"/>
        <v>228.85500000000002</v>
      </c>
      <c r="G6" s="149">
        <f t="shared" si="2"/>
        <v>228.85500000000002</v>
      </c>
      <c r="H6" s="149">
        <f t="shared" si="2"/>
        <v>228.85500000000002</v>
      </c>
      <c r="I6" s="149">
        <f t="shared" si="2"/>
        <v>228.85500000000002</v>
      </c>
      <c r="J6" s="149">
        <f t="shared" si="2"/>
        <v>228.85500000000002</v>
      </c>
      <c r="K6" s="149"/>
      <c r="M6" s="74" t="s">
        <v>42</v>
      </c>
      <c r="N6" s="143"/>
      <c r="O6" s="149">
        <f aca="true" t="shared" si="3" ref="O6:V14">C6*9</f>
        <v>2059.695</v>
      </c>
      <c r="P6" s="149">
        <f t="shared" si="3"/>
        <v>2059.695</v>
      </c>
      <c r="Q6" s="149">
        <f t="shared" si="3"/>
        <v>2059.695</v>
      </c>
      <c r="R6" s="149">
        <f t="shared" si="3"/>
        <v>2059.695</v>
      </c>
      <c r="S6" s="149">
        <f t="shared" si="3"/>
        <v>2059.695</v>
      </c>
      <c r="T6" s="149">
        <f t="shared" si="3"/>
        <v>2059.695</v>
      </c>
      <c r="U6" s="149">
        <f t="shared" si="3"/>
        <v>2059.695</v>
      </c>
      <c r="V6" s="149">
        <f t="shared" si="3"/>
        <v>2059.695</v>
      </c>
    </row>
    <row r="7" spans="1:22" ht="12.75">
      <c r="A7" s="161" t="s">
        <v>294</v>
      </c>
      <c r="B7" s="44">
        <v>30</v>
      </c>
      <c r="C7" s="142">
        <f>B7*1800/1000</f>
        <v>54</v>
      </c>
      <c r="D7" s="149">
        <f aca="true" t="shared" si="4" ref="D7:J8">C7+C7*$D$3</f>
        <v>54</v>
      </c>
      <c r="E7" s="149">
        <f t="shared" si="4"/>
        <v>54</v>
      </c>
      <c r="F7" s="149">
        <f t="shared" si="4"/>
        <v>54</v>
      </c>
      <c r="G7" s="149">
        <f t="shared" si="4"/>
        <v>54</v>
      </c>
      <c r="H7" s="149">
        <f t="shared" si="4"/>
        <v>54</v>
      </c>
      <c r="I7" s="149">
        <f t="shared" si="4"/>
        <v>54</v>
      </c>
      <c r="J7" s="149">
        <f t="shared" si="4"/>
        <v>54</v>
      </c>
      <c r="K7" s="149" t="s">
        <v>303</v>
      </c>
      <c r="M7" s="161" t="s">
        <v>204</v>
      </c>
      <c r="N7" s="219"/>
      <c r="O7" s="149">
        <f aca="true" t="shared" si="5" ref="O7:V8">C7*9</f>
        <v>486</v>
      </c>
      <c r="P7" s="149">
        <f t="shared" si="5"/>
        <v>486</v>
      </c>
      <c r="Q7" s="149">
        <f t="shared" si="5"/>
        <v>486</v>
      </c>
      <c r="R7" s="149">
        <f t="shared" si="5"/>
        <v>486</v>
      </c>
      <c r="S7" s="149">
        <f t="shared" si="5"/>
        <v>486</v>
      </c>
      <c r="T7" s="149">
        <f t="shared" si="5"/>
        <v>486</v>
      </c>
      <c r="U7" s="149">
        <f t="shared" si="5"/>
        <v>486</v>
      </c>
      <c r="V7" s="149">
        <f t="shared" si="5"/>
        <v>486</v>
      </c>
    </row>
    <row r="8" spans="1:22" ht="14.25" customHeight="1">
      <c r="A8" s="161" t="s">
        <v>302</v>
      </c>
      <c r="B8" s="219"/>
      <c r="C8" s="142">
        <v>28</v>
      </c>
      <c r="D8" s="149">
        <f t="shared" si="4"/>
        <v>28</v>
      </c>
      <c r="E8" s="149">
        <f t="shared" si="4"/>
        <v>28</v>
      </c>
      <c r="F8" s="149">
        <f t="shared" si="4"/>
        <v>28</v>
      </c>
      <c r="G8" s="149">
        <f t="shared" si="4"/>
        <v>28</v>
      </c>
      <c r="H8" s="149">
        <f t="shared" si="4"/>
        <v>28</v>
      </c>
      <c r="I8" s="149">
        <f t="shared" si="4"/>
        <v>28</v>
      </c>
      <c r="J8" s="149">
        <f t="shared" si="4"/>
        <v>28</v>
      </c>
      <c r="K8" s="149" t="s">
        <v>295</v>
      </c>
      <c r="M8" s="161" t="s">
        <v>204</v>
      </c>
      <c r="N8" s="219"/>
      <c r="O8" s="149">
        <f t="shared" si="5"/>
        <v>252</v>
      </c>
      <c r="P8" s="149">
        <f t="shared" si="5"/>
        <v>252</v>
      </c>
      <c r="Q8" s="149">
        <f t="shared" si="5"/>
        <v>252</v>
      </c>
      <c r="R8" s="149">
        <f t="shared" si="5"/>
        <v>252</v>
      </c>
      <c r="S8" s="149">
        <f t="shared" si="5"/>
        <v>252</v>
      </c>
      <c r="T8" s="149">
        <f t="shared" si="5"/>
        <v>252</v>
      </c>
      <c r="U8" s="149">
        <f t="shared" si="5"/>
        <v>252</v>
      </c>
      <c r="V8" s="149">
        <f t="shared" si="5"/>
        <v>252</v>
      </c>
    </row>
    <row r="9" spans="1:22" ht="12.75">
      <c r="A9" s="161" t="s">
        <v>234</v>
      </c>
      <c r="B9" s="219"/>
      <c r="C9" s="142">
        <v>5</v>
      </c>
      <c r="D9" s="149">
        <f>C9+C9*$D$3</f>
        <v>5</v>
      </c>
      <c r="E9" s="149">
        <f aca="true" t="shared" si="6" ref="E9:J9">D9+D9*$D$3</f>
        <v>5</v>
      </c>
      <c r="F9" s="149">
        <f t="shared" si="6"/>
        <v>5</v>
      </c>
      <c r="G9" s="149">
        <f t="shared" si="6"/>
        <v>5</v>
      </c>
      <c r="H9" s="149">
        <f t="shared" si="6"/>
        <v>5</v>
      </c>
      <c r="I9" s="149">
        <f t="shared" si="6"/>
        <v>5</v>
      </c>
      <c r="J9" s="149">
        <f t="shared" si="6"/>
        <v>5</v>
      </c>
      <c r="K9" s="149"/>
      <c r="M9" s="161" t="s">
        <v>204</v>
      </c>
      <c r="N9" s="219"/>
      <c r="O9" s="149">
        <f t="shared" si="3"/>
        <v>45</v>
      </c>
      <c r="P9" s="149">
        <f t="shared" si="3"/>
        <v>45</v>
      </c>
      <c r="Q9" s="149">
        <f t="shared" si="3"/>
        <v>45</v>
      </c>
      <c r="R9" s="149">
        <f t="shared" si="3"/>
        <v>45</v>
      </c>
      <c r="S9" s="149">
        <f t="shared" si="3"/>
        <v>45</v>
      </c>
      <c r="T9" s="149">
        <f t="shared" si="3"/>
        <v>45</v>
      </c>
      <c r="U9" s="149">
        <f t="shared" si="3"/>
        <v>45</v>
      </c>
      <c r="V9" s="149">
        <f t="shared" si="3"/>
        <v>45</v>
      </c>
    </row>
    <row r="10" spans="1:22" ht="12.75">
      <c r="A10" s="161" t="s">
        <v>233</v>
      </c>
      <c r="B10" s="143"/>
      <c r="C10" s="142">
        <f>4.5+1</f>
        <v>5.5</v>
      </c>
      <c r="D10" s="149">
        <f aca="true" t="shared" si="7" ref="D10:J14">C10+C10*$D$3</f>
        <v>5.5</v>
      </c>
      <c r="E10" s="149">
        <f t="shared" si="7"/>
        <v>5.5</v>
      </c>
      <c r="F10" s="149">
        <f t="shared" si="7"/>
        <v>5.5</v>
      </c>
      <c r="G10" s="149">
        <f t="shared" si="7"/>
        <v>5.5</v>
      </c>
      <c r="H10" s="149">
        <f t="shared" si="7"/>
        <v>5.5</v>
      </c>
      <c r="I10" s="149">
        <f t="shared" si="7"/>
        <v>5.5</v>
      </c>
      <c r="J10" s="149">
        <f t="shared" si="7"/>
        <v>5.5</v>
      </c>
      <c r="K10" s="149"/>
      <c r="M10" s="161" t="s">
        <v>107</v>
      </c>
      <c r="N10" s="143"/>
      <c r="O10" s="149">
        <f t="shared" si="3"/>
        <v>49.5</v>
      </c>
      <c r="P10" s="149">
        <f t="shared" si="3"/>
        <v>49.5</v>
      </c>
      <c r="Q10" s="149">
        <f t="shared" si="3"/>
        <v>49.5</v>
      </c>
      <c r="R10" s="149">
        <f t="shared" si="3"/>
        <v>49.5</v>
      </c>
      <c r="S10" s="149">
        <f t="shared" si="3"/>
        <v>49.5</v>
      </c>
      <c r="T10" s="149">
        <f t="shared" si="3"/>
        <v>49.5</v>
      </c>
      <c r="U10" s="149">
        <f t="shared" si="3"/>
        <v>49.5</v>
      </c>
      <c r="V10" s="149">
        <f t="shared" si="3"/>
        <v>49.5</v>
      </c>
    </row>
    <row r="11" spans="1:22" ht="12.75">
      <c r="A11" s="74" t="s">
        <v>222</v>
      </c>
      <c r="B11" s="143">
        <f>Исх!$C$32*Исх!$C$22*Исх!$C$24*0.8</f>
        <v>2400</v>
      </c>
      <c r="C11" s="142">
        <f>B11*Исх!$C$27/1000</f>
        <v>43.68</v>
      </c>
      <c r="D11" s="149">
        <f aca="true" t="shared" si="8" ref="D11:J11">C11+C11*$D$3</f>
        <v>43.68</v>
      </c>
      <c r="E11" s="149">
        <f t="shared" si="8"/>
        <v>43.68</v>
      </c>
      <c r="F11" s="149">
        <f t="shared" si="8"/>
        <v>43.68</v>
      </c>
      <c r="G11" s="149">
        <f t="shared" si="8"/>
        <v>43.68</v>
      </c>
      <c r="H11" s="149">
        <f t="shared" si="8"/>
        <v>43.68</v>
      </c>
      <c r="I11" s="149">
        <f t="shared" si="8"/>
        <v>43.68</v>
      </c>
      <c r="J11" s="149">
        <f t="shared" si="8"/>
        <v>43.68</v>
      </c>
      <c r="K11" s="149" t="s">
        <v>305</v>
      </c>
      <c r="M11" s="74" t="s">
        <v>43</v>
      </c>
      <c r="N11" s="143"/>
      <c r="O11" s="149">
        <f t="shared" si="3"/>
        <v>393.12</v>
      </c>
      <c r="P11" s="149">
        <f t="shared" si="3"/>
        <v>393.12</v>
      </c>
      <c r="Q11" s="149">
        <f t="shared" si="3"/>
        <v>393.12</v>
      </c>
      <c r="R11" s="149">
        <f t="shared" si="3"/>
        <v>393.12</v>
      </c>
      <c r="S11" s="149">
        <f t="shared" si="3"/>
        <v>393.12</v>
      </c>
      <c r="T11" s="149">
        <f t="shared" si="3"/>
        <v>393.12</v>
      </c>
      <c r="U11" s="149">
        <f t="shared" si="3"/>
        <v>393.12</v>
      </c>
      <c r="V11" s="149">
        <f t="shared" si="3"/>
        <v>393.12</v>
      </c>
    </row>
    <row r="12" spans="1:22" ht="12.75">
      <c r="A12" s="74" t="s">
        <v>43</v>
      </c>
      <c r="B12" s="143"/>
      <c r="C12" s="142">
        <v>2.5</v>
      </c>
      <c r="D12" s="149">
        <f t="shared" si="7"/>
        <v>2.5</v>
      </c>
      <c r="E12" s="149">
        <f t="shared" si="7"/>
        <v>2.5</v>
      </c>
      <c r="F12" s="149">
        <f t="shared" si="7"/>
        <v>2.5</v>
      </c>
      <c r="G12" s="149">
        <f t="shared" si="7"/>
        <v>2.5</v>
      </c>
      <c r="H12" s="149">
        <f t="shared" si="7"/>
        <v>2.5</v>
      </c>
      <c r="I12" s="149">
        <f t="shared" si="7"/>
        <v>2.5</v>
      </c>
      <c r="J12" s="149">
        <f t="shared" si="7"/>
        <v>2.5</v>
      </c>
      <c r="K12" s="149"/>
      <c r="M12" s="74" t="s">
        <v>43</v>
      </c>
      <c r="N12" s="143"/>
      <c r="O12" s="149">
        <f t="shared" si="3"/>
        <v>22.5</v>
      </c>
      <c r="P12" s="149">
        <f t="shared" si="3"/>
        <v>22.5</v>
      </c>
      <c r="Q12" s="149">
        <f t="shared" si="3"/>
        <v>22.5</v>
      </c>
      <c r="R12" s="149">
        <f t="shared" si="3"/>
        <v>22.5</v>
      </c>
      <c r="S12" s="149">
        <f t="shared" si="3"/>
        <v>22.5</v>
      </c>
      <c r="T12" s="149">
        <f t="shared" si="3"/>
        <v>22.5</v>
      </c>
      <c r="U12" s="149">
        <f t="shared" si="3"/>
        <v>22.5</v>
      </c>
      <c r="V12" s="149">
        <f t="shared" si="3"/>
        <v>22.5</v>
      </c>
    </row>
    <row r="13" spans="1:22" ht="12.75">
      <c r="A13" s="74" t="s">
        <v>99</v>
      </c>
      <c r="B13" s="143"/>
      <c r="C13" s="142">
        <v>2</v>
      </c>
      <c r="D13" s="149">
        <f aca="true" t="shared" si="9" ref="D13:J13">C13+C13*$D$3</f>
        <v>2</v>
      </c>
      <c r="E13" s="149">
        <f t="shared" si="9"/>
        <v>2</v>
      </c>
      <c r="F13" s="149">
        <f t="shared" si="9"/>
        <v>2</v>
      </c>
      <c r="G13" s="149">
        <f t="shared" si="9"/>
        <v>2</v>
      </c>
      <c r="H13" s="149">
        <f t="shared" si="9"/>
        <v>2</v>
      </c>
      <c r="I13" s="149">
        <f t="shared" si="9"/>
        <v>2</v>
      </c>
      <c r="J13" s="149">
        <f t="shared" si="9"/>
        <v>2</v>
      </c>
      <c r="K13" s="149"/>
      <c r="M13" s="74" t="s">
        <v>99</v>
      </c>
      <c r="N13" s="143"/>
      <c r="O13" s="149">
        <f aca="true" t="shared" si="10" ref="O13:V13">C13*9</f>
        <v>18</v>
      </c>
      <c r="P13" s="149">
        <f t="shared" si="10"/>
        <v>18</v>
      </c>
      <c r="Q13" s="149">
        <f t="shared" si="10"/>
        <v>18</v>
      </c>
      <c r="R13" s="149">
        <f t="shared" si="10"/>
        <v>18</v>
      </c>
      <c r="S13" s="149">
        <f t="shared" si="10"/>
        <v>18</v>
      </c>
      <c r="T13" s="149">
        <f t="shared" si="10"/>
        <v>18</v>
      </c>
      <c r="U13" s="149">
        <f t="shared" si="10"/>
        <v>18</v>
      </c>
      <c r="V13" s="149">
        <f t="shared" si="10"/>
        <v>18</v>
      </c>
    </row>
    <row r="14" spans="1:22" ht="12.75">
      <c r="A14" s="74" t="s">
        <v>44</v>
      </c>
      <c r="B14" s="149"/>
      <c r="C14" s="142">
        <v>4.5</v>
      </c>
      <c r="D14" s="149">
        <f t="shared" si="7"/>
        <v>4.5</v>
      </c>
      <c r="E14" s="149">
        <f t="shared" si="7"/>
        <v>4.5</v>
      </c>
      <c r="F14" s="149">
        <f t="shared" si="7"/>
        <v>4.5</v>
      </c>
      <c r="G14" s="149">
        <f t="shared" si="7"/>
        <v>4.5</v>
      </c>
      <c r="H14" s="149">
        <f t="shared" si="7"/>
        <v>4.5</v>
      </c>
      <c r="I14" s="149">
        <f t="shared" si="7"/>
        <v>4.5</v>
      </c>
      <c r="J14" s="149">
        <f t="shared" si="7"/>
        <v>4.5</v>
      </c>
      <c r="K14" s="149"/>
      <c r="M14" s="74" t="s">
        <v>44</v>
      </c>
      <c r="N14" s="149"/>
      <c r="O14" s="149">
        <f t="shared" si="3"/>
        <v>40.5</v>
      </c>
      <c r="P14" s="149">
        <f t="shared" si="3"/>
        <v>40.5</v>
      </c>
      <c r="Q14" s="149">
        <f t="shared" si="3"/>
        <v>40.5</v>
      </c>
      <c r="R14" s="149">
        <f t="shared" si="3"/>
        <v>40.5</v>
      </c>
      <c r="S14" s="149">
        <f t="shared" si="3"/>
        <v>40.5</v>
      </c>
      <c r="T14" s="149">
        <f t="shared" si="3"/>
        <v>40.5</v>
      </c>
      <c r="U14" s="149">
        <f t="shared" si="3"/>
        <v>40.5</v>
      </c>
      <c r="V14" s="149">
        <f t="shared" si="3"/>
        <v>40.5</v>
      </c>
    </row>
    <row r="15" spans="1:22" ht="12.75">
      <c r="A15" s="213" t="s">
        <v>0</v>
      </c>
      <c r="B15" s="214"/>
      <c r="C15" s="214">
        <f aca="true" t="shared" si="11" ref="C15:J15">SUM(C6:C14)</f>
        <v>374.035</v>
      </c>
      <c r="D15" s="214">
        <f t="shared" si="11"/>
        <v>374.035</v>
      </c>
      <c r="E15" s="214">
        <f t="shared" si="11"/>
        <v>374.035</v>
      </c>
      <c r="F15" s="214">
        <f t="shared" si="11"/>
        <v>374.035</v>
      </c>
      <c r="G15" s="214">
        <f t="shared" si="11"/>
        <v>374.035</v>
      </c>
      <c r="H15" s="214">
        <f t="shared" si="11"/>
        <v>374.035</v>
      </c>
      <c r="I15" s="214">
        <f t="shared" si="11"/>
        <v>374.035</v>
      </c>
      <c r="J15" s="214">
        <f t="shared" si="11"/>
        <v>374.035</v>
      </c>
      <c r="K15" s="214"/>
      <c r="M15" s="213" t="s">
        <v>0</v>
      </c>
      <c r="N15" s="214"/>
      <c r="O15" s="214">
        <f aca="true" t="shared" si="12" ref="O15:V15">SUM(O6:O14)</f>
        <v>3366.315</v>
      </c>
      <c r="P15" s="214">
        <f t="shared" si="12"/>
        <v>3366.315</v>
      </c>
      <c r="Q15" s="214">
        <f t="shared" si="12"/>
        <v>3366.315</v>
      </c>
      <c r="R15" s="214">
        <f t="shared" si="12"/>
        <v>3366.315</v>
      </c>
      <c r="S15" s="214">
        <f t="shared" si="12"/>
        <v>3366.315</v>
      </c>
      <c r="T15" s="214">
        <f t="shared" si="12"/>
        <v>3366.315</v>
      </c>
      <c r="U15" s="214">
        <f t="shared" si="12"/>
        <v>3366.315</v>
      </c>
      <c r="V15" s="214">
        <f t="shared" si="12"/>
        <v>3366.315</v>
      </c>
    </row>
    <row r="17" spans="1:22" ht="12.75">
      <c r="A17" s="61" t="s">
        <v>77</v>
      </c>
      <c r="C17" s="163">
        <f aca="true" t="shared" si="13" ref="C17:J17">SUM(C18:C18)</f>
        <v>1.1442750000000002</v>
      </c>
      <c r="D17" s="163">
        <f t="shared" si="13"/>
        <v>1.1442750000000002</v>
      </c>
      <c r="E17" s="163">
        <f t="shared" si="13"/>
        <v>1.1442750000000002</v>
      </c>
      <c r="F17" s="163">
        <f t="shared" si="13"/>
        <v>1.1442750000000002</v>
      </c>
      <c r="G17" s="163">
        <f t="shared" si="13"/>
        <v>1.1442750000000002</v>
      </c>
      <c r="H17" s="163">
        <f t="shared" si="13"/>
        <v>1.1442750000000002</v>
      </c>
      <c r="I17" s="163">
        <f t="shared" si="13"/>
        <v>1.1442750000000002</v>
      </c>
      <c r="J17" s="163">
        <f t="shared" si="13"/>
        <v>1.1442750000000002</v>
      </c>
      <c r="M17" s="61" t="s">
        <v>77</v>
      </c>
      <c r="O17" s="194">
        <f aca="true" t="shared" si="14" ref="O17:V17">SUM(O18:O18)</f>
        <v>10.298475000000002</v>
      </c>
      <c r="P17" s="194">
        <f t="shared" si="14"/>
        <v>10.298475000000002</v>
      </c>
      <c r="Q17" s="194">
        <f t="shared" si="14"/>
        <v>10.298475000000002</v>
      </c>
      <c r="R17" s="194">
        <f t="shared" si="14"/>
        <v>10.298475000000002</v>
      </c>
      <c r="S17" s="194">
        <f t="shared" si="14"/>
        <v>10.298475000000002</v>
      </c>
      <c r="T17" s="194">
        <f t="shared" si="14"/>
        <v>10.298475000000002</v>
      </c>
      <c r="U17" s="194">
        <f t="shared" si="14"/>
        <v>10.298475000000002</v>
      </c>
      <c r="V17" s="194">
        <f t="shared" si="14"/>
        <v>10.298475000000002</v>
      </c>
    </row>
    <row r="18" spans="1:22" ht="25.5">
      <c r="A18" s="161" t="s">
        <v>78</v>
      </c>
      <c r="B18" s="164">
        <v>0.005</v>
      </c>
      <c r="C18" s="165">
        <f aca="true" t="shared" si="15" ref="C18:J18">C6*$B$18</f>
        <v>1.1442750000000002</v>
      </c>
      <c r="D18" s="165">
        <f t="shared" si="15"/>
        <v>1.1442750000000002</v>
      </c>
      <c r="E18" s="165">
        <f t="shared" si="15"/>
        <v>1.1442750000000002</v>
      </c>
      <c r="F18" s="165">
        <f t="shared" si="15"/>
        <v>1.1442750000000002</v>
      </c>
      <c r="G18" s="165">
        <f t="shared" si="15"/>
        <v>1.1442750000000002</v>
      </c>
      <c r="H18" s="165">
        <f t="shared" si="15"/>
        <v>1.1442750000000002</v>
      </c>
      <c r="I18" s="165">
        <f t="shared" si="15"/>
        <v>1.1442750000000002</v>
      </c>
      <c r="J18" s="165">
        <f t="shared" si="15"/>
        <v>1.1442750000000002</v>
      </c>
      <c r="M18" s="161" t="s">
        <v>78</v>
      </c>
      <c r="N18" s="167">
        <f>B18</f>
        <v>0.005</v>
      </c>
      <c r="O18" s="149">
        <f>C18*9</f>
        <v>10.298475000000002</v>
      </c>
      <c r="P18" s="149">
        <f aca="true" t="shared" si="16" ref="P18:V18">D18*9</f>
        <v>10.298475000000002</v>
      </c>
      <c r="Q18" s="149">
        <f t="shared" si="16"/>
        <v>10.298475000000002</v>
      </c>
      <c r="R18" s="149">
        <f t="shared" si="16"/>
        <v>10.298475000000002</v>
      </c>
      <c r="S18" s="149">
        <f t="shared" si="16"/>
        <v>10.298475000000002</v>
      </c>
      <c r="T18" s="149">
        <f t="shared" si="16"/>
        <v>10.298475000000002</v>
      </c>
      <c r="U18" s="149">
        <f t="shared" si="16"/>
        <v>10.298475000000002</v>
      </c>
      <c r="V18" s="149">
        <f t="shared" si="16"/>
        <v>10.298475000000002</v>
      </c>
    </row>
    <row r="20" spans="1:22" ht="12.75">
      <c r="A20" s="61" t="s">
        <v>79</v>
      </c>
      <c r="C20" s="166">
        <f>SUM(C21:C22)</f>
        <v>1</v>
      </c>
      <c r="D20" s="166">
        <f aca="true" t="shared" si="17" ref="D20:I20">SUM(D21:D22)</f>
        <v>1</v>
      </c>
      <c r="E20" s="166">
        <f t="shared" si="17"/>
        <v>1</v>
      </c>
      <c r="F20" s="166">
        <f t="shared" si="17"/>
        <v>1</v>
      </c>
      <c r="G20" s="166">
        <f t="shared" si="17"/>
        <v>1</v>
      </c>
      <c r="H20" s="166">
        <f t="shared" si="17"/>
        <v>1</v>
      </c>
      <c r="I20" s="166">
        <f t="shared" si="17"/>
        <v>1</v>
      </c>
      <c r="J20" s="166">
        <f>SUM(J21:J22)</f>
        <v>1</v>
      </c>
      <c r="M20" s="61" t="s">
        <v>79</v>
      </c>
      <c r="O20" s="166">
        <f>SUM(O21:O22)</f>
        <v>9</v>
      </c>
      <c r="P20" s="166">
        <f aca="true" t="shared" si="18" ref="P20:U20">SUM(P21:P22)</f>
        <v>9</v>
      </c>
      <c r="Q20" s="166">
        <f t="shared" si="18"/>
        <v>9</v>
      </c>
      <c r="R20" s="166">
        <f t="shared" si="18"/>
        <v>9</v>
      </c>
      <c r="S20" s="166">
        <f t="shared" si="18"/>
        <v>9</v>
      </c>
      <c r="T20" s="166">
        <f t="shared" si="18"/>
        <v>9</v>
      </c>
      <c r="U20" s="166">
        <f t="shared" si="18"/>
        <v>9</v>
      </c>
      <c r="V20" s="166">
        <f>SUM(V21:V22)</f>
        <v>9</v>
      </c>
    </row>
    <row r="21" spans="1:22" ht="12.75">
      <c r="A21" s="74" t="s">
        <v>1</v>
      </c>
      <c r="B21" s="167">
        <f>Исх!C16</f>
        <v>0.015</v>
      </c>
      <c r="C21" s="149">
        <f>(C34+C37)/2*$B$21/12*0</f>
        <v>0</v>
      </c>
      <c r="D21" s="149">
        <f aca="true" t="shared" si="19" ref="D21:J21">(D34+D37)/2*$B$21/12*0</f>
        <v>0</v>
      </c>
      <c r="E21" s="149">
        <f t="shared" si="19"/>
        <v>0</v>
      </c>
      <c r="F21" s="149">
        <f t="shared" si="19"/>
        <v>0</v>
      </c>
      <c r="G21" s="149">
        <f t="shared" si="19"/>
        <v>0</v>
      </c>
      <c r="H21" s="149">
        <f t="shared" si="19"/>
        <v>0</v>
      </c>
      <c r="I21" s="149">
        <f t="shared" si="19"/>
        <v>0</v>
      </c>
      <c r="J21" s="149">
        <f t="shared" si="19"/>
        <v>0</v>
      </c>
      <c r="M21" s="74" t="s">
        <v>1</v>
      </c>
      <c r="N21" s="167">
        <f>B21</f>
        <v>0.015</v>
      </c>
      <c r="O21" s="149">
        <f>C21*9</f>
        <v>0</v>
      </c>
      <c r="P21" s="149">
        <f aca="true" t="shared" si="20" ref="P21:V22">D21*9</f>
        <v>0</v>
      </c>
      <c r="Q21" s="149">
        <f t="shared" si="20"/>
        <v>0</v>
      </c>
      <c r="R21" s="149">
        <f t="shared" si="20"/>
        <v>0</v>
      </c>
      <c r="S21" s="149">
        <f t="shared" si="20"/>
        <v>0</v>
      </c>
      <c r="T21" s="149">
        <f t="shared" si="20"/>
        <v>0</v>
      </c>
      <c r="U21" s="149">
        <f t="shared" si="20"/>
        <v>0</v>
      </c>
      <c r="V21" s="149">
        <f t="shared" si="20"/>
        <v>0</v>
      </c>
    </row>
    <row r="22" spans="1:22" ht="12.75">
      <c r="A22" s="74" t="s">
        <v>203</v>
      </c>
      <c r="B22" s="74"/>
      <c r="C22" s="142">
        <v>1</v>
      </c>
      <c r="D22" s="149">
        <f aca="true" t="shared" si="21" ref="D22:J22">C22+C22*$D$3</f>
        <v>1</v>
      </c>
      <c r="E22" s="149">
        <f t="shared" si="21"/>
        <v>1</v>
      </c>
      <c r="F22" s="149">
        <f t="shared" si="21"/>
        <v>1</v>
      </c>
      <c r="G22" s="149">
        <f t="shared" si="21"/>
        <v>1</v>
      </c>
      <c r="H22" s="149">
        <f t="shared" si="21"/>
        <v>1</v>
      </c>
      <c r="I22" s="149">
        <f t="shared" si="21"/>
        <v>1</v>
      </c>
      <c r="J22" s="149">
        <f t="shared" si="21"/>
        <v>1</v>
      </c>
      <c r="M22" s="74" t="s">
        <v>203</v>
      </c>
      <c r="N22" s="74"/>
      <c r="O22" s="149">
        <f>C22*9</f>
        <v>9</v>
      </c>
      <c r="P22" s="149">
        <f t="shared" si="20"/>
        <v>9</v>
      </c>
      <c r="Q22" s="149">
        <f t="shared" si="20"/>
        <v>9</v>
      </c>
      <c r="R22" s="149">
        <f t="shared" si="20"/>
        <v>9</v>
      </c>
      <c r="S22" s="149">
        <f t="shared" si="20"/>
        <v>9</v>
      </c>
      <c r="T22" s="149">
        <f t="shared" si="20"/>
        <v>9</v>
      </c>
      <c r="U22" s="149">
        <f t="shared" si="20"/>
        <v>9</v>
      </c>
      <c r="V22" s="149">
        <f t="shared" si="20"/>
        <v>9</v>
      </c>
    </row>
    <row r="24" ht="12.75">
      <c r="C24" s="168"/>
    </row>
    <row r="25" spans="1:10" ht="12.75">
      <c r="A25" s="61" t="s">
        <v>80</v>
      </c>
      <c r="C25" s="166"/>
      <c r="D25" s="166"/>
      <c r="E25" s="166"/>
      <c r="F25" s="166"/>
      <c r="G25" s="166"/>
      <c r="H25" s="166"/>
      <c r="I25" s="166"/>
      <c r="J25" s="166"/>
    </row>
    <row r="26" spans="1:10" ht="12.75">
      <c r="A26" s="138" t="s">
        <v>86</v>
      </c>
      <c r="B26" s="74"/>
      <c r="C26" s="139">
        <f aca="true" t="shared" si="22" ref="C26:J26">C5</f>
        <v>2013</v>
      </c>
      <c r="D26" s="139">
        <f t="shared" si="22"/>
        <v>2014</v>
      </c>
      <c r="E26" s="139">
        <f t="shared" si="22"/>
        <v>2015</v>
      </c>
      <c r="F26" s="139">
        <f t="shared" si="22"/>
        <v>2016</v>
      </c>
      <c r="G26" s="139">
        <f t="shared" si="22"/>
        <v>2017</v>
      </c>
      <c r="H26" s="139">
        <f t="shared" si="22"/>
        <v>2018</v>
      </c>
      <c r="I26" s="139">
        <f t="shared" si="22"/>
        <v>2019</v>
      </c>
      <c r="J26" s="139">
        <f t="shared" si="22"/>
        <v>2020</v>
      </c>
    </row>
    <row r="27" spans="1:10" ht="12.75">
      <c r="A27" s="74" t="s">
        <v>81</v>
      </c>
      <c r="B27" s="169"/>
      <c r="C27" s="74"/>
      <c r="D27" s="74"/>
      <c r="E27" s="74"/>
      <c r="F27" s="74"/>
      <c r="G27" s="74"/>
      <c r="H27" s="74"/>
      <c r="I27" s="74"/>
      <c r="J27" s="74"/>
    </row>
    <row r="28" spans="1:10" ht="12.75">
      <c r="A28" s="74" t="s">
        <v>82</v>
      </c>
      <c r="B28" s="170"/>
      <c r="C28" s="149">
        <f>C34+C40+C46</f>
        <v>0</v>
      </c>
      <c r="D28" s="149">
        <f aca="true" t="shared" si="23" ref="D28:I28">D34+D40+D46</f>
        <v>1908.5133600000001</v>
      </c>
      <c r="E28" s="149">
        <f t="shared" si="23"/>
        <v>1715.862024</v>
      </c>
      <c r="F28" s="149">
        <f t="shared" si="23"/>
        <v>1523.2106880000001</v>
      </c>
      <c r="G28" s="149">
        <f t="shared" si="23"/>
        <v>1330.5593520000002</v>
      </c>
      <c r="H28" s="149">
        <f t="shared" si="23"/>
        <v>1137.9080160000003</v>
      </c>
      <c r="I28" s="149">
        <f t="shared" si="23"/>
        <v>945.2566800000003</v>
      </c>
      <c r="J28" s="149">
        <f>J34+J40+J46</f>
        <v>752.6053440000003</v>
      </c>
    </row>
    <row r="29" spans="1:10" ht="12.75">
      <c r="A29" s="74" t="s">
        <v>83</v>
      </c>
      <c r="B29" s="170"/>
      <c r="C29" s="149">
        <f>C35+C41+C47</f>
        <v>1908.5133600000001</v>
      </c>
      <c r="D29" s="149">
        <f aca="true" t="shared" si="24" ref="D29:I29">D35+D41+D47</f>
        <v>0</v>
      </c>
      <c r="E29" s="149">
        <f t="shared" si="24"/>
        <v>0</v>
      </c>
      <c r="F29" s="149">
        <f t="shared" si="24"/>
        <v>0</v>
      </c>
      <c r="G29" s="149">
        <f t="shared" si="24"/>
        <v>0</v>
      </c>
      <c r="H29" s="149">
        <f t="shared" si="24"/>
        <v>0</v>
      </c>
      <c r="I29" s="149">
        <f t="shared" si="24"/>
        <v>0</v>
      </c>
      <c r="J29" s="149">
        <f>J35+J41+J47</f>
        <v>0</v>
      </c>
    </row>
    <row r="30" spans="1:10" ht="12.75">
      <c r="A30" s="151" t="s">
        <v>84</v>
      </c>
      <c r="B30" s="151"/>
      <c r="C30" s="150">
        <f>C36+C42+C48</f>
        <v>0</v>
      </c>
      <c r="D30" s="150">
        <f aca="true" t="shared" si="25" ref="D30:I30">D36+D42+D48</f>
        <v>192.65133600000001</v>
      </c>
      <c r="E30" s="150">
        <f t="shared" si="25"/>
        <v>192.65133600000001</v>
      </c>
      <c r="F30" s="150">
        <f t="shared" si="25"/>
        <v>192.65133600000001</v>
      </c>
      <c r="G30" s="150">
        <f t="shared" si="25"/>
        <v>192.65133600000001</v>
      </c>
      <c r="H30" s="150">
        <f t="shared" si="25"/>
        <v>192.65133600000001</v>
      </c>
      <c r="I30" s="150">
        <f t="shared" si="25"/>
        <v>192.65133600000001</v>
      </c>
      <c r="J30" s="150">
        <f>J36+J42+J48</f>
        <v>192.65133600000001</v>
      </c>
    </row>
    <row r="31" spans="1:10" ht="12.75">
      <c r="A31" s="74" t="s">
        <v>85</v>
      </c>
      <c r="B31" s="170"/>
      <c r="C31" s="149">
        <f aca="true" t="shared" si="26" ref="C31:I31">C28+C29-C30</f>
        <v>1908.5133600000001</v>
      </c>
      <c r="D31" s="149">
        <f t="shared" si="26"/>
        <v>1715.862024</v>
      </c>
      <c r="E31" s="149">
        <f t="shared" si="26"/>
        <v>1523.2106880000001</v>
      </c>
      <c r="F31" s="149">
        <f t="shared" si="26"/>
        <v>1330.5593520000002</v>
      </c>
      <c r="G31" s="149">
        <f t="shared" si="26"/>
        <v>1137.9080160000003</v>
      </c>
      <c r="H31" s="149">
        <f t="shared" si="26"/>
        <v>945.2566800000003</v>
      </c>
      <c r="I31" s="149">
        <f t="shared" si="26"/>
        <v>752.6053440000003</v>
      </c>
      <c r="J31" s="149">
        <f>J28+J29-J30</f>
        <v>559.9540080000003</v>
      </c>
    </row>
    <row r="32" spans="1:10" ht="12.75" hidden="1" outlineLevel="1">
      <c r="A32" s="72" t="s">
        <v>184</v>
      </c>
      <c r="C32" s="139"/>
      <c r="D32" s="139"/>
      <c r="E32" s="139"/>
      <c r="F32" s="139"/>
      <c r="G32" s="139"/>
      <c r="H32" s="139"/>
      <c r="I32" s="139"/>
      <c r="J32" s="139"/>
    </row>
    <row r="33" spans="1:10" ht="12.75" hidden="1" outlineLevel="1">
      <c r="A33" s="74" t="s">
        <v>81</v>
      </c>
      <c r="B33" s="171">
        <v>0.05</v>
      </c>
      <c r="C33" s="74"/>
      <c r="D33" s="74"/>
      <c r="E33" s="74"/>
      <c r="F33" s="74"/>
      <c r="G33" s="74"/>
      <c r="H33" s="74"/>
      <c r="I33" s="74"/>
      <c r="J33" s="74"/>
    </row>
    <row r="34" spans="1:10" ht="12.75" hidden="1" outlineLevel="1">
      <c r="A34" s="74" t="s">
        <v>82</v>
      </c>
      <c r="B34" s="170"/>
      <c r="C34" s="143"/>
      <c r="D34" s="149">
        <f aca="true" t="shared" si="27" ref="D34:J34">C37</f>
        <v>0</v>
      </c>
      <c r="E34" s="149">
        <f t="shared" si="27"/>
        <v>0</v>
      </c>
      <c r="F34" s="149">
        <f t="shared" si="27"/>
        <v>0</v>
      </c>
      <c r="G34" s="149">
        <f t="shared" si="27"/>
        <v>0</v>
      </c>
      <c r="H34" s="149">
        <f t="shared" si="27"/>
        <v>0</v>
      </c>
      <c r="I34" s="149">
        <f t="shared" si="27"/>
        <v>0</v>
      </c>
      <c r="J34" s="149">
        <f t="shared" si="27"/>
        <v>0</v>
      </c>
    </row>
    <row r="35" spans="1:10" ht="12.75" hidden="1" outlineLevel="1">
      <c r="A35" s="74" t="s">
        <v>83</v>
      </c>
      <c r="B35" s="170"/>
      <c r="C35" s="149">
        <f>Инв!C22</f>
        <v>0</v>
      </c>
      <c r="D35" s="149"/>
      <c r="E35" s="149"/>
      <c r="F35" s="149"/>
      <c r="G35" s="149"/>
      <c r="H35" s="149"/>
      <c r="I35" s="149"/>
      <c r="J35" s="149"/>
    </row>
    <row r="36" spans="1:10" ht="12.75" hidden="1" outlineLevel="1">
      <c r="A36" s="151" t="s">
        <v>84</v>
      </c>
      <c r="B36" s="151"/>
      <c r="C36" s="150">
        <f>$C35*$B33/12*0</f>
        <v>0</v>
      </c>
      <c r="D36" s="150">
        <f aca="true" t="shared" si="28" ref="D36:J36">$C35*$B33</f>
        <v>0</v>
      </c>
      <c r="E36" s="150">
        <f t="shared" si="28"/>
        <v>0</v>
      </c>
      <c r="F36" s="150">
        <f t="shared" si="28"/>
        <v>0</v>
      </c>
      <c r="G36" s="150">
        <f t="shared" si="28"/>
        <v>0</v>
      </c>
      <c r="H36" s="150">
        <f t="shared" si="28"/>
        <v>0</v>
      </c>
      <c r="I36" s="150">
        <f t="shared" si="28"/>
        <v>0</v>
      </c>
      <c r="J36" s="150">
        <f t="shared" si="28"/>
        <v>0</v>
      </c>
    </row>
    <row r="37" spans="1:10" ht="12.75" hidden="1" outlineLevel="1">
      <c r="A37" s="74" t="s">
        <v>85</v>
      </c>
      <c r="B37" s="170"/>
      <c r="C37" s="149">
        <f aca="true" t="shared" si="29" ref="C37:I37">C34+C35-C36</f>
        <v>0</v>
      </c>
      <c r="D37" s="149">
        <f t="shared" si="29"/>
        <v>0</v>
      </c>
      <c r="E37" s="149">
        <f t="shared" si="29"/>
        <v>0</v>
      </c>
      <c r="F37" s="149">
        <f t="shared" si="29"/>
        <v>0</v>
      </c>
      <c r="G37" s="149">
        <f t="shared" si="29"/>
        <v>0</v>
      </c>
      <c r="H37" s="149">
        <f t="shared" si="29"/>
        <v>0</v>
      </c>
      <c r="I37" s="149">
        <f t="shared" si="29"/>
        <v>0</v>
      </c>
      <c r="J37" s="149">
        <f>J34+J35-J36</f>
        <v>0</v>
      </c>
    </row>
    <row r="38" spans="1:10" ht="12.75" hidden="1" outlineLevel="1">
      <c r="A38" s="72" t="s">
        <v>103</v>
      </c>
      <c r="C38" s="139"/>
      <c r="D38" s="139"/>
      <c r="E38" s="139"/>
      <c r="F38" s="139"/>
      <c r="G38" s="139"/>
      <c r="H38" s="139"/>
      <c r="I38" s="139"/>
      <c r="J38" s="139"/>
    </row>
    <row r="39" spans="1:10" ht="12.75" hidden="1" outlineLevel="1">
      <c r="A39" s="74" t="s">
        <v>81</v>
      </c>
      <c r="B39" s="171">
        <v>0.1</v>
      </c>
      <c r="C39" s="74"/>
      <c r="D39" s="74"/>
      <c r="E39" s="74"/>
      <c r="F39" s="74"/>
      <c r="G39" s="74"/>
      <c r="H39" s="74"/>
      <c r="I39" s="74"/>
      <c r="J39" s="74"/>
    </row>
    <row r="40" spans="1:10" ht="12.75" hidden="1" outlineLevel="1">
      <c r="A40" s="74" t="s">
        <v>82</v>
      </c>
      <c r="B40" s="170"/>
      <c r="C40" s="149"/>
      <c r="D40" s="149">
        <f aca="true" t="shared" si="30" ref="D40:J40">C43</f>
        <v>1836.5133600000001</v>
      </c>
      <c r="E40" s="149">
        <f t="shared" si="30"/>
        <v>1652.862024</v>
      </c>
      <c r="F40" s="149">
        <f t="shared" si="30"/>
        <v>1469.2106880000001</v>
      </c>
      <c r="G40" s="149">
        <f t="shared" si="30"/>
        <v>1285.5593520000002</v>
      </c>
      <c r="H40" s="149">
        <f t="shared" si="30"/>
        <v>1101.9080160000003</v>
      </c>
      <c r="I40" s="149">
        <f t="shared" si="30"/>
        <v>918.2566800000003</v>
      </c>
      <c r="J40" s="149">
        <f t="shared" si="30"/>
        <v>734.6053440000003</v>
      </c>
    </row>
    <row r="41" spans="1:10" ht="12.75" hidden="1" outlineLevel="1">
      <c r="A41" s="74" t="s">
        <v>83</v>
      </c>
      <c r="B41" s="170"/>
      <c r="C41" s="149">
        <f>Инв!C23</f>
        <v>1836.5133600000001</v>
      </c>
      <c r="D41" s="149"/>
      <c r="E41" s="149"/>
      <c r="F41" s="149"/>
      <c r="G41" s="149"/>
      <c r="H41" s="149"/>
      <c r="I41" s="149"/>
      <c r="J41" s="149"/>
    </row>
    <row r="42" spans="1:10" ht="12.75" hidden="1" outlineLevel="1">
      <c r="A42" s="151" t="s">
        <v>84</v>
      </c>
      <c r="B42" s="151"/>
      <c r="C42" s="150">
        <f>$C41*$B39/12*0</f>
        <v>0</v>
      </c>
      <c r="D42" s="150">
        <f aca="true" t="shared" si="31" ref="D42:J42">$C41*$B39</f>
        <v>183.65133600000001</v>
      </c>
      <c r="E42" s="150">
        <f t="shared" si="31"/>
        <v>183.65133600000001</v>
      </c>
      <c r="F42" s="150">
        <f t="shared" si="31"/>
        <v>183.65133600000001</v>
      </c>
      <c r="G42" s="150">
        <f t="shared" si="31"/>
        <v>183.65133600000001</v>
      </c>
      <c r="H42" s="150">
        <f t="shared" si="31"/>
        <v>183.65133600000001</v>
      </c>
      <c r="I42" s="150">
        <f t="shared" si="31"/>
        <v>183.65133600000001</v>
      </c>
      <c r="J42" s="150">
        <f t="shared" si="31"/>
        <v>183.65133600000001</v>
      </c>
    </row>
    <row r="43" spans="1:10" ht="12.75" hidden="1" outlineLevel="1">
      <c r="A43" s="74" t="s">
        <v>85</v>
      </c>
      <c r="B43" s="170"/>
      <c r="C43" s="149">
        <f aca="true" t="shared" si="32" ref="C43:I43">C40+C41-C42</f>
        <v>1836.5133600000001</v>
      </c>
      <c r="D43" s="149">
        <f t="shared" si="32"/>
        <v>1652.862024</v>
      </c>
      <c r="E43" s="149">
        <f t="shared" si="32"/>
        <v>1469.2106880000001</v>
      </c>
      <c r="F43" s="149">
        <f t="shared" si="32"/>
        <v>1285.5593520000002</v>
      </c>
      <c r="G43" s="149">
        <f t="shared" si="32"/>
        <v>1101.9080160000003</v>
      </c>
      <c r="H43" s="149">
        <f t="shared" si="32"/>
        <v>918.2566800000003</v>
      </c>
      <c r="I43" s="149">
        <f t="shared" si="32"/>
        <v>734.6053440000003</v>
      </c>
      <c r="J43" s="149">
        <f>J40+J41-J42</f>
        <v>550.9540080000003</v>
      </c>
    </row>
    <row r="44" spans="1:10" ht="12.75" hidden="1" outlineLevel="1">
      <c r="A44" s="72" t="s">
        <v>189</v>
      </c>
      <c r="C44" s="139"/>
      <c r="D44" s="139"/>
      <c r="E44" s="139"/>
      <c r="F44" s="139"/>
      <c r="G44" s="139"/>
      <c r="H44" s="139"/>
      <c r="I44" s="139"/>
      <c r="J44" s="139"/>
    </row>
    <row r="45" spans="1:10" ht="12.75" hidden="1" outlineLevel="1">
      <c r="A45" s="74" t="s">
        <v>81</v>
      </c>
      <c r="B45" s="171">
        <f>1/8</f>
        <v>0.125</v>
      </c>
      <c r="C45" s="74"/>
      <c r="D45" s="74"/>
      <c r="E45" s="74"/>
      <c r="F45" s="74"/>
      <c r="G45" s="74"/>
      <c r="H45" s="74"/>
      <c r="I45" s="74"/>
      <c r="J45" s="74"/>
    </row>
    <row r="46" spans="1:10" ht="12.75" hidden="1" outlineLevel="1">
      <c r="A46" s="74" t="s">
        <v>82</v>
      </c>
      <c r="B46" s="170"/>
      <c r="C46" s="149"/>
      <c r="D46" s="149">
        <f aca="true" t="shared" si="33" ref="D46:J46">C49</f>
        <v>72</v>
      </c>
      <c r="E46" s="149">
        <f t="shared" si="33"/>
        <v>63</v>
      </c>
      <c r="F46" s="149">
        <f t="shared" si="33"/>
        <v>54</v>
      </c>
      <c r="G46" s="149">
        <f t="shared" si="33"/>
        <v>45</v>
      </c>
      <c r="H46" s="149">
        <f t="shared" si="33"/>
        <v>36</v>
      </c>
      <c r="I46" s="149">
        <f t="shared" si="33"/>
        <v>27</v>
      </c>
      <c r="J46" s="149">
        <f t="shared" si="33"/>
        <v>18</v>
      </c>
    </row>
    <row r="47" spans="1:10" ht="12.75" hidden="1" outlineLevel="1">
      <c r="A47" s="74" t="s">
        <v>83</v>
      </c>
      <c r="B47" s="170"/>
      <c r="C47" s="149">
        <f>Инв!C24</f>
        <v>72</v>
      </c>
      <c r="D47" s="149"/>
      <c r="E47" s="149"/>
      <c r="F47" s="149"/>
      <c r="G47" s="149"/>
      <c r="H47" s="149"/>
      <c r="I47" s="149"/>
      <c r="J47" s="149"/>
    </row>
    <row r="48" spans="1:10" ht="12.75" hidden="1" outlineLevel="1">
      <c r="A48" s="151" t="s">
        <v>84</v>
      </c>
      <c r="B48" s="151"/>
      <c r="C48" s="150">
        <f>$C47*$B45/12*0</f>
        <v>0</v>
      </c>
      <c r="D48" s="150">
        <f>$C47*$B45</f>
        <v>9</v>
      </c>
      <c r="E48" s="150">
        <f aca="true" t="shared" si="34" ref="E48:J48">$C47*$B45</f>
        <v>9</v>
      </c>
      <c r="F48" s="150">
        <f t="shared" si="34"/>
        <v>9</v>
      </c>
      <c r="G48" s="150">
        <f t="shared" si="34"/>
        <v>9</v>
      </c>
      <c r="H48" s="150">
        <f t="shared" si="34"/>
        <v>9</v>
      </c>
      <c r="I48" s="150">
        <f t="shared" si="34"/>
        <v>9</v>
      </c>
      <c r="J48" s="150">
        <f t="shared" si="34"/>
        <v>9</v>
      </c>
    </row>
    <row r="49" spans="1:10" ht="12.75" hidden="1" outlineLevel="1">
      <c r="A49" s="74" t="s">
        <v>85</v>
      </c>
      <c r="B49" s="170"/>
      <c r="C49" s="149">
        <f aca="true" t="shared" si="35" ref="C49:I49">C46+C47-C48</f>
        <v>72</v>
      </c>
      <c r="D49" s="149">
        <f t="shared" si="35"/>
        <v>63</v>
      </c>
      <c r="E49" s="149">
        <f t="shared" si="35"/>
        <v>54</v>
      </c>
      <c r="F49" s="149">
        <f t="shared" si="35"/>
        <v>45</v>
      </c>
      <c r="G49" s="149">
        <f t="shared" si="35"/>
        <v>36</v>
      </c>
      <c r="H49" s="149">
        <f t="shared" si="35"/>
        <v>27</v>
      </c>
      <c r="I49" s="149">
        <f t="shared" si="35"/>
        <v>18</v>
      </c>
      <c r="J49" s="149">
        <f>J46+J47-J48</f>
        <v>9</v>
      </c>
    </row>
    <row r="50" ht="12.75" collapsed="1"/>
  </sheetData>
  <sheetProtection/>
  <printOptions/>
  <pageMargins left="0.4" right="0.75" top="0.3" bottom="1.87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2013-08-10T09:45:39Z</cp:lastPrinted>
  <dcterms:created xsi:type="dcterms:W3CDTF">2006-03-01T15:11:19Z</dcterms:created>
  <dcterms:modified xsi:type="dcterms:W3CDTF">2013-09-24T08:06:13Z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