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8445" tabRatio="659" activeTab="1"/>
  </bookViews>
  <sheets>
    <sheet name="1-Ф3" sheetId="1" r:id="rId1"/>
    <sheet name="2-ф2" sheetId="2" r:id="rId2"/>
    <sheet name="3-Баланс" sheetId="3" r:id="rId3"/>
    <sheet name="Исх" sheetId="4" r:id="rId4"/>
    <sheet name="Дох" sheetId="5" r:id="rId5"/>
    <sheet name="Производство" sheetId="6" r:id="rId6"/>
    <sheet name="Расх перем" sheetId="7" r:id="rId7"/>
    <sheet name="ФОТ" sheetId="8" r:id="rId8"/>
    <sheet name="Пост" sheetId="9" r:id="rId9"/>
    <sheet name="кр" sheetId="10" r:id="rId10"/>
    <sheet name="Инв" sheetId="11" r:id="rId11"/>
    <sheet name="безубыт" sheetId="12" r:id="rId12"/>
    <sheet name="Осн.пок-ли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kpn1" localSheetId="2">'[46]Главн'!$D$46</definedName>
    <definedName name="_kpn1">'[47]Главн'!$D$46</definedName>
    <definedName name="_kpn2" localSheetId="2">'[46]Главн'!$E$46</definedName>
    <definedName name="_kpn2">'[47]Главн'!$E$46</definedName>
    <definedName name="_kpn3" localSheetId="2">'[46]Главн'!$F$46</definedName>
    <definedName name="_kpn3">'[47]Главн'!$F$46</definedName>
    <definedName name="_kpn4" localSheetId="2">'[46]Главн'!$G$46</definedName>
    <definedName name="_kpn4">'[47]Главн'!$G$46</definedName>
    <definedName name="_kpn5" localSheetId="2">'[46]Главн'!$H$46</definedName>
    <definedName name="_kpn5">'[47]Главн'!$H$46</definedName>
    <definedName name="_kpn6" localSheetId="2">'[46]Главн'!$I$46</definedName>
    <definedName name="_kpn6">'[47]Главн'!$I$46</definedName>
    <definedName name="_kpn7" localSheetId="2">'[46]Главн'!$J$46</definedName>
    <definedName name="_kpn7">'[47]Главн'!$J$46</definedName>
    <definedName name="_kpn8" localSheetId="2">'[46]Главн'!$K$46</definedName>
    <definedName name="_kpn8">'[47]Главн'!$K$46</definedName>
    <definedName name="_nds1" localSheetId="2">'[46]Главн'!$D$42</definedName>
    <definedName name="_nds1">'[47]Главн'!$D$42</definedName>
    <definedName name="_nds2" localSheetId="2">'[46]Главн'!$E$42</definedName>
    <definedName name="_nds2">'[47]Главн'!$E$42</definedName>
    <definedName name="_nds3" localSheetId="2">'[46]Главн'!$F$42</definedName>
    <definedName name="_nds3">'[47]Главн'!$F$42</definedName>
    <definedName name="_nds4" localSheetId="2">'[46]Главн'!$G$42</definedName>
    <definedName name="_nds4">'[47]Главн'!$G$42</definedName>
    <definedName name="_nds5" localSheetId="2">'[46]Главн'!$H$42</definedName>
    <definedName name="_nds5">'[47]Главн'!$H$42</definedName>
    <definedName name="_nds6" localSheetId="2">'[46]Главн'!$I$42</definedName>
    <definedName name="_nds6">'[47]Главн'!$I$42</definedName>
    <definedName name="_xlfn.BAHTTEXT" hidden="1">#NAME?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'[3]NPV'!$F$18</definedName>
    <definedName name="curr" localSheetId="2">#REF!</definedName>
    <definedName name="curr">#REF!</definedName>
    <definedName name="DcB">'[11]Дин. оборотн. ср-в!!!'!$B$17+'[11]Дин. оборотн. ср-в!!!'!$B$18+'[11]Дин. оборотн. ср-в!!!'!$B$19+'[11]Дин. оборотн. ср-в!!!'!$B$20</definedName>
    <definedName name="DcF">'[11]Дин. оборотн. ср-в!!!'!$F$17+'[11]Дин. оборотн. ср-в!!!'!$F$18+'[11]Дин. оборотн. ср-в!!!'!$F$19+'[11]Дин. оборотн. ср-в!!!'!$F$20</definedName>
    <definedName name="DF">'[11]Дин. оборотн. ср-в!!!'!$F$25+'[11]Дин. оборотн. ср-в!!!'!$F$26+'[11]Дин. оборотн. ср-в!!!'!$F$27+'[11]Дин. оборотн. ср-в!!!'!$F$28+'[11]Дин. оборотн. ср-в!!!'!$F$29+'[11]Дин. оборотн. ср-в!!!'!$F$30+'[11]Дин. оборотн. ср-в!!!'!$F$31</definedName>
    <definedName name="DG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</definedName>
    <definedName name="Ed." localSheetId="2">#REF!</definedName>
    <definedName name="Ed." localSheetId="4">#REF!</definedName>
    <definedName name="Ed." localSheetId="8">#REF!</definedName>
    <definedName name="Ed." localSheetId="5">#REF!</definedName>
    <definedName name="Ed." localSheetId="6">#REF!</definedName>
    <definedName name="Ed." localSheetId="7">#REF!</definedName>
    <definedName name="Ed.">#REF!</definedName>
    <definedName name="EUR">'[7]Свод'!$C$9</definedName>
    <definedName name="EURO">'[12]Осн. пара'!$C$8</definedName>
    <definedName name="imush1" localSheetId="2">'[46]Главн'!$D$44</definedName>
    <definedName name="imush1" localSheetId="9">'[32]Главн'!$D$44</definedName>
    <definedName name="imush1" localSheetId="5">'[59]Главн'!$D$44</definedName>
    <definedName name="imush1">'[21]Главн'!$D$44</definedName>
    <definedName name="imush2" localSheetId="2">'[46]Главн'!$E$44</definedName>
    <definedName name="imush2" localSheetId="9">'[32]Главн'!$E$44</definedName>
    <definedName name="imush2" localSheetId="5">'[59]Главн'!$E$44</definedName>
    <definedName name="imush2">'[21]Главн'!$E$44</definedName>
    <definedName name="imush3" localSheetId="2">'[46]Главн'!$F$44</definedName>
    <definedName name="imush3" localSheetId="9">'[32]Главн'!$F$44</definedName>
    <definedName name="imush3" localSheetId="5">'[59]Главн'!$F$44</definedName>
    <definedName name="imush3">'[21]Главн'!$F$44</definedName>
    <definedName name="imush4" localSheetId="2">'[46]Главн'!$G$44</definedName>
    <definedName name="imush4" localSheetId="9">'[32]Главн'!$G$44</definedName>
    <definedName name="imush4" localSheetId="5">'[59]Главн'!$G$44</definedName>
    <definedName name="imush4">'[21]Главн'!$G$44</definedName>
    <definedName name="imush5" localSheetId="2">'[46]Главн'!$H$44</definedName>
    <definedName name="imush5" localSheetId="9">'[32]Главн'!$H$44</definedName>
    <definedName name="imush5" localSheetId="5">'[59]Главн'!$H$44</definedName>
    <definedName name="imush5">'[21]Главн'!$H$44</definedName>
    <definedName name="imush6" localSheetId="2">'[46]Главн'!$I$44</definedName>
    <definedName name="imush6" localSheetId="9">'[32]Главн'!$I$44</definedName>
    <definedName name="imush6" localSheetId="5">'[59]Главн'!$I$44</definedName>
    <definedName name="imush6">'[21]Главн'!$I$44</definedName>
    <definedName name="imush7" localSheetId="2">'[46]Главн'!$J$44</definedName>
    <definedName name="imush7" localSheetId="9">'[32]Главн'!$J$44</definedName>
    <definedName name="imush7" localSheetId="5">'[59]Главн'!$J$44</definedName>
    <definedName name="imush7">'[21]Главн'!$J$44</definedName>
    <definedName name="imush8" localSheetId="2">'[46]Главн'!$K$44</definedName>
    <definedName name="imush8" localSheetId="9">'[32]Главн'!$K$44</definedName>
    <definedName name="imush8" localSheetId="5">'[59]Главн'!$K$44</definedName>
    <definedName name="imush8">'[21]Главн'!$K$44</definedName>
    <definedName name="inf" localSheetId="2">'[46]Главн'!$C$35</definedName>
    <definedName name="inf" localSheetId="9">'[32]Главн'!$C$35</definedName>
    <definedName name="inf" localSheetId="5">'[59]Главн'!$C$35</definedName>
    <definedName name="inf">'[21]Главн'!$C$35</definedName>
    <definedName name="kpn1" localSheetId="9">'[32]Главн'!$D$46</definedName>
    <definedName name="kpn1" localSheetId="5">'[59]Главн'!$D$46</definedName>
    <definedName name="kpn1">'[21]Главн'!$D$46</definedName>
    <definedName name="kpn2" localSheetId="9">'[32]Главн'!$E$46</definedName>
    <definedName name="kpn2" localSheetId="5">'[59]Главн'!$E$46</definedName>
    <definedName name="kpn2">'[21]Главн'!$E$46</definedName>
    <definedName name="kpn3" localSheetId="9">'[32]Главн'!$F$46</definedName>
    <definedName name="kpn3" localSheetId="5">'[59]Главн'!$F$46</definedName>
    <definedName name="kpn3">'[21]Главн'!$F$46</definedName>
    <definedName name="kpn4" localSheetId="9">'[32]Главн'!$G$46</definedName>
    <definedName name="kpn4" localSheetId="5">'[59]Главн'!$G$46</definedName>
    <definedName name="kpn4">'[21]Главн'!$G$46</definedName>
    <definedName name="kpn5" localSheetId="9">'[32]Главн'!$H$46</definedName>
    <definedName name="kpn5" localSheetId="5">'[59]Главн'!$H$46</definedName>
    <definedName name="kpn5">'[21]Главн'!$H$46</definedName>
    <definedName name="kpn6" localSheetId="9">'[32]Главн'!$I$46</definedName>
    <definedName name="kpn6" localSheetId="5">'[59]Главн'!$I$46</definedName>
    <definedName name="kpn6">'[21]Главн'!$I$46</definedName>
    <definedName name="kpn7" localSheetId="9">'[32]Главн'!$J$46</definedName>
    <definedName name="kpn7" localSheetId="5">'[59]Главн'!$J$46</definedName>
    <definedName name="kpn7">'[21]Главн'!$J$46</definedName>
    <definedName name="kpn8" localSheetId="9">'[32]Главн'!$K$46</definedName>
    <definedName name="kpn8" localSheetId="5">'[59]Главн'!$K$46</definedName>
    <definedName name="kpn8">'[21]Главн'!$K$46</definedName>
    <definedName name="kurs" localSheetId="2">#REF!</definedName>
    <definedName name="kurs">#REF!</definedName>
    <definedName name="kurs2" localSheetId="2">'[46]Главн'!$C$31</definedName>
    <definedName name="kurs2" localSheetId="9">'[32]Главн'!$C$31</definedName>
    <definedName name="kurs2" localSheetId="5">'[59]Главн'!$C$31</definedName>
    <definedName name="kurs2">'[21]Главн'!$C$31</definedName>
    <definedName name="lgot1" localSheetId="2">'[46]Главн'!$D$41</definedName>
    <definedName name="lgot1" localSheetId="9">'[32]Главн'!$D$41</definedName>
    <definedName name="lgot1" localSheetId="5">'[59]Главн'!$D$41</definedName>
    <definedName name="lgot1">'[21]Главн'!$D$41</definedName>
    <definedName name="lgot2" localSheetId="2">'[46]Главн'!$E$41</definedName>
    <definedName name="lgot2" localSheetId="9">'[32]Главн'!$E$41</definedName>
    <definedName name="lgot2" localSheetId="5">'[59]Главн'!$E$41</definedName>
    <definedName name="lgot2">'[21]Главн'!$E$41</definedName>
    <definedName name="lgot3" localSheetId="2">'[46]Главн'!$F$41</definedName>
    <definedName name="lgot3" localSheetId="9">'[32]Главн'!$F$41</definedName>
    <definedName name="lgot3" localSheetId="5">'[59]Главн'!$F$41</definedName>
    <definedName name="lgot3">'[21]Главн'!$F$41</definedName>
    <definedName name="lgot4" localSheetId="2">'[46]Главн'!$G$41</definedName>
    <definedName name="lgot4" localSheetId="9">'[32]Главн'!$G$41</definedName>
    <definedName name="lgot4" localSheetId="5">'[59]Главн'!$G$41</definedName>
    <definedName name="lgot4">'[21]Главн'!$G$41</definedName>
    <definedName name="lgot5" localSheetId="2">'[46]Главн'!$H$41</definedName>
    <definedName name="lgot5" localSheetId="9">'[32]Главн'!$H$41</definedName>
    <definedName name="lgot5" localSheetId="5">'[59]Главн'!$H$41</definedName>
    <definedName name="lgot5">'[21]Главн'!$H$41</definedName>
    <definedName name="name" localSheetId="2">'[46]Главн'!$C$2</definedName>
    <definedName name="name" localSheetId="9">'[32]Главн'!$C$2</definedName>
    <definedName name="name" localSheetId="5">'[59]Главн'!$C$2</definedName>
    <definedName name="name">'[21]Главн'!$C$2</definedName>
    <definedName name="nds1" localSheetId="9">'[32]Главн'!$D$42</definedName>
    <definedName name="nds1" localSheetId="5">'[59]Главн'!$D$42</definedName>
    <definedName name="nds1">'[21]Главн'!$D$42</definedName>
    <definedName name="nds2" localSheetId="9">'[32]Главн'!$E$42</definedName>
    <definedName name="nds2" localSheetId="5">'[59]Главн'!$E$42</definedName>
    <definedName name="nds2">'[21]Главн'!$E$42</definedName>
    <definedName name="nds3" localSheetId="9">'[32]Главн'!$F$42</definedName>
    <definedName name="nds3" localSheetId="5">'[59]Главн'!$F$42</definedName>
    <definedName name="nds3">'[21]Главн'!$F$42</definedName>
    <definedName name="nds4" localSheetId="9">'[32]Главн'!$G$42</definedName>
    <definedName name="nds4" localSheetId="5">'[59]Главн'!$G$42</definedName>
    <definedName name="nds4">'[21]Главн'!$G$42</definedName>
    <definedName name="nds5" localSheetId="9">'[32]Главн'!$H$42</definedName>
    <definedName name="nds5" localSheetId="5">'[59]Главн'!$H$42</definedName>
    <definedName name="nds5">'[21]Главн'!$H$42</definedName>
    <definedName name="nds6" localSheetId="9">'[32]Главн'!$I$42</definedName>
    <definedName name="nds6" localSheetId="5">'[59]Главн'!$I$42</definedName>
    <definedName name="nds6">'[21]Главн'!$I$42</definedName>
    <definedName name="price">'[7]Свод'!$C$11</definedName>
    <definedName name="remont" localSheetId="2">'[46]Амортиз'!$F$125</definedName>
    <definedName name="remont" localSheetId="9">'[32]Амортиз'!$F$125</definedName>
    <definedName name="remont" localSheetId="5">'[59]Амортиз'!$F$125</definedName>
    <definedName name="remont">'[21]Амортиз'!$F$125</definedName>
    <definedName name="RUR" localSheetId="2">'[7]Свод'!#REF!</definedName>
    <definedName name="RUR" localSheetId="4">'[7]Свод'!#REF!</definedName>
    <definedName name="RUR" localSheetId="8">'[7]Свод'!#REF!</definedName>
    <definedName name="RUR" localSheetId="5">'[7]Свод'!#REF!</definedName>
    <definedName name="RUR" localSheetId="6">'[7]Свод'!#REF!</definedName>
    <definedName name="RUR" localSheetId="7">'[7]Свод'!#REF!</definedName>
    <definedName name="RUR">'[7]Свод'!#REF!</definedName>
    <definedName name="USD" localSheetId="9">'[7]Свод'!#REF!</definedName>
    <definedName name="USD">'[12]Осн. пара'!$C$4</definedName>
    <definedName name="valuta" localSheetId="2">'[46]Главн'!$C$21</definedName>
    <definedName name="valuta" localSheetId="9">'[32]Главн'!$C$21</definedName>
    <definedName name="valuta" localSheetId="5">'[59]Главн'!$C$21</definedName>
    <definedName name="valuta">'[21]Главн'!$C$21</definedName>
    <definedName name="valuta2" localSheetId="2">'[46]Главн'!$C$19</definedName>
    <definedName name="valuta2" localSheetId="9">'[32]Главн'!$C$19</definedName>
    <definedName name="valuta2" localSheetId="5">'[59]Главн'!$C$19</definedName>
    <definedName name="valuta2">'[21]Главн'!$C$19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9">#REF!</definedName>
    <definedName name="адм" localSheetId="5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'[48]объекты обществаКокшетау'!#REF!</definedName>
    <definedName name="баланс_стоимость" localSheetId="4">'[23]объекты обществаКокшетау'!#REF!</definedName>
    <definedName name="баланс_стоимость" localSheetId="9">'[34]объекты обществаКокшетау'!#REF!</definedName>
    <definedName name="баланс_стоимость" localSheetId="8">'[23]объекты обществаКокшетау'!#REF!</definedName>
    <definedName name="баланс_стоимость" localSheetId="5">'[61]объекты обществаКокшетау'!#REF!</definedName>
    <definedName name="баланс_стоимость" localSheetId="6">'[23]объекты обществаКокшетау'!#REF!</definedName>
    <definedName name="баланс_стоимость" localSheetId="7">'[23]объекты обществаКокшетау'!#REF!</definedName>
    <definedName name="баланс_стоимость">'[23]объекты обществаКокшетау'!#REF!</definedName>
    <definedName name="бву">'[2]Фин. пок-ли'!$C$17</definedName>
    <definedName name="ВА1" localSheetId="2">#REF!</definedName>
    <definedName name="ВА1">#REF!</definedName>
    <definedName name="Вал" localSheetId="2">#REF!</definedName>
    <definedName name="Вал" localSheetId="9">#REF!</definedName>
    <definedName name="Вал" localSheetId="5">#REF!</definedName>
    <definedName name="Вал">#REF!</definedName>
    <definedName name="ВалП1" localSheetId="2">#REF!</definedName>
    <definedName name="ВалП1" localSheetId="4">#REF!</definedName>
    <definedName name="ВалП1" localSheetId="8">#REF!</definedName>
    <definedName name="ВалП1" localSheetId="5">#REF!</definedName>
    <definedName name="ВалП1" localSheetId="6">#REF!</definedName>
    <definedName name="ВалП1" localSheetId="7">#REF!</definedName>
    <definedName name="ВалП1">#REF!</definedName>
    <definedName name="Валюта" localSheetId="2">#REF!</definedName>
    <definedName name="Валюта">#REF!</definedName>
    <definedName name="вид_инвестиций" localSheetId="2">'[46]Invest'!$C$7:$C$240</definedName>
    <definedName name="вид_инвестиций" localSheetId="9">'[32]Invest'!$C$7:$C$240</definedName>
    <definedName name="вид_инвестиций" localSheetId="5">'[59]Invest'!$C$7:$C$240</definedName>
    <definedName name="вид_инвестиций">'[21]Invest'!$C$7:$C$240</definedName>
    <definedName name="Вита_осн">'[10]ИсхД+'!$A$2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'[46]Граф кап инвестиц'!$B$8:$B$12</definedName>
    <definedName name="вложения" localSheetId="9">'[32]Граф кап инвестиц'!$B$8:$B$12</definedName>
    <definedName name="вложения" localSheetId="5">'[59]Граф кап инвестиц'!$B$8:$B$12</definedName>
    <definedName name="вложения">'[21]Граф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'[48]объекты обществаКокшетау'!#REF!</definedName>
    <definedName name="всего_долл" localSheetId="4">'[23]объекты обществаКокшетау'!#REF!</definedName>
    <definedName name="всего_долл" localSheetId="9">'[34]объекты обществаКокшетау'!#REF!</definedName>
    <definedName name="всего_долл" localSheetId="8">'[23]объекты обществаКокшетау'!#REF!</definedName>
    <definedName name="всего_долл" localSheetId="5">'[61]объекты обществаКокшетау'!#REF!</definedName>
    <definedName name="всего_долл" localSheetId="6">'[23]объекты обществаКокшетау'!#REF!</definedName>
    <definedName name="всего_долл" localSheetId="7">'[23]объекты обществаКокшетау'!#REF!</definedName>
    <definedName name="всего_долл">'[23]объекты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'[5]Осн.показ'!$D$8</definedName>
    <definedName name="год1">'[5]Осн.показ'!$D$9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ср-в!!!'!$B$31+'[11]Дин. оборотн. ср-в!!!'!$B$33</definedName>
    <definedName name="Дебиторская_задолженность_Ст_сть_всех_активов">'[11]Уровень показателей!!!'!$E$18/'[11]Б3!!!'!$C$58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'[11]Б1'!$D$34+'[11]Б1'!$D$35+'[11]Б1'!$D$36+'[11]Б1'!$D$37+'[11]Б1'!$D$38+'[11]Б1'!$D$39</definedName>
    <definedName name="дз1н">'[11]Б1'!$C$34++'[11]Б1'!$C$35+'[11]Б1'!$C$36+'[11]Б1'!$C$37+'[11]Б1'!$C$38+'[11]Б1'!$C$39</definedName>
    <definedName name="дз94к" localSheetId="2">'[11]Б1'!#REF!+'[11]Б1'!#REF!+'[11]Б1'!#REF!+'[11]Б1'!#REF!+'[11]Б1'!#REF!+'[11]Б1'!#REF!+'[11]Б1'!#REF!</definedName>
    <definedName name="дз94к" localSheetId="4">'[11]Б1'!#REF!+'[11]Б1'!#REF!+'[11]Б1'!#REF!+'[11]Б1'!#REF!+'[11]Б1'!#REF!+'[11]Б1'!#REF!+'[11]Б1'!#REF!</definedName>
    <definedName name="дз94к" localSheetId="8">'[11]Б1'!#REF!+'[11]Б1'!#REF!+'[11]Б1'!#REF!+'[11]Б1'!#REF!+'[11]Б1'!#REF!+'[11]Б1'!#REF!+'[11]Б1'!#REF!</definedName>
    <definedName name="дз94к" localSheetId="5">'[11]Б1'!#REF!+'[11]Б1'!#REF!+'[11]Б1'!#REF!+'[11]Б1'!#REF!+'[11]Б1'!#REF!+'[11]Б1'!#REF!+'[11]Б1'!#REF!</definedName>
    <definedName name="дз94к" localSheetId="6">'[11]Б1'!#REF!+'[11]Б1'!#REF!+'[11]Б1'!#REF!+'[11]Б1'!#REF!+'[11]Б1'!#REF!+'[11]Б1'!#REF!+'[11]Б1'!#REF!</definedName>
    <definedName name="дз94к" localSheetId="7">'[11]Б1'!#REF!+'[11]Б1'!#REF!+'[11]Б1'!#REF!+'[11]Б1'!#REF!+'[11]Б1'!#REF!+'[11]Б1'!#REF!+'[11]Б1'!#REF!</definedName>
    <definedName name="дз94к">'[11]Б1'!#REF!+'[11]Б1'!#REF!+'[11]Б1'!#REF!+'[11]Б1'!#REF!+'[11]Б1'!#REF!+'[11]Б1'!#REF!+'[11]Б1'!#REF!</definedName>
    <definedName name="дз94н" localSheetId="2">'[11]Б1'!#REF!+'[11]Б1'!#REF!+'[11]Б1'!#REF!+'[11]Б1'!#REF!+'[11]Б1'!#REF!+'[11]Б1'!#REF!+'[11]Б1'!#REF!</definedName>
    <definedName name="дз94н" localSheetId="4">'[11]Б1'!#REF!+'[11]Б1'!#REF!+'[11]Б1'!#REF!+'[11]Б1'!#REF!+'[11]Б1'!#REF!+'[11]Б1'!#REF!+'[11]Б1'!#REF!</definedName>
    <definedName name="дз94н" localSheetId="8">'[11]Б1'!#REF!+'[11]Б1'!#REF!+'[11]Б1'!#REF!+'[11]Б1'!#REF!+'[11]Б1'!#REF!+'[11]Б1'!#REF!+'[11]Б1'!#REF!</definedName>
    <definedName name="дз94н" localSheetId="5">'[11]Б1'!#REF!+'[11]Б1'!#REF!+'[11]Б1'!#REF!+'[11]Б1'!#REF!+'[11]Б1'!#REF!+'[11]Б1'!#REF!+'[11]Б1'!#REF!</definedName>
    <definedName name="дз94н" localSheetId="6">'[11]Б1'!#REF!+'[11]Б1'!#REF!+'[11]Б1'!#REF!+'[11]Б1'!#REF!+'[11]Б1'!#REF!+'[11]Б1'!#REF!+'[11]Б1'!#REF!</definedName>
    <definedName name="дз94н" localSheetId="7">'[11]Б1'!#REF!+'[11]Б1'!#REF!+'[11]Б1'!#REF!+'[11]Б1'!#REF!+'[11]Б1'!#REF!+'[11]Б1'!#REF!+'[11]Б1'!#REF!</definedName>
    <definedName name="дз94н">'[11]Б1'!#REF!+'[11]Б1'!#REF!+'[11]Б1'!#REF!+'[11]Б1'!#REF!+'[11]Б1'!#REF!+'[11]Б1'!#REF!+'[11]Б1'!#REF!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9">'[35]Исх'!$C$16</definedName>
    <definedName name="долл" localSheetId="8">#REF!</definedName>
    <definedName name="долл" localSheetId="5">#REF!</definedName>
    <definedName name="долл" localSheetId="6">#REF!</definedName>
    <definedName name="долл" localSheetId="7">'ФОТ'!#REF!</definedName>
    <definedName name="долл">#REF!</definedName>
    <definedName name="доллар" localSheetId="2">'[49]Параметры'!$C$18</definedName>
    <definedName name="доллар" localSheetId="9">'[36]Параметры'!$C$18</definedName>
    <definedName name="доллар" localSheetId="5">'[62]Параметры'!$C$18</definedName>
    <definedName name="доллар">'[25]Параметры'!$C$18</definedName>
    <definedName name="дох" localSheetId="2">#REF!</definedName>
    <definedName name="дох" localSheetId="9">#REF!</definedName>
    <definedName name="дох" localSheetId="5">#REF!</definedName>
    <definedName name="дох">#REF!</definedName>
    <definedName name="дсша" localSheetId="2">#REF!</definedName>
    <definedName name="дсша" localSheetId="4">#REF!</definedName>
    <definedName name="дсша" localSheetId="9">#REF!</definedName>
    <definedName name="дсша" localSheetId="8">#REF!</definedName>
    <definedName name="дсша" localSheetId="5">#REF!</definedName>
    <definedName name="дсша" localSheetId="6">#REF!</definedName>
    <definedName name="дсша" localSheetId="7">#REF!</definedName>
    <definedName name="дсша">#REF!</definedName>
    <definedName name="дт" localSheetId="2">'[50]пост. пар.'!$C$13</definedName>
    <definedName name="дт" localSheetId="9">'[37]пост. пар.'!$C$13</definedName>
    <definedName name="дт" localSheetId="5">'[63]пост. пар.'!$C$13</definedName>
    <definedName name="дт">'[26]пост. пар.'!$C$13</definedName>
    <definedName name="евр">'[5]Осн.показ'!$D$13</definedName>
    <definedName name="евро" localSheetId="2">#REF!</definedName>
    <definedName name="евро" localSheetId="12">'[8]Общ_Д'!$B$16</definedName>
    <definedName name="евро">#REF!</definedName>
    <definedName name="ждд" localSheetId="2">#REF!</definedName>
    <definedName name="ждд" localSheetId="9">#REF!</definedName>
    <definedName name="ждд" localSheetId="5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10">'Инв'!$A:$A,'Инв'!$4:$4</definedName>
    <definedName name="_xlnm.Print_Titles" localSheetId="9">'кр'!$A:$B</definedName>
    <definedName name="_xlnm.Print_Titles" localSheetId="5">'Производство'!$A:$A</definedName>
    <definedName name="_xlnm.Print_Titles" localSheetId="7">'ФОТ'!$4:$4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'[46]Главн'!$C$8</definedName>
    <definedName name="Инвестор1" localSheetId="9">'[32]Главн'!$C$8</definedName>
    <definedName name="Инвестор1" localSheetId="5">'[59]Главн'!$C$8</definedName>
    <definedName name="Инвестор1">'[21]Главн'!$C$8</definedName>
    <definedName name="Инвестор2" localSheetId="2">'[46]Главн'!$C$9</definedName>
    <definedName name="Инвестор2" localSheetId="9">'[32]Главн'!$C$9</definedName>
    <definedName name="Инвестор2" localSheetId="5">'[59]Главн'!$C$9</definedName>
    <definedName name="Инвестор2">'[21]Главн'!$C$9</definedName>
    <definedName name="Инвестор3" localSheetId="2">'[46]Главн'!$C$10</definedName>
    <definedName name="Инвестор3" localSheetId="9">'[32]Главн'!$C$10</definedName>
    <definedName name="Инвестор3" localSheetId="5">'[59]Главн'!$C$10</definedName>
    <definedName name="Инвестор3">'[21]Главн'!$C$10</definedName>
    <definedName name="инициатор" localSheetId="2">'[46]Главн'!$C$7</definedName>
    <definedName name="инициатор" localSheetId="9">'[32]Главн'!$C$7</definedName>
    <definedName name="инициатор" localSheetId="5">'[59]Главн'!$C$7</definedName>
    <definedName name="инициатор">'[21]Главн'!$C$7</definedName>
    <definedName name="Инт" localSheetId="2">#REF!</definedName>
    <definedName name="Инт" localSheetId="4">#REF!</definedName>
    <definedName name="Инт" localSheetId="8">#REF!</definedName>
    <definedName name="Инт" localSheetId="5">#REF!</definedName>
    <definedName name="Инт" localSheetId="6">#REF!</definedName>
    <definedName name="Инт" localSheetId="7">#REF!</definedName>
    <definedName name="Инт">#REF!</definedName>
    <definedName name="итого_в_долл" localSheetId="2">'[48]объекты обществаКокшетау'!#REF!</definedName>
    <definedName name="итого_в_долл" localSheetId="4">'[23]объекты обществаКокшетау'!#REF!</definedName>
    <definedName name="итого_в_долл" localSheetId="9">'[34]объекты обществаКокшетау'!#REF!</definedName>
    <definedName name="итого_в_долл" localSheetId="8">'[23]объекты обществаКокшетау'!#REF!</definedName>
    <definedName name="итого_в_долл" localSheetId="5">'[61]объекты обществаКокшетау'!#REF!</definedName>
    <definedName name="итого_в_долл" localSheetId="6">'[23]объекты обществаКокшетау'!#REF!</definedName>
    <definedName name="итого_в_долл" localSheetId="7">'[23]объекты обществаКокшетау'!#REF!</definedName>
    <definedName name="итого_в_долл">'[23]объекты обществаКокшетау'!#REF!</definedName>
    <definedName name="июль" localSheetId="2">#REF!</definedName>
    <definedName name="июль" localSheetId="9">#REF!</definedName>
    <definedName name="июль" localSheetId="5">#REF!</definedName>
    <definedName name="июль">#REF!</definedName>
    <definedName name="Каламкас" localSheetId="2">'[27]объекты обществаКокшетау'!#REF!</definedName>
    <definedName name="Каламкас" localSheetId="4">'[27]объекты обществаКокшетау'!#REF!</definedName>
    <definedName name="Каламкас" localSheetId="8">'[27]объекты обществаКокшетау'!#REF!</definedName>
    <definedName name="Каламкас" localSheetId="5">'[27]объекты обществаКокшетау'!#REF!</definedName>
    <definedName name="Каламкас" localSheetId="6">'[27]объекты обществаКокшетау'!#REF!</definedName>
    <definedName name="Каламкас" localSheetId="7">'[27]объекты обществаКокшетау'!#REF!</definedName>
    <definedName name="Каламкас">'[27]объекты обществаКокшетау'!#REF!</definedName>
    <definedName name="кндс" localSheetId="2">#REF!</definedName>
    <definedName name="кндс" localSheetId="4">#REF!</definedName>
    <definedName name="кндс" localSheetId="9">'[5]Осн.показ'!$D$15</definedName>
    <definedName name="кндс" localSheetId="8">#REF!</definedName>
    <definedName name="кндс" localSheetId="5">#REF!</definedName>
    <definedName name="кндс" localSheetId="6">#REF!</definedName>
    <definedName name="кндс" localSheetId="7">'ФОТ'!#REF!</definedName>
    <definedName name="кндс">#REF!</definedName>
    <definedName name="кндс1" localSheetId="2">'[51]Исх'!$C$8</definedName>
    <definedName name="кндс1" localSheetId="11">'[17]Исх'!$C$8</definedName>
    <definedName name="кндс1" localSheetId="9">'[35]Исх'!$C$8</definedName>
    <definedName name="кндс1" localSheetId="5">'[65]Исх'!$C$8</definedName>
    <definedName name="кндс1">'[15]Исх'!$C$8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8">#REF!</definedName>
    <definedName name="компресс" localSheetId="5">#REF!</definedName>
    <definedName name="компресс" localSheetId="6">#REF!</definedName>
    <definedName name="компресс" localSheetId="7">#REF!</definedName>
    <definedName name="компресс">#REF!</definedName>
    <definedName name="кре" localSheetId="2">#REF!</definedName>
    <definedName name="кре" localSheetId="9">#REF!</definedName>
    <definedName name="кре" localSheetId="5">#REF!</definedName>
    <definedName name="кре">#REF!</definedName>
    <definedName name="Кредит_перераб" localSheetId="2">'[9]Общ_Д'!#REF!</definedName>
    <definedName name="Кредит_перераб" localSheetId="4">'[9]Общ_Д'!#REF!</definedName>
    <definedName name="Кредит_перераб" localSheetId="8">'[9]Общ_Д'!#REF!</definedName>
    <definedName name="Кредит_перераб" localSheetId="5">'[9]Общ_Д'!#REF!</definedName>
    <definedName name="Кредит_перераб" localSheetId="6">'[9]Общ_Д'!#REF!</definedName>
    <definedName name="Кредит_перераб" localSheetId="7">'[9]Общ_Д'!#REF!</definedName>
    <definedName name="Кредит_перераб">'[9]Общ_Д'!#REF!</definedName>
    <definedName name="Кредит_произв" localSheetId="2">'[9]Общ_Д'!#REF!</definedName>
    <definedName name="Кредит_произв" localSheetId="4">'[9]Общ_Д'!#REF!</definedName>
    <definedName name="Кредит_произв" localSheetId="8">'[9]Общ_Д'!#REF!</definedName>
    <definedName name="Кредит_произв" localSheetId="5">'[9]Общ_Д'!#REF!</definedName>
    <definedName name="Кредит_произв" localSheetId="6">'[9]Общ_Д'!#REF!</definedName>
    <definedName name="Кредит_произв" localSheetId="7">'[9]Общ_Д'!#REF!</definedName>
    <definedName name="Кредит_произв">'[9]Общ_Д'!#REF!</definedName>
    <definedName name="Кредит_производство" localSheetId="2">'[9]Общ_Д'!#REF!</definedName>
    <definedName name="Кредит_производство" localSheetId="4">'[9]Общ_Д'!#REF!</definedName>
    <definedName name="Кредит_производство" localSheetId="8">'[9]Общ_Д'!#REF!</definedName>
    <definedName name="Кредит_производство" localSheetId="5">'[9]Общ_Д'!#REF!</definedName>
    <definedName name="Кредит_производство" localSheetId="6">'[9]Общ_Д'!#REF!</definedName>
    <definedName name="Кредит_производство" localSheetId="7">'[9]Общ_Д'!#REF!</definedName>
    <definedName name="Кредит_производство">'[9]Общ_Д'!#REF!</definedName>
    <definedName name="кросс_курс">'[4]Приобретение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'[4]Перем. затраты'!$P$45</definedName>
    <definedName name="курс" localSheetId="2">'[52]Исх'!$C$5</definedName>
    <definedName name="курс" localSheetId="11">'[19]Данные,рентаб'!$C$23</definedName>
    <definedName name="Курс" localSheetId="9">'[13]Перем. затраты'!$P$45</definedName>
    <definedName name="курс" localSheetId="5">'[58]Исх'!$C$5</definedName>
    <definedName name="курс">'Исх'!#REF!</definedName>
    <definedName name="курс_доллара_сегодня" localSheetId="2">'[53]константы'!$A$15</definedName>
    <definedName name="курс_доллара_сегодня" localSheetId="9">'[39]константы'!$A$15</definedName>
    <definedName name="курс_доллара_сегодня" localSheetId="5">'[66]константы'!$A$15</definedName>
    <definedName name="курс_доллара_сегодня">'[28]константы'!$A$15</definedName>
    <definedName name="курс_НБРК" localSheetId="2">'[48]объекты обществаКокшетау'!#REF!</definedName>
    <definedName name="курс_НБРК" localSheetId="4">'[23]объекты обществаКокшетау'!#REF!</definedName>
    <definedName name="курс_НБРК" localSheetId="9">'[34]объекты обществаКокшетау'!#REF!</definedName>
    <definedName name="курс_НБРК" localSheetId="8">'[23]объекты обществаКокшетау'!#REF!</definedName>
    <definedName name="курс_НБРК" localSheetId="5">'[61]объекты обществаКокшетау'!#REF!</definedName>
    <definedName name="курс_НБРК" localSheetId="6">'[23]объекты обществаКокшетау'!#REF!</definedName>
    <definedName name="курс_НБРК" localSheetId="7">'[23]объекты обществаКокшетау'!#REF!</definedName>
    <definedName name="курс_НБРК">'[23]объекты обществаКокшетау'!#REF!</definedName>
    <definedName name="Курс1" localSheetId="2">#REF!</definedName>
    <definedName name="Курс1" localSheetId="4">#REF!</definedName>
    <definedName name="Курс1" localSheetId="9">#REF!</definedName>
    <definedName name="Курс1" localSheetId="8">#REF!</definedName>
    <definedName name="Курс1" localSheetId="5">#REF!</definedName>
    <definedName name="Курс1" localSheetId="6">#REF!</definedName>
    <definedName name="Курс1" localSheetId="7">#REF!</definedName>
    <definedName name="Курс1">#REF!</definedName>
    <definedName name="Курс10" localSheetId="2">'[14]Финпоки1'!#REF!</definedName>
    <definedName name="Курс10" localSheetId="4">'[14]Финпоки1'!#REF!</definedName>
    <definedName name="Курс10" localSheetId="8">'[14]Финпоки1'!#REF!</definedName>
    <definedName name="Курс10" localSheetId="5">'[14]Финпоки1'!#REF!</definedName>
    <definedName name="Курс10" localSheetId="6">'[14]Финпоки1'!#REF!</definedName>
    <definedName name="Курс10" localSheetId="7">'[14]Финпоки1'!#REF!</definedName>
    <definedName name="Курс10">'[14]Финпоки1'!#REF!</definedName>
    <definedName name="курсСША" localSheetId="2">#REF!</definedName>
    <definedName name="курсСША" localSheetId="9">#REF!</definedName>
    <definedName name="курсСША" localSheetId="5">#REF!</definedName>
    <definedName name="курсСША">#REF!</definedName>
    <definedName name="мес" localSheetId="2">'[54]Осн.показ'!$C$10</definedName>
    <definedName name="мес" localSheetId="9">'[41]Осн.показ'!$C$10</definedName>
    <definedName name="мес" localSheetId="5">'[67]Осн.показ'!$C$10</definedName>
    <definedName name="мес">'[24]Осн.показ'!$C$10</definedName>
    <definedName name="мес1" localSheetId="2">'[54]Осн.показ'!$C$11</definedName>
    <definedName name="мес1" localSheetId="9">'[41]Осн.показ'!$C$11</definedName>
    <definedName name="мес1" localSheetId="5">'[67]Осн.показ'!$C$11</definedName>
    <definedName name="мес1">'[24]Осн.показ'!$C$11</definedName>
    <definedName name="металлоформы" localSheetId="2">#REF!</definedName>
    <definedName name="металлоформы" localSheetId="4">#REF!</definedName>
    <definedName name="металлоформы" localSheetId="8">#REF!</definedName>
    <definedName name="металлоформы" localSheetId="5">#REF!</definedName>
    <definedName name="металлоформы" localSheetId="6">#REF!</definedName>
    <definedName name="металлоформы" localSheetId="7">#REF!</definedName>
    <definedName name="металлоформы">#REF!</definedName>
    <definedName name="МОВ" localSheetId="2">#REF!</definedName>
    <definedName name="МОВ">#REF!</definedName>
    <definedName name="Мощность" localSheetId="2">'[55]Параметры'!$C$2</definedName>
    <definedName name="Мощность" localSheetId="9">'[42]Параметры'!$C$2</definedName>
    <definedName name="Мощность" localSheetId="5">'[68]Параметры'!$C$2</definedName>
    <definedName name="Мощность">'[29]Параметры'!$C$2</definedName>
    <definedName name="МРП">'[4]Перем.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'[52]Исх'!$C$8</definedName>
    <definedName name="ндс" localSheetId="11">'[18]Исх'!$C$9</definedName>
    <definedName name="НДС" localSheetId="9">'[13]Перем. затраты'!$P$47</definedName>
    <definedName name="ндс" localSheetId="5">'[58]Исх'!$C$7</definedName>
    <definedName name="НДС" localSheetId="7">'ФОТ'!#REF!</definedName>
    <definedName name="ндс">'Исх'!$C$18</definedName>
    <definedName name="НДС_2003" localSheetId="9">'[13]Перем. затраты'!$P$48</definedName>
    <definedName name="НДС_2003" localSheetId="12">'[13]Перем. затраты'!$P$48</definedName>
    <definedName name="НДС_2003">'[4]Перем. затраты'!$P$48</definedName>
    <definedName name="НДС1" localSheetId="2">'[51]Исх'!$C$7</definedName>
    <definedName name="НДС1" localSheetId="11">'[17]Исх'!$C$7</definedName>
    <definedName name="НДС1" localSheetId="9">'[35]Исх'!$C$7</definedName>
    <definedName name="НДС1" localSheetId="5">'[65]Исх'!$C$7</definedName>
    <definedName name="НДС1">'[15]Исх'!$C$7</definedName>
    <definedName name="НДС2">'[4]Перем.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'1-Ф3'!$A$1:$AU$34</definedName>
    <definedName name="_xlnm.Print_Area" localSheetId="1">'2-ф2'!$A$1:$AU$27</definedName>
    <definedName name="_xlnm.Print_Area" localSheetId="2">'3-Баланс'!$A$1:$AU$26</definedName>
    <definedName name="_xlnm.Print_Area" localSheetId="10">'Инв'!$A$1:$R$22</definedName>
    <definedName name="_xlnm.Print_Area" localSheetId="3">'Исх'!$A$1:$M$54</definedName>
    <definedName name="_xlnm.Print_Area" localSheetId="9">'кр'!$A$1:$DO$29</definedName>
    <definedName name="_xlnm.Print_Area" localSheetId="12">'Осн.пок-ли'!$A$1:$J$66</definedName>
    <definedName name="_xlnm.Print_Area" localSheetId="8">'Пост'!$A$1:$V$50</definedName>
    <definedName name="_xlnm.Print_Area" localSheetId="5">'Производство'!$A$1:$AU$13</definedName>
    <definedName name="_xlnm.Print_Area" localSheetId="6">'Расх перем'!$A$1:$G$16</definedName>
    <definedName name="_xlnm.Print_Area" localSheetId="7">'ФОТ'!$A$1:$K$22</definedName>
    <definedName name="обм" localSheetId="2">'3-Баланс'!#REF!</definedName>
    <definedName name="обм" localSheetId="11">'[16]ф2'!#REF!</definedName>
    <definedName name="обм" localSheetId="4">'2-ф2'!#REF!</definedName>
    <definedName name="обм" localSheetId="9">'[40]ф2'!#REF!</definedName>
    <definedName name="обм" localSheetId="8">'2-ф2'!#REF!</definedName>
    <definedName name="обм" localSheetId="5">'Производство'!#REF!</definedName>
    <definedName name="обм" localSheetId="6">'2-ф2'!#REF!</definedName>
    <definedName name="обм" localSheetId="7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8">#REF!</definedName>
    <definedName name="оборудование_ЖД" localSheetId="5">#REF!</definedName>
    <definedName name="оборудование_ЖД" localSheetId="6">#REF!</definedName>
    <definedName name="оборудование_ЖД" localSheetId="7">#REF!</definedName>
    <definedName name="оборудование_ЖД">#REF!</definedName>
    <definedName name="общ" localSheetId="2">#REF!</definedName>
    <definedName name="общ" localSheetId="9">#REF!</definedName>
    <definedName name="общ" localSheetId="5">#REF!</definedName>
    <definedName name="общ">#REF!</definedName>
    <definedName name="объем">'[12]Осн. пара'!$C$6</definedName>
    <definedName name="объемгод">'[12]Осн. пара'!$C$7</definedName>
    <definedName name="ОС" localSheetId="2">'[54]ОС'!$D$27</definedName>
    <definedName name="ОС" localSheetId="9">'[41]ОС'!$D$27</definedName>
    <definedName name="ОС" localSheetId="5">'[67]ОС'!$D$27</definedName>
    <definedName name="ОС">'[24]ОС'!$D$27</definedName>
    <definedName name="отрасль">'[11]Б1'!$B$6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'[4]Перем. затраты'!$K$3</definedName>
    <definedName name="подстанция" localSheetId="2">#REF!</definedName>
    <definedName name="подстанция" localSheetId="4">#REF!</definedName>
    <definedName name="подстанция" localSheetId="8">#REF!</definedName>
    <definedName name="подстанция" localSheetId="5">#REF!</definedName>
    <definedName name="подстанция" localSheetId="6">#REF!</definedName>
    <definedName name="подстанция" localSheetId="7">#REF!</definedName>
    <definedName name="подстанция">#REF!</definedName>
    <definedName name="Показатели" localSheetId="2">'[46]Главн'!$C$2</definedName>
    <definedName name="Показатели" localSheetId="9">'[32]Главн'!$C$2</definedName>
    <definedName name="Показатели" localSheetId="5">'[59]Главн'!$C$2</definedName>
    <definedName name="Показатели">'[21]Главн'!$C$2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'[56]Осн. пара'!$C$9</definedName>
    <definedName name="раб" localSheetId="9">'[43]Осн. пара'!$C$9</definedName>
    <definedName name="раб" localSheetId="5">'[69]Осн. пара'!$C$9</definedName>
    <definedName name="раб">'[30]Осн. пара'!$C$9</definedName>
    <definedName name="рас" localSheetId="2">'[54]Осн.показ'!$C$12</definedName>
    <definedName name="рас" localSheetId="9">'[41]Осн.показ'!$C$12</definedName>
    <definedName name="рас" localSheetId="5">'[67]Осн.показ'!$C$12</definedName>
    <definedName name="рас">'[24]Осн.показ'!$C$12</definedName>
    <definedName name="рбу" localSheetId="2">#REF!</definedName>
    <definedName name="рбу" localSheetId="4">#REF!</definedName>
    <definedName name="рбу" localSheetId="8">#REF!</definedName>
    <definedName name="рбу" localSheetId="5">#REF!</definedName>
    <definedName name="рбу" localSheetId="6">#REF!</definedName>
    <definedName name="рбу" localSheetId="7">#REF!</definedName>
    <definedName name="рбу">#REF!</definedName>
    <definedName name="рос" localSheetId="2">'[50]пост. пар.'!$C$8</definedName>
    <definedName name="рос" localSheetId="9">'[37]пост. пар.'!$C$8</definedName>
    <definedName name="рос" localSheetId="5">'[63]пост. пар.'!$C$8</definedName>
    <definedName name="рос">'[26]пост. пар.'!$C$8</definedName>
    <definedName name="руб" localSheetId="2">#REF!</definedName>
    <definedName name="руб" localSheetId="4">#REF!</definedName>
    <definedName name="руб" localSheetId="8">#REF!</definedName>
    <definedName name="руб" localSheetId="5">#REF!</definedName>
    <definedName name="руб" localSheetId="6">#REF!</definedName>
    <definedName name="руб" localSheetId="7">'ФОТ'!#REF!</definedName>
    <definedName name="руб">#REF!</definedName>
    <definedName name="себ" localSheetId="2">'3-Баланс'!#REF!</definedName>
    <definedName name="себ" localSheetId="11">'[16]ф2'!#REF!</definedName>
    <definedName name="себ" localSheetId="4">'2-ф2'!#REF!</definedName>
    <definedName name="себ" localSheetId="9">'[40]ф2'!#REF!</definedName>
    <definedName name="себ" localSheetId="8">'2-ф2'!#REF!</definedName>
    <definedName name="себ" localSheetId="5">'Производство'!#REF!</definedName>
    <definedName name="себ" localSheetId="6">'2-ф2'!#REF!</definedName>
    <definedName name="себ" localSheetId="7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8">#REF!</definedName>
    <definedName name="склад_продукции" localSheetId="5">#REF!</definedName>
    <definedName name="склад_продукции" localSheetId="6">#REF!</definedName>
    <definedName name="склад_продукции" localSheetId="7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8">#REF!</definedName>
    <definedName name="склад_цем" localSheetId="5">#REF!</definedName>
    <definedName name="склад_цем" localSheetId="6">#REF!</definedName>
    <definedName name="склад_цем" localSheetId="7">#REF!</definedName>
    <definedName name="склад_цем">#REF!</definedName>
    <definedName name="соц1" localSheetId="2">'[46]Главн'!$D$48</definedName>
    <definedName name="соц1" localSheetId="9">'[32]Главн'!$D$48</definedName>
    <definedName name="соц1" localSheetId="5">'[59]Главн'!$D$48</definedName>
    <definedName name="соц1">'[21]Главн'!$D$48</definedName>
    <definedName name="соц2" localSheetId="2">'[46]Главн'!$E$48</definedName>
    <definedName name="соц2" localSheetId="9">'[32]Главн'!$E$48</definedName>
    <definedName name="соц2" localSheetId="5">'[59]Главн'!$E$48</definedName>
    <definedName name="соц2">'[21]Главн'!$E$48</definedName>
    <definedName name="соц3" localSheetId="2">'[46]Главн'!$F$48</definedName>
    <definedName name="соц3" localSheetId="9">'[32]Главн'!$F$48</definedName>
    <definedName name="соц3" localSheetId="5">'[59]Главн'!$F$48</definedName>
    <definedName name="соц3">'[21]Главн'!$F$48</definedName>
    <definedName name="соц4" localSheetId="2">'[46]Главн'!$G$48</definedName>
    <definedName name="соц4" localSheetId="9">'[32]Главн'!$G$48</definedName>
    <definedName name="соц4" localSheetId="5">'[59]Главн'!$G$48</definedName>
    <definedName name="соц4">'[21]Главн'!$G$48</definedName>
    <definedName name="соц5" localSheetId="2">'[46]Главн'!$H$48</definedName>
    <definedName name="соц5" localSheetId="9">'[32]Главн'!$H$48</definedName>
    <definedName name="соц5" localSheetId="5">'[59]Главн'!$H$48</definedName>
    <definedName name="соц5">'[21]Главн'!$H$48</definedName>
    <definedName name="спецодежда" localSheetId="2">#REF!</definedName>
    <definedName name="спецодежда" localSheetId="4">#REF!</definedName>
    <definedName name="спецодежда" localSheetId="8">#REF!</definedName>
    <definedName name="спецодежда" localSheetId="5">#REF!</definedName>
    <definedName name="спецодежда" localSheetId="6">#REF!</definedName>
    <definedName name="спецодежда" localSheetId="7">#REF!</definedName>
    <definedName name="спецодежда">#REF!</definedName>
    <definedName name="Срок_инвестиций1" localSheetId="2">'[46]Invest'!$I$7:$I$240</definedName>
    <definedName name="Срок_инвестиций1" localSheetId="9">'[32]Invest'!$I$7:$I$240</definedName>
    <definedName name="Срок_инвестиций1" localSheetId="5">'[59]Invest'!$I$7:$I$240</definedName>
    <definedName name="Срок_инвестиций1">'[21]Invest'!$I$7:$I$240</definedName>
    <definedName name="Срок_инвестиций2" localSheetId="2">'[46]Invest'!$M$7:$M$240</definedName>
    <definedName name="Срок_инвестиций2" localSheetId="9">'[32]Invest'!$M$7:$M$240</definedName>
    <definedName name="Срок_инвестиций2" localSheetId="5">'[59]Invest'!$M$7:$M$240</definedName>
    <definedName name="Срок_инвестиций2">'[21]Invest'!$M$7:$M$240</definedName>
    <definedName name="Срок_инвестиций3" localSheetId="2">'[46]Invest'!$Q$7:$Q$240</definedName>
    <definedName name="Срок_инвестиций3" localSheetId="9">'[32]Invest'!$Q$7:$Q$240</definedName>
    <definedName name="Срок_инвестиций3" localSheetId="5">'[59]Invest'!$Q$7:$Q$240</definedName>
    <definedName name="Срок_инвестиций3">'[21]Invest'!$Q$7:$Q$240</definedName>
    <definedName name="Срок_инвестиций4" localSheetId="2">'[46]Invest'!$U$7:$U$240</definedName>
    <definedName name="Срок_инвестиций4" localSheetId="9">'[32]Invest'!$U$7:$U$240</definedName>
    <definedName name="Срок_инвестиций4" localSheetId="5">'[59]Invest'!$U$7:$U$240</definedName>
    <definedName name="Срок_инвестиций4">'[21]Invest'!$U$7:$U$240</definedName>
    <definedName name="СрокПроекта" localSheetId="2">#REF!</definedName>
    <definedName name="СрокПроекта">#REF!</definedName>
    <definedName name="ст" localSheetId="2">'[57]Норм'!$F$9</definedName>
    <definedName name="ст" localSheetId="9">'[44]Норм'!$F$9</definedName>
    <definedName name="ст" localSheetId="5">'[70]Норм'!$F$9</definedName>
    <definedName name="ст">'[31]Норм'!$F$9</definedName>
    <definedName name="СтавкаПроцента1">'[8]L-1'!$B$6</definedName>
    <definedName name="стоимость_в_долларах" localSheetId="2">'[48]объекты обществаКокшетау'!#REF!</definedName>
    <definedName name="стоимость_в_долларах" localSheetId="4">'[23]объекты обществаКокшетау'!#REF!</definedName>
    <definedName name="стоимость_в_долларах" localSheetId="9">'[34]объекты обществаКокшетау'!#REF!</definedName>
    <definedName name="стоимость_в_долларах" localSheetId="8">'[23]объекты обществаКокшетау'!#REF!</definedName>
    <definedName name="стоимость_в_долларах" localSheetId="5">'[61]объекты обществаКокшетау'!#REF!</definedName>
    <definedName name="стоимость_в_долларах" localSheetId="6">'[23]объекты обществаКокшетау'!#REF!</definedName>
    <definedName name="стоимость_в_долларах" localSheetId="7">'[23]объекты обществаКокшетау'!#REF!</definedName>
    <definedName name="стоимость_в_долларах">'[23]объекты обществаКокшетау'!#REF!</definedName>
    <definedName name="Сумма_инвест1" localSheetId="2">'[46]Invest'!$H$7:$H$240</definedName>
    <definedName name="Сумма_инвест1" localSheetId="9">'[32]Invest'!$H$7:$H$240</definedName>
    <definedName name="Сумма_инвест1" localSheetId="5">'[59]Invest'!$H$7:$H$240</definedName>
    <definedName name="Сумма_инвест1">'[21]Invest'!$H$7:$H$240</definedName>
    <definedName name="Сумма_инвест2" localSheetId="2">'[46]Invest'!$L$7:$L$240</definedName>
    <definedName name="Сумма_инвест2" localSheetId="9">'[32]Invest'!$L$7:$L$240</definedName>
    <definedName name="Сумма_инвест2" localSheetId="5">'[59]Invest'!$L$7:$L$240</definedName>
    <definedName name="Сумма_инвест2">'[21]Invest'!$L$7:$L$240</definedName>
    <definedName name="Сумма_инвест3" localSheetId="2">'[46]Invest'!$P$7:$P$240</definedName>
    <definedName name="Сумма_инвест3" localSheetId="9">'[32]Invest'!$P$7:$P$240</definedName>
    <definedName name="Сумма_инвест3" localSheetId="5">'[59]Invest'!$P$7:$P$240</definedName>
    <definedName name="Сумма_инвест3">'[21]Invest'!$P$7:$P$240</definedName>
    <definedName name="Сумма_инвест4" localSheetId="2">'[46]Invest'!$T$7:$T$240</definedName>
    <definedName name="Сумма_инвест4" localSheetId="9">'[32]Invest'!$T$7:$T$240</definedName>
    <definedName name="Сумма_инвест4" localSheetId="5">'[59]Invest'!$T$7:$T$240</definedName>
    <definedName name="Сумма_инвест4">'[21]Invest'!$T$7:$T$240</definedName>
    <definedName name="СуммаКредита1">'[8]L-1'!$B$5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'[53]константы'!$F$2:$G$30</definedName>
    <definedName name="таблица_цен" localSheetId="9">'[39]константы'!$F$2:$G$30</definedName>
    <definedName name="таблица_цен" localSheetId="5">'[66]константы'!$F$2:$G$30</definedName>
    <definedName name="таблица_цен">'[28]константы'!$F$2:$G$30</definedName>
    <definedName name="тг" localSheetId="2">#REF!</definedName>
    <definedName name="тг" localSheetId="4">#REF!</definedName>
    <definedName name="тг" localSheetId="8">#REF!</definedName>
    <definedName name="тг" localSheetId="5">#REF!</definedName>
    <definedName name="тг" localSheetId="6">#REF!</definedName>
    <definedName name="тг" localSheetId="7">'ФОТ'!#REF!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8">#REF!</definedName>
    <definedName name="ТовРеал1" localSheetId="5">#REF!</definedName>
    <definedName name="ТовРеал1" localSheetId="6">#REF!</definedName>
    <definedName name="ТовРеал1" localSheetId="7">#REF!</definedName>
    <definedName name="ТовРеал1">#REF!</definedName>
    <definedName name="убн96">'[10]Нетто3!!!'!$A$2</definedName>
    <definedName name="УК1" localSheetId="2">#REF!</definedName>
    <definedName name="УК1">#REF!</definedName>
    <definedName name="цен">'[5]Осн.показ'!$D$5</definedName>
    <definedName name="цен1" localSheetId="2">'[54]Осн.показ'!$C$6</definedName>
    <definedName name="цен1" localSheetId="9">'[41]Осн.показ'!$C$6</definedName>
    <definedName name="цен1" localSheetId="5">'[67]Осн.показ'!$C$6</definedName>
    <definedName name="цен1">'[24]Осн.показ'!$C$6</definedName>
    <definedName name="цена">'[12]Осн. пара'!$C$2</definedName>
    <definedName name="Цена_бобов" localSheetId="2">'[9]Дох'!#REF!</definedName>
    <definedName name="Цена_бобов" localSheetId="4">'[9]Дох'!#REF!</definedName>
    <definedName name="Цена_бобов" localSheetId="8">'[9]Дох'!#REF!</definedName>
    <definedName name="Цена_бобов" localSheetId="5">'[9]Дох'!#REF!</definedName>
    <definedName name="Цена_бобов" localSheetId="6">'[9]Дох'!#REF!</definedName>
    <definedName name="Цена_бобов" localSheetId="7">'[9]Дох'!#REF!</definedName>
    <definedName name="Цена_бобов">'[9]Дох'!#REF!</definedName>
    <definedName name="Цена_реал" localSheetId="2">#REF!</definedName>
    <definedName name="Цена_реал">#REF!</definedName>
    <definedName name="цена1">'[12]Осн. пара'!$C$13</definedName>
    <definedName name="цех_пби" localSheetId="2">#REF!</definedName>
    <definedName name="цех_пби" localSheetId="4">#REF!</definedName>
    <definedName name="цех_пби" localSheetId="8">#REF!</definedName>
    <definedName name="цех_пби" localSheetId="5">#REF!</definedName>
    <definedName name="цех_пби" localSheetId="6">#REF!</definedName>
    <definedName name="цех_пби" localSheetId="7">#REF!</definedName>
    <definedName name="цех_пби">#REF!</definedName>
    <definedName name="цр" localSheetId="2">#REF!</definedName>
    <definedName name="цр">#REF!</definedName>
  </definedNames>
  <calcPr fullCalcOnLoad="1"/>
</workbook>
</file>

<file path=xl/comments1.xml><?xml version="1.0" encoding="utf-8"?>
<comments xmlns="http://schemas.openxmlformats.org/spreadsheetml/2006/main">
  <authors>
    <author>МСБ консалтинг</author>
  </authors>
  <commentList>
    <comment ref="O12" authorId="0">
      <text>
        <r>
          <rPr>
            <b/>
            <sz val="9"/>
            <rFont val="Tahoma"/>
            <family val="2"/>
          </rPr>
          <t>МСБ консалтинг:</t>
        </r>
        <r>
          <rPr>
            <sz val="9"/>
            <rFont val="Tahoma"/>
            <family val="2"/>
          </rPr>
          <t xml:space="preserve">
запас на 1,5-2 месяца</t>
        </r>
      </text>
    </comment>
  </commentList>
</comments>
</file>

<file path=xl/sharedStrings.xml><?xml version="1.0" encoding="utf-8"?>
<sst xmlns="http://schemas.openxmlformats.org/spreadsheetml/2006/main" count="595" uniqueCount="375">
  <si>
    <t>Итого</t>
  </si>
  <si>
    <t>ВСЕГО</t>
  </si>
  <si>
    <t>Налог на имущество</t>
  </si>
  <si>
    <t xml:space="preserve">Наименование          </t>
  </si>
  <si>
    <t>Чистый доход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</si>
  <si>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</si>
  <si>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</si>
  <si>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</si>
  <si>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</si>
  <si>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</si>
  <si>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</si>
  <si>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</si>
  <si>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итого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</si>
  <si>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</si>
  <si>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</si>
  <si>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</si>
  <si>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</si>
  <si>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</si>
  <si>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</si>
  <si>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>Результат операционной деятельности</t>
  </si>
  <si>
    <t>Инвестиционная деятельность</t>
  </si>
  <si>
    <t xml:space="preserve">Приобретение ОС и НА 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</si>
  <si>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</si>
  <si>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</si>
  <si>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</si>
  <si>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</si>
  <si>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</si>
  <si>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</si>
  <si>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Показатель</t>
  </si>
  <si>
    <t>Период окупаемости (дисконтированный)</t>
  </si>
  <si>
    <t>Сальдо по НДС</t>
  </si>
  <si>
    <t>Капитализ-я %</t>
  </si>
  <si>
    <t>Кумулятивный чистый доход</t>
  </si>
  <si>
    <t>Выплаты по дивидендам учредителям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</si>
  <si>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</si>
  <si>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</si>
  <si>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</si>
  <si>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</si>
  <si>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</si>
  <si>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</si>
  <si>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</si>
  <si>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</si>
  <si>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</si>
  <si>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без НДС</t>
  </si>
  <si>
    <t>Затраты</t>
  </si>
  <si>
    <t>ФОТ</t>
  </si>
  <si>
    <t>Прочие непредвиденные расходы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</si>
  <si>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</si>
  <si>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</si>
  <si>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</si>
  <si>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</si>
  <si>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</si>
  <si>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</si>
  <si>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</si>
  <si>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Проценты за кредит</t>
  </si>
  <si>
    <t>Остаток на конец отчетного периода</t>
  </si>
  <si>
    <t xml:space="preserve">Поступления по вкладам учредителей </t>
  </si>
  <si>
    <t>Ставка по кредиту</t>
  </si>
  <si>
    <t>max</t>
  </si>
  <si>
    <t>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</si>
  <si>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</si>
  <si>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</si>
  <si>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</si>
  <si>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</si>
  <si>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</si>
  <si>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</si>
  <si>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</si>
  <si>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</si>
  <si>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</si>
  <si>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</si>
  <si>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</si>
  <si>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</si>
  <si>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</si>
  <si>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</si>
  <si>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</si>
  <si>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</si>
  <si>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</si>
  <si>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</si>
  <si>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</si>
  <si>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Расходы на рекламу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</si>
  <si>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</si>
  <si>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</si>
  <si>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</si>
  <si>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</si>
  <si>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</si>
  <si>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</si>
  <si>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</si>
  <si>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</si>
  <si>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</si>
  <si>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</si>
  <si>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</si>
  <si>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</si>
  <si>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</si>
  <si>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</si>
  <si>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</si>
  <si>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</si>
  <si>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</si>
  <si>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</si>
  <si>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$ тыс.</t>
  </si>
  <si>
    <t>Освоение и погашение кредитных ресурсов, тыс.тг.</t>
  </si>
  <si>
    <t>Обслуживание и ремонт ОС</t>
  </si>
  <si>
    <t>Налог на транспорт</t>
  </si>
  <si>
    <t>Курс доллар/тенге</t>
  </si>
  <si>
    <t>Безубыточность</t>
  </si>
  <si>
    <t>Заемные средства</t>
  </si>
  <si>
    <t>Оборудование</t>
  </si>
  <si>
    <t>Освоение</t>
  </si>
  <si>
    <t>Вспомогательный персонал</t>
  </si>
  <si>
    <t>Всего по персоналу</t>
  </si>
  <si>
    <t>Здание</t>
  </si>
  <si>
    <t>Отчет о доходах и расходах</t>
  </si>
  <si>
    <t>год</t>
  </si>
  <si>
    <t>МЗП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</si>
  <si>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</si>
  <si>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</si>
  <si>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</si>
  <si>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</si>
  <si>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</si>
  <si>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</si>
  <si>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Прочие краткосрочные активы</t>
  </si>
  <si>
    <t>Долгосрочные активы</t>
  </si>
  <si>
    <t>Основные средства</t>
  </si>
  <si>
    <t>Прочие долгосрочные активы</t>
  </si>
  <si>
    <t>Пассивы</t>
  </si>
  <si>
    <t>Краткосрочные обязательства</t>
  </si>
  <si>
    <t>Обязательства по налогам</t>
  </si>
  <si>
    <t>Краткосрочная кредиторская задолженность</t>
  </si>
  <si>
    <t>Обязательства по кредитам</t>
  </si>
  <si>
    <t>Прочие краткосрочные обязательства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</si>
  <si>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</si>
  <si>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</si>
  <si>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</si>
  <si>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</si>
  <si>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</si>
  <si>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</si>
  <si>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</si>
  <si>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</si>
  <si>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</si>
  <si>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</si>
  <si>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</si>
  <si>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</si>
  <si>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</si>
  <si>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</si>
  <si>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</si>
  <si>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Расходы периода</t>
  </si>
  <si>
    <t>Административные расходы</t>
  </si>
  <si>
    <t>ЧДП по Ф3</t>
  </si>
  <si>
    <t>Постоянные расходы в месяц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</si>
  <si>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</si>
  <si>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</si>
  <si>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</si>
  <si>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</si>
  <si>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</si>
  <si>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</si>
  <si>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</si>
  <si>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Кол-во</t>
  </si>
  <si>
    <t>Цена</t>
  </si>
  <si>
    <t>Курс рос.рубль/тенге</t>
  </si>
  <si>
    <t>метод WACC</t>
  </si>
  <si>
    <t>Выплаты по кредитам</t>
  </si>
  <si>
    <t>Поступления по кредитам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</si>
  <si>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</si>
  <si>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</si>
  <si>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</si>
  <si>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</si>
  <si>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</si>
  <si>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</si>
  <si>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</si>
  <si>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</si>
  <si>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</si>
  <si>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</si>
  <si>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</si>
  <si>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</si>
  <si>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</si>
  <si>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Льготный период погашения процентов, мес.</t>
  </si>
  <si>
    <t>Льготный период погашения основного долга, мес.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</si>
  <si>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</si>
  <si>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</si>
  <si>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</si>
  <si>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</si>
  <si>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Календарный план реализации проекта</t>
  </si>
  <si>
    <t>Мероприятия\Месяц</t>
  </si>
  <si>
    <t>Решение вопроса финансирования</t>
  </si>
  <si>
    <t>Получение кредита</t>
  </si>
  <si>
    <t>Здания и сооружения</t>
  </si>
  <si>
    <t>Наименование</t>
  </si>
  <si>
    <t>Величина налоговых поступлений за 7 лет, тыс.тг.</t>
  </si>
  <si>
    <t>Налоги и обязательные платежи от ФОТ</t>
  </si>
  <si>
    <t>Вид налога</t>
  </si>
  <si>
    <t>Сумма, тыс.тг.</t>
  </si>
  <si>
    <t>Техника</t>
  </si>
  <si>
    <t>Продукция</t>
  </si>
  <si>
    <t>Производство</t>
  </si>
  <si>
    <t>ед.изм.</t>
  </si>
  <si>
    <t>Срок погашения, лет</t>
  </si>
  <si>
    <t>Переменные расходы</t>
  </si>
  <si>
    <t>Производительность</t>
  </si>
  <si>
    <t>Цены на продукцию</t>
  </si>
  <si>
    <t>Загрузка, %</t>
  </si>
  <si>
    <t>Сырье и материалы</t>
  </si>
  <si>
    <t>Мощность, %</t>
  </si>
  <si>
    <t>дн./мес.</t>
  </si>
  <si>
    <t>Доход до выплаты налогов</t>
  </si>
  <si>
    <t>Наименование материала</t>
  </si>
  <si>
    <t>Расходы, тыс.тг.</t>
  </si>
  <si>
    <t>Источник финансирования, тыс.тг.</t>
  </si>
  <si>
    <t>Примечание</t>
  </si>
  <si>
    <t>Доля собственного участия</t>
  </si>
  <si>
    <t>Время работы в мес.</t>
  </si>
  <si>
    <t>КПН</t>
  </si>
  <si>
    <t>Месячная производительность</t>
  </si>
  <si>
    <t>Цены</t>
  </si>
  <si>
    <t>Коммунальные расходы</t>
  </si>
  <si>
    <t>Корпоративный подоходный налог</t>
  </si>
  <si>
    <t>НК РК</t>
  </si>
  <si>
    <t>Ед.изм.</t>
  </si>
  <si>
    <t>с НДС</t>
  </si>
  <si>
    <t>Цена, тенге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</si>
  <si>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</si>
  <si>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</si>
  <si>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</si>
  <si>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</si>
  <si>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</si>
  <si>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</si>
  <si>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</si>
  <si>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</si>
  <si>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</si>
  <si>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</si>
  <si>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</si>
  <si>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</si>
  <si>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</si>
  <si>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исходя из дневной производительности и дней работы</t>
  </si>
  <si>
    <t>цена, тг.</t>
  </si>
  <si>
    <t>Производство и реализация</t>
  </si>
  <si>
    <t>Реализация</t>
  </si>
  <si>
    <t>контроль</t>
  </si>
  <si>
    <t>Оператор</t>
  </si>
  <si>
    <t>Доля в выручке</t>
  </si>
  <si>
    <t>Итого себестоимость полная</t>
  </si>
  <si>
    <t>Постоянные расходы на единицу</t>
  </si>
  <si>
    <t>Постоянные расходы всего, тыс.тг.</t>
  </si>
  <si>
    <t>Контроль</t>
  </si>
  <si>
    <t>ГСМ</t>
  </si>
  <si>
    <t>кВт</t>
  </si>
  <si>
    <t>Фактор сезонности продаж</t>
  </si>
  <si>
    <t>Директор</t>
  </si>
  <si>
    <t>Главный бухгалтер</t>
  </si>
  <si>
    <t>Водитель</t>
  </si>
  <si>
    <t>Рентабельность, %</t>
  </si>
  <si>
    <t>Спецодежда, перчатки, хоз.товары</t>
  </si>
  <si>
    <t>Услуги банка</t>
  </si>
  <si>
    <t>Канц.товары</t>
  </si>
  <si>
    <t>Незавершенное строительство</t>
  </si>
  <si>
    <t>Аннуитет</t>
  </si>
  <si>
    <t>Погашение ОД равными долями</t>
  </si>
  <si>
    <t>аннуитет</t>
  </si>
  <si>
    <t>Финансовые показатели</t>
  </si>
  <si>
    <t>Проведение маркетингового исследования и разработка бизнес-плана</t>
  </si>
  <si>
    <t>Первоначальные инвестиции</t>
  </si>
  <si>
    <t>Постоянные расходы в год</t>
  </si>
  <si>
    <t>тг./кВт*ч с НДС</t>
  </si>
  <si>
    <t>Продолжительность 1 смены</t>
  </si>
  <si>
    <t>час</t>
  </si>
  <si>
    <t>Прибыль, тг./ед.</t>
  </si>
  <si>
    <t>Количество смен</t>
  </si>
  <si>
    <t>смен/сутки</t>
  </si>
  <si>
    <t>Электроэнергия</t>
  </si>
  <si>
    <t>ДТ за оборудование</t>
  </si>
  <si>
    <t>Ввод ОС (с НДС)</t>
  </si>
  <si>
    <t>СВОД</t>
  </si>
  <si>
    <t>Транш 1</t>
  </si>
  <si>
    <t>Транш 2</t>
  </si>
  <si>
    <t>Основные параметры</t>
  </si>
  <si>
    <t>Параметр</t>
  </si>
  <si>
    <t>Условия кредитования</t>
  </si>
  <si>
    <t>Выручка, тыс.тг.</t>
  </si>
  <si>
    <t>Валовая прибыль, тыс.тг.</t>
  </si>
  <si>
    <t>Чистая прибыль, тыс.тг.</t>
  </si>
  <si>
    <t>Чистая рентабельность, %</t>
  </si>
  <si>
    <t>Показатели эффективности проекта</t>
  </si>
  <si>
    <t>Планируемая программа производства</t>
  </si>
  <si>
    <t>июл</t>
  </si>
  <si>
    <t>авг</t>
  </si>
  <si>
    <t>сен</t>
  </si>
  <si>
    <t>окт</t>
  </si>
  <si>
    <t>ноя</t>
  </si>
  <si>
    <t>дек</t>
  </si>
  <si>
    <t>янв</t>
  </si>
  <si>
    <t>2013 год</t>
  </si>
  <si>
    <t>% повышения</t>
  </si>
  <si>
    <t>ведение счета + снятие наличных</t>
  </si>
  <si>
    <t>буклеты, флаера</t>
  </si>
  <si>
    <t>Услуги охранной фирмы</t>
  </si>
  <si>
    <t>Доля от год продаж</t>
  </si>
  <si>
    <t>В среднем</t>
  </si>
  <si>
    <t>Себестоимость, тг./ед.</t>
  </si>
  <si>
    <t>производственная</t>
  </si>
  <si>
    <t>полная</t>
  </si>
  <si>
    <t>чистая</t>
  </si>
  <si>
    <t>Цена, тг.</t>
  </si>
  <si>
    <t>НБ РК</t>
  </si>
  <si>
    <t>Курс кит.юань/тенге</t>
  </si>
  <si>
    <t>Ввод ОС (без НДС)</t>
  </si>
  <si>
    <t>300 дней в году</t>
  </si>
  <si>
    <t>Нормы, нормативы</t>
  </si>
  <si>
    <t>Обслуживающий персонал</t>
  </si>
  <si>
    <t>Мощность оборудования</t>
  </si>
  <si>
    <t>Расход электроэнергии</t>
  </si>
  <si>
    <t>кВт*ч/мес</t>
  </si>
  <si>
    <t>7% субсидирование</t>
  </si>
  <si>
    <t>Остаток денежных средств на начало</t>
  </si>
  <si>
    <t>Собственные средства</t>
  </si>
  <si>
    <t>Инвестиции в основной капитал</t>
  </si>
  <si>
    <t>Чистый денежный поток (к изъятию), тыс.тг.</t>
  </si>
  <si>
    <t>Индекс окупаемости инвестиций (PI)</t>
  </si>
  <si>
    <t>2014 год</t>
  </si>
  <si>
    <t>Оплата за оборудование</t>
  </si>
  <si>
    <t>Начало производства</t>
  </si>
  <si>
    <t>Начало продаж</t>
  </si>
  <si>
    <t>Поставка оборудования</t>
  </si>
  <si>
    <t>Производственный персонал</t>
  </si>
  <si>
    <t>https://sites.google.com/site/gofroservice/home/oborudovanie-dla-proizvodstva-pasty-dla-rucek</t>
  </si>
  <si>
    <t>https://sites.google.com/site/gofroservice/sterzni</t>
  </si>
  <si>
    <t>Машина литья под давлением + экструдер</t>
  </si>
  <si>
    <t>Оборудование для производства держателя ручки FP-300</t>
  </si>
  <si>
    <t>Центробежная машина</t>
  </si>
  <si>
    <t>Сборочная машина стержня</t>
  </si>
  <si>
    <t>Ручка шариковая</t>
  </si>
  <si>
    <t>шт/мин</t>
  </si>
  <si>
    <t>25-30 шт/мин</t>
  </si>
  <si>
    <t>шт/час</t>
  </si>
  <si>
    <t>тыс.шт/мес</t>
  </si>
  <si>
    <t>тг/шт (с НДС)</t>
  </si>
  <si>
    <t>Чернила</t>
  </si>
  <si>
    <t>Полипропилен</t>
  </si>
  <si>
    <t>Медный наконечник с шариком</t>
  </si>
  <si>
    <t>Пигмент</t>
  </si>
  <si>
    <t>тг/мл (с НДС)</t>
  </si>
  <si>
    <t>тг/г (с НДС)</t>
  </si>
  <si>
    <t>тг./г (с НДС)</t>
  </si>
  <si>
    <t>от 30 до 75 руб/кг</t>
  </si>
  <si>
    <t>http://www.atyrauenergo.kz/page.php?page_id=289&amp;lang=1</t>
  </si>
  <si>
    <t>http://www.86007machine.com/cpxx.php?xzq=4&amp;id=232</t>
  </si>
  <si>
    <t>на 1 ручку</t>
  </si>
  <si>
    <t>мл/шт</t>
  </si>
  <si>
    <t>г/шт</t>
  </si>
  <si>
    <t>шт/шт</t>
  </si>
  <si>
    <t>шт</t>
  </si>
  <si>
    <t>для школы и офиса</t>
  </si>
  <si>
    <t>тыс.шт.</t>
  </si>
  <si>
    <t>Остаток продукции</t>
  </si>
  <si>
    <t>г</t>
  </si>
  <si>
    <t>мл</t>
  </si>
  <si>
    <t>кВт*ч</t>
  </si>
  <si>
    <t>Норма расхода на 1 шт</t>
  </si>
  <si>
    <t>Сумма на 1 шт, тг.</t>
  </si>
  <si>
    <t>Электрик-механик</t>
  </si>
  <si>
    <t>Аренда помещения</t>
  </si>
  <si>
    <t>теплоэнергия</t>
  </si>
  <si>
    <t>тревожная кнопка</t>
  </si>
  <si>
    <t>Авто для развозки (Минивэн б/у)</t>
  </si>
  <si>
    <t>из расчета 10 л в день</t>
  </si>
  <si>
    <t>150 м2 * 1 000 тг/м2</t>
  </si>
  <si>
    <t>Производство школьных и офисных канцелярских товаров</t>
  </si>
  <si>
    <t>Показатель (3 год реализации проекта)</t>
  </si>
  <si>
    <t>Налог на транспорт, прочие налоги и сборы</t>
  </si>
  <si>
    <t>Ручка шариковая, тыс.шт.</t>
  </si>
  <si>
    <t>Приобретение техники</t>
  </si>
  <si>
    <t>Поиск и найм персонала</t>
  </si>
  <si>
    <t>Поиск и аренда помещения</t>
  </si>
  <si>
    <t>Доход от реализации</t>
  </si>
  <si>
    <t>Полная себестоимость</t>
  </si>
  <si>
    <t>Тип погашения основного долга</t>
  </si>
  <si>
    <t>Доход от реализации продукции</t>
  </si>
  <si>
    <t>Себестоимость реализ. продукции</t>
  </si>
</sst>
</file>

<file path=xl/styles.xml><?xml version="1.0" encoding="utf-8"?>
<styleSheet xmlns="http://schemas.openxmlformats.org/spreadsheetml/2006/main">
  <numFmts count="5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#,##0.0"/>
    <numFmt numFmtId="178" formatCode="#,##0.0_ ;[Red]\-#,##0.0\ "/>
    <numFmt numFmtId="179" formatCode="&quot;\&quot;#,##0;[Red]&quot;\&quot;\-#,##0"/>
    <numFmt numFmtId="180" formatCode="&quot;\&quot;#,##0.00;[Red]&quot;\&quot;\-#,##0.00"/>
    <numFmt numFmtId="181" formatCode="&quot;See Note &quot;\ #"/>
    <numFmt numFmtId="182" formatCode="\$\ #,##0"/>
    <numFmt numFmtId="183" formatCode="_-* #,##0.00[$€]_-;\-* #,##0.00[$€]_-;_-* &quot;-&quot;??[$€]_-;_-@_-"/>
    <numFmt numFmtId="184" formatCode="#,##0.000_ ;[Red]\-#,##0.000\ "/>
    <numFmt numFmtId="185" formatCode="#,##0.000"/>
    <numFmt numFmtId="186" formatCode="0.0000"/>
    <numFmt numFmtId="187" formatCode="0.000"/>
    <numFmt numFmtId="188" formatCode="0.000%"/>
    <numFmt numFmtId="189" formatCode="0.0000%"/>
    <numFmt numFmtId="190" formatCode="0.00000"/>
    <numFmt numFmtId="191" formatCode="0.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[$-FC19]d\ mmmm\ yyyy\ &quot;г.&quot;"/>
    <numFmt numFmtId="196" formatCode="[$-419]mmmm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"/>
    <numFmt numFmtId="202" formatCode="0.00000000"/>
    <numFmt numFmtId="203" formatCode="_-* #,##0.0000_р_._-;\-* #,##0.0000_р_._-;_-* &quot;-&quot;??_р_._-;_-@_-"/>
    <numFmt numFmtId="204" formatCode="_-* #,##0\ _€_-;\-* #,##0\ _€_-;_-* &quot;-&quot;??\ _€_-;_-@_-"/>
    <numFmt numFmtId="205" formatCode="_-* #,##0.00\ _€_-;\-* #,##0.00\ _€_-;_-* &quot;-&quot;??\ _€_-;_-@_-"/>
    <numFmt numFmtId="206" formatCode="[$-419]mmmm\ yyyy;@"/>
    <numFmt numFmtId="207" formatCode="0.0000000000"/>
    <numFmt numFmtId="208" formatCode="0.000000000"/>
    <numFmt numFmtId="209" formatCode="#,##0_ ;\-#,##0\ "/>
    <numFmt numFmtId="210" formatCode="#,##0.0_ ;\-#,##0.0\ "/>
    <numFmt numFmtId="211" formatCode="#,##0.0000"/>
    <numFmt numFmtId="212" formatCode="#,##0.00000"/>
    <numFmt numFmtId="213" formatCode="#,##0.000000"/>
    <numFmt numFmtId="214" formatCode="#,##0.000000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  <family val="0"/>
    </font>
    <font>
      <sz val="8"/>
      <name val="Helv"/>
      <family val="2"/>
    </font>
    <font>
      <sz val="8"/>
      <name val="Times New Roman"/>
      <family val="1"/>
    </font>
    <font>
      <sz val="12"/>
      <name val="Times New Roman Cyr"/>
      <family val="0"/>
    </font>
    <font>
      <sz val="10"/>
      <name val="Geneva"/>
      <family val="0"/>
    </font>
    <font>
      <sz val="11"/>
      <name val="lr oSVbN"/>
      <family val="3"/>
    </font>
    <font>
      <sz val="8"/>
      <name val="Arial"/>
      <family val="2"/>
    </font>
    <font>
      <sz val="9"/>
      <color indexed="8"/>
      <name val="Futuris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"/>
      <family val="2"/>
    </font>
    <font>
      <sz val="10"/>
      <name val="Calibri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"/>
      <family val="2"/>
    </font>
    <font>
      <sz val="8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83" fontId="0" fillId="0" borderId="0" applyFont="0" applyFill="0" applyBorder="0" applyAlignment="0" applyProtection="0"/>
    <xf numFmtId="0" fontId="7" fillId="0" borderId="0">
      <alignment/>
      <protection/>
    </xf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8" fillId="0" borderId="0">
      <alignment/>
      <protection/>
    </xf>
    <xf numFmtId="181" fontId="9" fillId="0" borderId="0">
      <alignment horizontal="left"/>
      <protection/>
    </xf>
    <xf numFmtId="182" fontId="10" fillId="0" borderId="0">
      <alignment/>
      <protection/>
    </xf>
    <xf numFmtId="181" fontId="9" fillId="0" borderId="0">
      <alignment horizontal="left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" fillId="0" borderId="0">
      <alignment/>
      <protection/>
    </xf>
    <xf numFmtId="0" fontId="64" fillId="0" borderId="0" applyNumberFormat="0" applyFill="0" applyBorder="0" applyAlignment="0" applyProtection="0"/>
    <xf numFmtId="0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180" fontId="13" fillId="0" borderId="0" applyFont="0" applyFill="0" applyBorder="0" applyAlignment="0" applyProtection="0"/>
    <xf numFmtId="179" fontId="13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16" fillId="0" borderId="0" xfId="71" applyFont="1" applyFill="1" applyBorder="1" applyAlignment="1">
      <alignment/>
      <protection/>
    </xf>
    <xf numFmtId="0" fontId="5" fillId="0" borderId="0" xfId="71" applyFont="1" applyFill="1" applyBorder="1">
      <alignment/>
      <protection/>
    </xf>
    <xf numFmtId="0" fontId="5" fillId="0" borderId="0" xfId="71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center"/>
    </xf>
    <xf numFmtId="0" fontId="17" fillId="0" borderId="0" xfId="69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0" fontId="5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 horizontal="center"/>
      <protection/>
    </xf>
    <xf numFmtId="0" fontId="18" fillId="0" borderId="0" xfId="71" applyFont="1" applyFill="1" applyBorder="1">
      <alignment/>
      <protection/>
    </xf>
    <xf numFmtId="14" fontId="5" fillId="0" borderId="0" xfId="71" applyNumberFormat="1" applyFont="1" applyFill="1" applyBorder="1">
      <alignment/>
      <protection/>
    </xf>
    <xf numFmtId="0" fontId="16" fillId="0" borderId="10" xfId="71" applyFont="1" applyFill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2" fontId="16" fillId="33" borderId="10" xfId="71" applyNumberFormat="1" applyFont="1" applyFill="1" applyBorder="1" applyAlignment="1">
      <alignment wrapText="1"/>
      <protection/>
    </xf>
    <xf numFmtId="3" fontId="16" fillId="33" borderId="10" xfId="71" applyNumberFormat="1" applyFont="1" applyFill="1" applyBorder="1" applyAlignment="1">
      <alignment horizontal="right" wrapText="1"/>
      <protection/>
    </xf>
    <xf numFmtId="0" fontId="16" fillId="33" borderId="10" xfId="71" applyFont="1" applyFill="1" applyBorder="1" applyAlignment="1">
      <alignment horizontal="left" wrapText="1"/>
      <protection/>
    </xf>
    <xf numFmtId="3" fontId="16" fillId="33" borderId="10" xfId="71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34" borderId="11" xfId="71" applyFont="1" applyFill="1" applyBorder="1" applyAlignment="1">
      <alignment vertical="center"/>
      <protection/>
    </xf>
    <xf numFmtId="0" fontId="16" fillId="34" borderId="12" xfId="71" applyFont="1" applyFill="1" applyBorder="1" applyAlignment="1">
      <alignment vertical="center"/>
      <protection/>
    </xf>
    <xf numFmtId="3" fontId="16" fillId="34" borderId="10" xfId="71" applyNumberFormat="1" applyFont="1" applyFill="1" applyBorder="1" applyAlignment="1">
      <alignment vertical="center"/>
      <protection/>
    </xf>
    <xf numFmtId="3" fontId="16" fillId="34" borderId="10" xfId="71" applyNumberFormat="1" applyFont="1" applyFill="1" applyBorder="1" applyAlignment="1">
      <alignment horizontal="right" vertical="center"/>
      <protection/>
    </xf>
    <xf numFmtId="0" fontId="16" fillId="0" borderId="10" xfId="71" applyFont="1" applyFill="1" applyBorder="1" applyAlignment="1">
      <alignment vertical="center" wrapText="1"/>
      <protection/>
    </xf>
    <xf numFmtId="3" fontId="16" fillId="0" borderId="10" xfId="71" applyNumberFormat="1" applyFont="1" applyFill="1" applyBorder="1" applyAlignment="1">
      <alignment horizontal="right" wrapText="1"/>
      <protection/>
    </xf>
    <xf numFmtId="0" fontId="5" fillId="0" borderId="10" xfId="71" applyFont="1" applyFill="1" applyBorder="1" applyAlignment="1">
      <alignment vertical="center" wrapText="1"/>
      <protection/>
    </xf>
    <xf numFmtId="3" fontId="5" fillId="0" borderId="10" xfId="71" applyNumberFormat="1" applyFont="1" applyFill="1" applyBorder="1" applyAlignment="1">
      <alignment horizontal="right"/>
      <protection/>
    </xf>
    <xf numFmtId="0" fontId="16" fillId="0" borderId="10" xfId="71" applyFont="1" applyFill="1" applyBorder="1" applyAlignment="1">
      <alignment horizontal="left" vertical="center" wrapText="1" indent="1"/>
      <protection/>
    </xf>
    <xf numFmtId="3" fontId="16" fillId="0" borderId="10" xfId="71" applyNumberFormat="1" applyFont="1" applyFill="1" applyBorder="1" applyAlignment="1">
      <alignment vertical="center" wrapText="1"/>
      <protection/>
    </xf>
    <xf numFmtId="9" fontId="16" fillId="0" borderId="10" xfId="71" applyNumberFormat="1" applyFont="1" applyFill="1" applyBorder="1" applyAlignment="1">
      <alignment horizontal="right" wrapText="1"/>
      <protection/>
    </xf>
    <xf numFmtId="3" fontId="5" fillId="35" borderId="10" xfId="71" applyNumberFormat="1" applyFont="1" applyFill="1" applyBorder="1" applyAlignment="1">
      <alignment horizontal="right"/>
      <protection/>
    </xf>
    <xf numFmtId="3" fontId="5" fillId="0" borderId="10" xfId="71" applyNumberFormat="1" applyFont="1" applyFill="1" applyBorder="1" applyAlignment="1">
      <alignment horizontal="right" wrapText="1"/>
      <protection/>
    </xf>
    <xf numFmtId="0" fontId="16" fillId="33" borderId="10" xfId="71" applyFont="1" applyFill="1" applyBorder="1" applyAlignment="1">
      <alignment vertical="center" wrapText="1"/>
      <protection/>
    </xf>
    <xf numFmtId="3" fontId="16" fillId="34" borderId="10" xfId="71" applyNumberFormat="1" applyFont="1" applyFill="1" applyBorder="1" applyAlignment="1">
      <alignment horizontal="right" wrapText="1"/>
      <protection/>
    </xf>
    <xf numFmtId="3" fontId="16" fillId="0" borderId="10" xfId="71" applyNumberFormat="1" applyFont="1" applyFill="1" applyBorder="1" applyAlignment="1">
      <alignment horizontal="right"/>
      <protection/>
    </xf>
    <xf numFmtId="0" fontId="5" fillId="0" borderId="10" xfId="71" applyFont="1" applyFill="1" applyBorder="1" applyAlignment="1">
      <alignment wrapText="1"/>
      <protection/>
    </xf>
    <xf numFmtId="0" fontId="16" fillId="33" borderId="10" xfId="71" applyFont="1" applyFill="1" applyBorder="1" applyAlignment="1">
      <alignment wrapText="1"/>
      <protection/>
    </xf>
    <xf numFmtId="1" fontId="19" fillId="0" borderId="11" xfId="71" applyNumberFormat="1" applyFont="1" applyFill="1" applyBorder="1" applyAlignment="1">
      <alignment wrapText="1"/>
      <protection/>
    </xf>
    <xf numFmtId="3" fontId="20" fillId="0" borderId="10" xfId="71" applyNumberFormat="1" applyFont="1" applyFill="1" applyBorder="1" applyAlignment="1">
      <alignment horizontal="right" wrapText="1"/>
      <protection/>
    </xf>
    <xf numFmtId="3" fontId="19" fillId="0" borderId="10" xfId="71" applyNumberFormat="1" applyFont="1" applyFill="1" applyBorder="1" applyAlignment="1">
      <alignment horizontal="right" wrapText="1"/>
      <protection/>
    </xf>
    <xf numFmtId="1" fontId="20" fillId="0" borderId="0" xfId="0" applyNumberFormat="1" applyFont="1" applyFill="1" applyAlignment="1">
      <alignment/>
    </xf>
    <xf numFmtId="0" fontId="5" fillId="0" borderId="10" xfId="71" applyFont="1" applyFill="1" applyBorder="1" applyAlignment="1">
      <alignment vertical="center"/>
      <protection/>
    </xf>
    <xf numFmtId="3" fontId="5" fillId="0" borderId="10" xfId="0" applyNumberFormat="1" applyFont="1" applyFill="1" applyBorder="1" applyAlignment="1">
      <alignment horizontal="right"/>
    </xf>
    <xf numFmtId="172" fontId="5" fillId="0" borderId="11" xfId="65" applyNumberFormat="1" applyFont="1" applyFill="1" applyBorder="1" applyAlignment="1">
      <alignment vertical="center" wrapText="1"/>
      <protection/>
    </xf>
    <xf numFmtId="172" fontId="5" fillId="0" borderId="10" xfId="65" applyNumberFormat="1" applyFont="1" applyFill="1" applyBorder="1" applyAlignment="1">
      <alignment horizontal="right" vertical="center" wrapText="1"/>
      <protection/>
    </xf>
    <xf numFmtId="0" fontId="5" fillId="0" borderId="0" xfId="69" applyFont="1" applyFill="1">
      <alignment/>
      <protection/>
    </xf>
    <xf numFmtId="0" fontId="16" fillId="0" borderId="10" xfId="71" applyFont="1" applyFill="1" applyBorder="1" applyAlignment="1">
      <alignment vertical="center"/>
      <protection/>
    </xf>
    <xf numFmtId="3" fontId="16" fillId="35" borderId="10" xfId="71" applyNumberFormat="1" applyFont="1" applyFill="1" applyBorder="1" applyAlignment="1">
      <alignment horizontal="right" wrapText="1"/>
      <protection/>
    </xf>
    <xf numFmtId="172" fontId="16" fillId="0" borderId="10" xfId="71" applyNumberFormat="1" applyFont="1" applyFill="1" applyBorder="1" applyAlignment="1">
      <alignment horizontal="right" vertical="center"/>
      <protection/>
    </xf>
    <xf numFmtId="172" fontId="16" fillId="0" borderId="10" xfId="71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3" fontId="66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5" fillId="0" borderId="0" xfId="67" applyFont="1">
      <alignment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3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9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/>
    </xf>
    <xf numFmtId="0" fontId="16" fillId="0" borderId="0" xfId="71" applyFont="1" applyFill="1" applyBorder="1" applyAlignment="1">
      <alignment horizontal="left" wrapText="1" shrinkToFit="1"/>
      <protection/>
    </xf>
    <xf numFmtId="0" fontId="5" fillId="0" borderId="0" xfId="71" applyFont="1" applyFill="1" applyBorder="1" applyAlignment="1">
      <alignment wrapText="1" shrinkToFit="1"/>
      <protection/>
    </xf>
    <xf numFmtId="0" fontId="16" fillId="0" borderId="0" xfId="71" applyFont="1" applyFill="1" applyBorder="1" applyAlignment="1">
      <alignment wrapText="1" shrinkToFit="1"/>
      <protection/>
    </xf>
    <xf numFmtId="0" fontId="16" fillId="34" borderId="10" xfId="71" applyFont="1" applyFill="1" applyBorder="1" applyAlignment="1">
      <alignment horizontal="center" vertical="center" wrapText="1" shrinkToFit="1"/>
      <protection/>
    </xf>
    <xf numFmtId="0" fontId="16" fillId="34" borderId="13" xfId="71" applyFont="1" applyFill="1" applyBorder="1" applyAlignment="1">
      <alignment horizontal="center" vertical="center" wrapText="1" shrinkToFit="1"/>
      <protection/>
    </xf>
    <xf numFmtId="172" fontId="16" fillId="34" borderId="10" xfId="71" applyNumberFormat="1" applyFont="1" applyFill="1" applyBorder="1" applyAlignment="1">
      <alignment horizontal="center" vertical="center" wrapText="1" shrinkToFit="1"/>
      <protection/>
    </xf>
    <xf numFmtId="0" fontId="16" fillId="34" borderId="14" xfId="71" applyFont="1" applyFill="1" applyBorder="1" applyAlignment="1">
      <alignment horizontal="center" vertical="center" wrapText="1" shrinkToFit="1"/>
      <protection/>
    </xf>
    <xf numFmtId="3" fontId="5" fillId="34" borderId="10" xfId="71" applyNumberFormat="1" applyFont="1" applyFill="1" applyBorder="1" applyAlignment="1">
      <alignment horizontal="center" vertical="center" wrapText="1" shrinkToFit="1"/>
      <protection/>
    </xf>
    <xf numFmtId="0" fontId="16" fillId="0" borderId="11" xfId="71" applyFont="1" applyFill="1" applyBorder="1" applyAlignment="1">
      <alignment horizontal="left" vertical="top" wrapText="1" shrinkToFit="1"/>
      <protection/>
    </xf>
    <xf numFmtId="3" fontId="16" fillId="0" borderId="10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center"/>
      <protection/>
    </xf>
    <xf numFmtId="172" fontId="16" fillId="0" borderId="0" xfId="71" applyNumberFormat="1" applyFont="1" applyFill="1" applyBorder="1" applyAlignment="1" applyProtection="1">
      <alignment wrapText="1" shrinkToFit="1"/>
      <protection locked="0"/>
    </xf>
    <xf numFmtId="3" fontId="5" fillId="0" borderId="14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top"/>
      <protection/>
    </xf>
    <xf numFmtId="0" fontId="5" fillId="0" borderId="11" xfId="71" applyFont="1" applyFill="1" applyBorder="1" applyAlignment="1">
      <alignment horizontal="left" vertical="top" wrapText="1" shrinkToFit="1"/>
      <protection/>
    </xf>
    <xf numFmtId="172" fontId="16" fillId="0" borderId="10" xfId="71" applyNumberFormat="1" applyFont="1" applyFill="1" applyBorder="1" applyAlignment="1">
      <alignment horizontal="center" vertical="top"/>
      <protection/>
    </xf>
    <xf numFmtId="172" fontId="16" fillId="0" borderId="14" xfId="71" applyNumberFormat="1" applyFont="1" applyFill="1" applyBorder="1" applyAlignment="1">
      <alignment horizontal="center" vertical="top"/>
      <protection/>
    </xf>
    <xf numFmtId="0" fontId="5" fillId="0" borderId="0" xfId="71" applyFont="1" applyFill="1" applyBorder="1" applyAlignment="1">
      <alignment horizontal="left" vertical="top" wrapText="1" shrinkToFit="1"/>
      <protection/>
    </xf>
    <xf numFmtId="0" fontId="5" fillId="0" borderId="0" xfId="71" applyFont="1" applyFill="1" applyBorder="1" applyAlignment="1">
      <alignment horizontal="left" vertical="top"/>
      <protection/>
    </xf>
    <xf numFmtId="0" fontId="21" fillId="0" borderId="0" xfId="71" applyFont="1" applyFill="1" applyBorder="1" applyAlignment="1">
      <alignment wrapText="1" shrinkToFit="1"/>
      <protection/>
    </xf>
    <xf numFmtId="0" fontId="16" fillId="34" borderId="13" xfId="71" applyFont="1" applyFill="1" applyBorder="1" applyAlignment="1">
      <alignment horizontal="center" vertical="center"/>
      <protection/>
    </xf>
    <xf numFmtId="172" fontId="16" fillId="34" borderId="12" xfId="71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6" fillId="34" borderId="10" xfId="71" applyFont="1" applyFill="1" applyBorder="1" applyAlignment="1">
      <alignment horizontal="right" vertical="center"/>
      <protection/>
    </xf>
    <xf numFmtId="3" fontId="5" fillId="34" borderId="10" xfId="71" applyNumberFormat="1" applyFont="1" applyFill="1" applyBorder="1" applyAlignment="1">
      <alignment horizontal="center" vertical="center"/>
      <protection/>
    </xf>
    <xf numFmtId="0" fontId="16" fillId="34" borderId="10" xfId="71" applyFont="1" applyFill="1" applyBorder="1" applyAlignment="1">
      <alignment horizontal="center" vertical="center"/>
      <protection/>
    </xf>
    <xf numFmtId="172" fontId="5" fillId="0" borderId="10" xfId="68" applyNumberFormat="1" applyFont="1" applyBorder="1" applyAlignment="1">
      <alignment vertical="center" wrapText="1" shrinkToFit="1"/>
      <protection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16" fillId="0" borderId="0" xfId="72" applyFont="1" applyFill="1" applyBorder="1" applyAlignment="1">
      <alignment horizontal="left" wrapText="1" shrinkToFit="1"/>
      <protection/>
    </xf>
    <xf numFmtId="0" fontId="5" fillId="0" borderId="0" xfId="72" applyFont="1" applyFill="1" applyBorder="1" applyAlignment="1">
      <alignment wrapText="1" shrinkToFit="1"/>
      <protection/>
    </xf>
    <xf numFmtId="3" fontId="5" fillId="0" borderId="0" xfId="72" applyNumberFormat="1" applyFont="1" applyFill="1" applyBorder="1" applyAlignment="1">
      <alignment wrapText="1" shrinkToFit="1"/>
      <protection/>
    </xf>
    <xf numFmtId="0" fontId="16" fillId="34" borderId="10" xfId="72" applyFont="1" applyFill="1" applyBorder="1" applyAlignment="1">
      <alignment horizontal="center" vertical="center"/>
      <protection/>
    </xf>
    <xf numFmtId="0" fontId="16" fillId="34" borderId="13" xfId="72" applyFont="1" applyFill="1" applyBorder="1" applyAlignment="1">
      <alignment horizontal="center" vertical="center"/>
      <protection/>
    </xf>
    <xf numFmtId="172" fontId="16" fillId="34" borderId="10" xfId="72" applyNumberFormat="1" applyFont="1" applyFill="1" applyBorder="1" applyAlignment="1">
      <alignment horizontal="center" vertical="center"/>
      <protection/>
    </xf>
    <xf numFmtId="0" fontId="16" fillId="34" borderId="14" xfId="72" applyFont="1" applyFill="1" applyBorder="1" applyAlignment="1">
      <alignment horizontal="center" vertical="center"/>
      <protection/>
    </xf>
    <xf numFmtId="3" fontId="5" fillId="34" borderId="10" xfId="72" applyNumberFormat="1" applyFont="1" applyFill="1" applyBorder="1" applyAlignment="1">
      <alignment horizontal="center" vertical="center"/>
      <protection/>
    </xf>
    <xf numFmtId="0" fontId="16" fillId="0" borderId="11" xfId="72" applyFont="1" applyFill="1" applyBorder="1" applyAlignment="1">
      <alignment horizontal="left" vertical="top" wrapText="1" shrinkToFit="1"/>
      <protection/>
    </xf>
    <xf numFmtId="3" fontId="16" fillId="0" borderId="10" xfId="72" applyNumberFormat="1" applyFont="1" applyFill="1" applyBorder="1" applyAlignment="1">
      <alignment horizontal="center" vertical="center"/>
      <protection/>
    </xf>
    <xf numFmtId="3" fontId="16" fillId="0" borderId="14" xfId="72" applyNumberFormat="1" applyFont="1" applyFill="1" applyBorder="1" applyAlignment="1">
      <alignment horizontal="center" vertical="center"/>
      <protection/>
    </xf>
    <xf numFmtId="172" fontId="16" fillId="0" borderId="0" xfId="72" applyNumberFormat="1" applyFont="1" applyFill="1" applyBorder="1" applyAlignment="1" applyProtection="1">
      <alignment wrapText="1" shrinkToFit="1"/>
      <protection locked="0"/>
    </xf>
    <xf numFmtId="0" fontId="16" fillId="0" borderId="0" xfId="72" applyFont="1" applyFill="1" applyBorder="1" applyAlignment="1">
      <alignment wrapText="1" shrinkToFit="1"/>
      <protection/>
    </xf>
    <xf numFmtId="0" fontId="5" fillId="0" borderId="11" xfId="72" applyFont="1" applyFill="1" applyBorder="1" applyAlignment="1">
      <alignment horizontal="left" vertical="top" wrapText="1" indent="1" shrinkToFit="1"/>
      <protection/>
    </xf>
    <xf numFmtId="3" fontId="5" fillId="0" borderId="14" xfId="72" applyNumberFormat="1" applyFont="1" applyFill="1" applyBorder="1" applyAlignment="1">
      <alignment horizontal="center" vertical="center"/>
      <protection/>
    </xf>
    <xf numFmtId="3" fontId="5" fillId="0" borderId="10" xfId="72" applyNumberFormat="1" applyFont="1" applyFill="1" applyBorder="1" applyAlignment="1">
      <alignment horizontal="center" vertical="center"/>
      <protection/>
    </xf>
    <xf numFmtId="0" fontId="5" fillId="0" borderId="0" xfId="72" applyFont="1" applyFill="1" applyBorder="1" applyAlignment="1">
      <alignment horizontal="left" vertical="top" wrapText="1" shrinkToFit="1"/>
      <protection/>
    </xf>
    <xf numFmtId="0" fontId="5" fillId="0" borderId="0" xfId="72" applyFont="1" applyFill="1" applyBorder="1" applyAlignment="1">
      <alignment horizontal="left" vertical="top"/>
      <protection/>
    </xf>
    <xf numFmtId="0" fontId="17" fillId="0" borderId="15" xfId="72" applyFont="1" applyFill="1" applyBorder="1" applyAlignment="1">
      <alignment wrapText="1" shrinkToFit="1"/>
      <protection/>
    </xf>
    <xf numFmtId="0" fontId="5" fillId="0" borderId="15" xfId="72" applyFont="1" applyFill="1" applyBorder="1" applyAlignment="1">
      <alignment wrapText="1" shrinkToFit="1"/>
      <protection/>
    </xf>
    <xf numFmtId="4" fontId="5" fillId="0" borderId="15" xfId="72" applyNumberFormat="1" applyFont="1" applyFill="1" applyBorder="1" applyAlignment="1">
      <alignment wrapText="1" shrinkToFit="1"/>
      <protection/>
    </xf>
    <xf numFmtId="3" fontId="5" fillId="0" borderId="15" xfId="72" applyNumberFormat="1" applyFont="1" applyFill="1" applyBorder="1" applyAlignment="1">
      <alignment wrapText="1" shrinkToFit="1"/>
      <protection/>
    </xf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16" fillId="37" borderId="10" xfId="0" applyFont="1" applyFill="1" applyBorder="1" applyAlignment="1">
      <alignment horizontal="left" vertical="center" wrapText="1" shrinkToFit="1"/>
    </xf>
    <xf numFmtId="3" fontId="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 shrinkToFit="1"/>
    </xf>
    <xf numFmtId="9" fontId="16" fillId="0" borderId="0" xfId="0" applyNumberFormat="1" applyFont="1" applyAlignment="1">
      <alignment/>
    </xf>
    <xf numFmtId="3" fontId="16" fillId="38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16" fillId="34" borderId="10" xfId="0" applyNumberFormat="1" applyFont="1" applyFill="1" applyBorder="1" applyAlignment="1">
      <alignment/>
    </xf>
    <xf numFmtId="177" fontId="5" fillId="0" borderId="0" xfId="0" applyNumberFormat="1" applyFont="1" applyAlignment="1">
      <alignment/>
    </xf>
    <xf numFmtId="173" fontId="5" fillId="33" borderId="10" xfId="77" applyNumberFormat="1" applyFont="1" applyFill="1" applyBorder="1" applyAlignment="1">
      <alignment/>
    </xf>
    <xf numFmtId="209" fontId="5" fillId="0" borderId="0" xfId="0" applyNumberFormat="1" applyFont="1" applyAlignment="1">
      <alignment/>
    </xf>
    <xf numFmtId="173" fontId="5" fillId="0" borderId="10" xfId="77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9" fontId="5" fillId="0" borderId="10" xfId="77" applyFont="1" applyFill="1" applyBorder="1" applyAlignment="1">
      <alignment/>
    </xf>
    <xf numFmtId="194" fontId="5" fillId="0" borderId="10" xfId="83" applyNumberFormat="1" applyFont="1" applyBorder="1" applyAlignment="1">
      <alignment/>
    </xf>
    <xf numFmtId="9" fontId="5" fillId="33" borderId="10" xfId="77" applyFont="1" applyFill="1" applyBorder="1" applyAlignment="1">
      <alignment/>
    </xf>
    <xf numFmtId="0" fontId="5" fillId="0" borderId="0" xfId="66" applyFont="1" applyFill="1" applyProtection="1">
      <alignment/>
      <protection locked="0"/>
    </xf>
    <xf numFmtId="0" fontId="16" fillId="0" borderId="0" xfId="66" applyFont="1" applyFill="1" applyProtection="1">
      <alignment/>
      <protection locked="0"/>
    </xf>
    <xf numFmtId="9" fontId="17" fillId="0" borderId="0" xfId="66" applyNumberFormat="1" applyFont="1" applyFill="1" applyProtection="1">
      <alignment/>
      <protection locked="0"/>
    </xf>
    <xf numFmtId="172" fontId="5" fillId="0" borderId="0" xfId="66" applyNumberFormat="1" applyFont="1" applyFill="1" applyProtection="1">
      <alignment/>
      <protection locked="0"/>
    </xf>
    <xf numFmtId="172" fontId="17" fillId="0" borderId="0" xfId="66" applyNumberFormat="1" applyFont="1" applyFill="1" applyProtection="1">
      <alignment/>
      <protection locked="0"/>
    </xf>
    <xf numFmtId="9" fontId="16" fillId="0" borderId="0" xfId="66" applyNumberFormat="1" applyFont="1" applyFill="1" applyProtection="1">
      <alignment/>
      <protection locked="0"/>
    </xf>
    <xf numFmtId="0" fontId="21" fillId="0" borderId="0" xfId="66" applyFont="1" applyFill="1" applyProtection="1">
      <alignment/>
      <protection locked="0"/>
    </xf>
    <xf numFmtId="0" fontId="16" fillId="0" borderId="10" xfId="66" applyFont="1" applyFill="1" applyBorder="1" applyProtection="1">
      <alignment/>
      <protection locked="0"/>
    </xf>
    <xf numFmtId="3" fontId="5" fillId="0" borderId="10" xfId="66" applyNumberFormat="1" applyFont="1" applyFill="1" applyBorder="1" applyAlignment="1" applyProtection="1">
      <alignment horizontal="center"/>
      <protection locked="0"/>
    </xf>
    <xf numFmtId="0" fontId="5" fillId="0" borderId="10" xfId="66" applyFont="1" applyFill="1" applyBorder="1" applyAlignment="1" applyProtection="1">
      <alignment vertical="top"/>
      <protection locked="0"/>
    </xf>
    <xf numFmtId="173" fontId="17" fillId="0" borderId="0" xfId="66" applyNumberFormat="1" applyFont="1" applyFill="1" applyProtection="1">
      <alignment/>
      <protection locked="0"/>
    </xf>
    <xf numFmtId="0" fontId="5" fillId="0" borderId="10" xfId="70" applyFont="1" applyFill="1" applyBorder="1" applyAlignment="1">
      <alignment horizontal="left" vertical="center" wrapText="1"/>
      <protection/>
    </xf>
    <xf numFmtId="0" fontId="16" fillId="0" borderId="10" xfId="70" applyFont="1" applyFill="1" applyBorder="1" applyAlignment="1">
      <alignment horizontal="center" vertical="center"/>
      <protection/>
    </xf>
    <xf numFmtId="0" fontId="5" fillId="0" borderId="10" xfId="72" applyFont="1" applyFill="1" applyBorder="1" applyAlignment="1">
      <alignment horizontal="center" vertical="center"/>
      <protection/>
    </xf>
    <xf numFmtId="0" fontId="16" fillId="0" borderId="10" xfId="72" applyFont="1" applyFill="1" applyBorder="1" applyAlignment="1">
      <alignment horizontal="center" vertical="center"/>
      <protection/>
    </xf>
    <xf numFmtId="0" fontId="5" fillId="0" borderId="0" xfId="66" applyFont="1" applyFill="1" applyAlignment="1" applyProtection="1">
      <alignment horizontal="center"/>
      <protection locked="0"/>
    </xf>
    <xf numFmtId="172" fontId="5" fillId="0" borderId="10" xfId="70" applyNumberFormat="1" applyFont="1" applyFill="1" applyBorder="1" applyAlignment="1">
      <alignment horizontal="right" vertical="center"/>
      <protection/>
    </xf>
    <xf numFmtId="172" fontId="5" fillId="0" borderId="10" xfId="66" applyNumberFormat="1" applyFont="1" applyFill="1" applyBorder="1" applyAlignment="1" applyProtection="1">
      <alignment/>
      <protection locked="0"/>
    </xf>
    <xf numFmtId="172" fontId="16" fillId="0" borderId="10" xfId="66" applyNumberFormat="1" applyFont="1" applyFill="1" applyBorder="1" applyAlignment="1" applyProtection="1">
      <alignment/>
      <protection locked="0"/>
    </xf>
    <xf numFmtId="0" fontId="5" fillId="0" borderId="0" xfId="66" applyFont="1" applyFill="1" applyAlignment="1" applyProtection="1">
      <alignment/>
      <protection locked="0"/>
    </xf>
    <xf numFmtId="0" fontId="5" fillId="0" borderId="0" xfId="66" applyFont="1" applyFill="1" applyAlignment="1" applyProtection="1">
      <alignment vertical="center"/>
      <protection locked="0"/>
    </xf>
    <xf numFmtId="0" fontId="5" fillId="36" borderId="10" xfId="70" applyFont="1" applyFill="1" applyBorder="1" applyAlignment="1">
      <alignment horizontal="left" vertical="center" wrapText="1" indent="2"/>
      <protection/>
    </xf>
    <xf numFmtId="172" fontId="5" fillId="39" borderId="10" xfId="66" applyNumberFormat="1" applyFont="1" applyFill="1" applyBorder="1" applyAlignment="1" applyProtection="1">
      <alignment/>
      <protection locked="0"/>
    </xf>
    <xf numFmtId="172" fontId="5" fillId="0" borderId="0" xfId="66" applyNumberFormat="1" applyFont="1" applyFill="1" applyAlignment="1" applyProtection="1">
      <alignment/>
      <protection locked="0"/>
    </xf>
    <xf numFmtId="3" fontId="5" fillId="0" borderId="0" xfId="0" applyNumberFormat="1" applyFont="1" applyAlignment="1">
      <alignment/>
    </xf>
    <xf numFmtId="210" fontId="5" fillId="0" borderId="0" xfId="0" applyNumberFormat="1" applyFont="1" applyAlignment="1">
      <alignment/>
    </xf>
    <xf numFmtId="1" fontId="5" fillId="34" borderId="14" xfId="71" applyNumberFormat="1" applyFont="1" applyFill="1" applyBorder="1" applyAlignment="1">
      <alignment horizontal="center" vertical="center" wrapText="1" shrinkToFit="1"/>
      <protection/>
    </xf>
    <xf numFmtId="0" fontId="16" fillId="37" borderId="10" xfId="0" applyFont="1" applyFill="1" applyBorder="1" applyAlignment="1">
      <alignment horizontal="left"/>
    </xf>
    <xf numFmtId="3" fontId="16" fillId="37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16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187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justify" vertical="top" wrapText="1"/>
    </xf>
    <xf numFmtId="9" fontId="23" fillId="0" borderId="10" xfId="0" applyNumberFormat="1" applyFont="1" applyBorder="1" applyAlignment="1">
      <alignment horizontal="right" vertical="top" wrapText="1"/>
    </xf>
    <xf numFmtId="9" fontId="22" fillId="0" borderId="10" xfId="0" applyNumberFormat="1" applyFont="1" applyBorder="1" applyAlignment="1">
      <alignment horizontal="right" vertical="top" wrapText="1"/>
    </xf>
    <xf numFmtId="0" fontId="16" fillId="2" borderId="10" xfId="0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67" applyFont="1" applyBorder="1" applyAlignment="1">
      <alignment vertical="center"/>
      <protection/>
    </xf>
    <xf numFmtId="3" fontId="5" fillId="0" borderId="10" xfId="67" applyNumberFormat="1" applyFont="1" applyFill="1" applyBorder="1" applyAlignment="1">
      <alignment horizontal="right" vertical="center"/>
      <protection/>
    </xf>
    <xf numFmtId="0" fontId="16" fillId="0" borderId="10" xfId="67" applyFont="1" applyBorder="1" applyAlignment="1">
      <alignment vertical="center"/>
      <protection/>
    </xf>
    <xf numFmtId="3" fontId="16" fillId="0" borderId="10" xfId="67" applyNumberFormat="1" applyFont="1" applyFill="1" applyBorder="1" applyAlignment="1">
      <alignment horizontal="right" vertical="center"/>
      <protection/>
    </xf>
    <xf numFmtId="0" fontId="16" fillId="2" borderId="11" xfId="68" applyFont="1" applyFill="1" applyBorder="1" applyAlignment="1">
      <alignment vertical="center"/>
      <protection/>
    </xf>
    <xf numFmtId="3" fontId="16" fillId="2" borderId="10" xfId="68" applyNumberFormat="1" applyFont="1" applyFill="1" applyBorder="1" applyAlignment="1">
      <alignment horizontal="center" vertical="center"/>
      <protection/>
    </xf>
    <xf numFmtId="9" fontId="5" fillId="0" borderId="10" xfId="67" applyNumberFormat="1" applyFont="1" applyFill="1" applyBorder="1" applyAlignment="1">
      <alignment horizontal="right" vertical="center"/>
      <protection/>
    </xf>
    <xf numFmtId="9" fontId="16" fillId="0" borderId="10" xfId="67" applyNumberFormat="1" applyFont="1" applyFill="1" applyBorder="1" applyAlignment="1">
      <alignment horizontal="right" vertical="center"/>
      <protection/>
    </xf>
    <xf numFmtId="177" fontId="5" fillId="0" borderId="10" xfId="67" applyNumberFormat="1" applyFont="1" applyFill="1" applyBorder="1" applyAlignment="1">
      <alignment horizontal="right" vertical="center"/>
      <protection/>
    </xf>
    <xf numFmtId="0" fontId="16" fillId="0" borderId="0" xfId="67" applyFont="1" applyAlignment="1">
      <alignment vertical="center"/>
      <protection/>
    </xf>
    <xf numFmtId="0" fontId="5" fillId="0" borderId="10" xfId="67" applyFont="1" applyBorder="1" applyAlignment="1">
      <alignment vertical="center" wrapText="1"/>
      <protection/>
    </xf>
    <xf numFmtId="9" fontId="5" fillId="2" borderId="10" xfId="67" applyNumberFormat="1" applyFont="1" applyFill="1" applyBorder="1" applyAlignment="1">
      <alignment horizontal="right" vertical="center"/>
      <protection/>
    </xf>
    <xf numFmtId="3" fontId="5" fillId="0" borderId="10" xfId="0" applyNumberFormat="1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177" fontId="5" fillId="35" borderId="10" xfId="0" applyNumberFormat="1" applyFont="1" applyFill="1" applyBorder="1" applyAlignment="1">
      <alignment/>
    </xf>
    <xf numFmtId="0" fontId="46" fillId="0" borderId="0" xfId="72" applyFont="1" applyFill="1" applyBorder="1" applyAlignment="1">
      <alignment/>
      <protection/>
    </xf>
    <xf numFmtId="3" fontId="5" fillId="35" borderId="10" xfId="0" applyNumberFormat="1" applyFont="1" applyFill="1" applyBorder="1" applyAlignment="1">
      <alignment horizontal="center"/>
    </xf>
    <xf numFmtId="0" fontId="16" fillId="0" borderId="0" xfId="72" applyFont="1" applyFill="1" applyBorder="1" applyAlignment="1">
      <alignment horizontal="left"/>
      <protection/>
    </xf>
    <xf numFmtId="0" fontId="5" fillId="0" borderId="0" xfId="72" applyFont="1" applyFill="1" applyBorder="1" applyAlignment="1">
      <alignment/>
      <protection/>
    </xf>
    <xf numFmtId="0" fontId="16" fillId="0" borderId="0" xfId="72" applyFont="1" applyFill="1" applyBorder="1" applyAlignment="1">
      <alignment/>
      <protection/>
    </xf>
    <xf numFmtId="0" fontId="5" fillId="0" borderId="11" xfId="72" applyFont="1" applyFill="1" applyBorder="1" applyAlignment="1">
      <alignment horizontal="left" vertical="top"/>
      <protection/>
    </xf>
    <xf numFmtId="0" fontId="16" fillId="0" borderId="0" xfId="0" applyFont="1" applyAlignment="1">
      <alignment/>
    </xf>
    <xf numFmtId="0" fontId="5" fillId="0" borderId="0" xfId="72" applyFont="1" applyFill="1" applyBorder="1" applyAlignment="1">
      <alignment horizontal="center"/>
      <protection/>
    </xf>
    <xf numFmtId="3" fontId="5" fillId="33" borderId="10" xfId="0" applyNumberFormat="1" applyFont="1" applyFill="1" applyBorder="1" applyAlignment="1">
      <alignment horizontal="right"/>
    </xf>
    <xf numFmtId="173" fontId="5" fillId="33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9" fontId="5" fillId="0" borderId="14" xfId="72" applyNumberFormat="1" applyFont="1" applyFill="1" applyBorder="1" applyAlignment="1">
      <alignment horizontal="center" vertical="center"/>
      <protection/>
    </xf>
    <xf numFmtId="9" fontId="5" fillId="35" borderId="14" xfId="72" applyNumberFormat="1" applyFont="1" applyFill="1" applyBorder="1" applyAlignment="1">
      <alignment horizontal="center" vertical="center"/>
      <protection/>
    </xf>
    <xf numFmtId="3" fontId="24" fillId="0" borderId="0" xfId="0" applyNumberFormat="1" applyFont="1" applyAlignment="1">
      <alignment/>
    </xf>
    <xf numFmtId="177" fontId="5" fillId="0" borderId="10" xfId="0" applyNumberFormat="1" applyFont="1" applyFill="1" applyBorder="1" applyAlignment="1">
      <alignment/>
    </xf>
    <xf numFmtId="0" fontId="16" fillId="2" borderId="10" xfId="0" applyFont="1" applyFill="1" applyBorder="1" applyAlignment="1">
      <alignment horizontal="center" wrapText="1"/>
    </xf>
    <xf numFmtId="177" fontId="16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3" fontId="16" fillId="2" borderId="10" xfId="68" applyNumberFormat="1" applyFont="1" applyFill="1" applyBorder="1" applyAlignment="1">
      <alignment horizontal="center" vertical="center"/>
      <protection/>
    </xf>
    <xf numFmtId="9" fontId="5" fillId="35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/>
    </xf>
    <xf numFmtId="185" fontId="1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16" fillId="0" borderId="11" xfId="72" applyFont="1" applyFill="1" applyBorder="1" applyAlignment="1">
      <alignment horizontal="left" vertical="top"/>
      <protection/>
    </xf>
    <xf numFmtId="0" fontId="16" fillId="0" borderId="10" xfId="72" applyFont="1" applyFill="1" applyBorder="1" applyAlignment="1">
      <alignment horizontal="left" vertical="top"/>
      <protection/>
    </xf>
    <xf numFmtId="3" fontId="5" fillId="0" borderId="10" xfId="72" applyNumberFormat="1" applyFont="1" applyFill="1" applyBorder="1" applyAlignment="1">
      <alignment/>
      <protection/>
    </xf>
    <xf numFmtId="3" fontId="5" fillId="35" borderId="10" xfId="0" applyNumberFormat="1" applyFont="1" applyFill="1" applyBorder="1" applyAlignment="1">
      <alignment vertical="center"/>
    </xf>
    <xf numFmtId="3" fontId="5" fillId="0" borderId="15" xfId="72" applyNumberFormat="1" applyFont="1" applyFill="1" applyBorder="1" applyAlignment="1">
      <alignment/>
      <protection/>
    </xf>
    <xf numFmtId="0" fontId="25" fillId="0" borderId="0" xfId="72" applyFont="1" applyFill="1" applyBorder="1" applyAlignment="1">
      <alignment horizontal="right"/>
      <protection/>
    </xf>
    <xf numFmtId="173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7" fillId="0" borderId="11" xfId="0" applyFont="1" applyBorder="1" applyAlignment="1">
      <alignment/>
    </xf>
    <xf numFmtId="0" fontId="17" fillId="0" borderId="16" xfId="0" applyFont="1" applyBorder="1" applyAlignment="1">
      <alignment/>
    </xf>
    <xf numFmtId="3" fontId="17" fillId="3" borderId="10" xfId="0" applyNumberFormat="1" applyFont="1" applyFill="1" applyBorder="1" applyAlignment="1">
      <alignment/>
    </xf>
    <xf numFmtId="0" fontId="14" fillId="0" borderId="0" xfId="66" applyFont="1" applyFill="1" applyProtection="1">
      <alignment/>
      <protection locked="0"/>
    </xf>
    <xf numFmtId="172" fontId="67" fillId="0" borderId="0" xfId="66" applyNumberFormat="1" applyFont="1" applyFill="1" applyAlignment="1" applyProtection="1">
      <alignment horizontal="center"/>
      <protection locked="0"/>
    </xf>
    <xf numFmtId="0" fontId="16" fillId="2" borderId="10" xfId="67" applyFont="1" applyFill="1" applyBorder="1" applyAlignment="1">
      <alignment vertical="center"/>
      <protection/>
    </xf>
    <xf numFmtId="3" fontId="16" fillId="2" borderId="10" xfId="67" applyNumberFormat="1" applyFont="1" applyFill="1" applyBorder="1" applyAlignment="1">
      <alignment horizontal="right" vertical="center"/>
      <protection/>
    </xf>
    <xf numFmtId="172" fontId="68" fillId="0" borderId="0" xfId="71" applyNumberFormat="1" applyFont="1" applyFill="1" applyBorder="1" applyAlignment="1">
      <alignment horizontal="center" wrapText="1" shrinkToFit="1"/>
      <protection/>
    </xf>
    <xf numFmtId="0" fontId="25" fillId="0" borderId="0" xfId="0" applyFont="1" applyAlignment="1">
      <alignment horizontal="right"/>
    </xf>
    <xf numFmtId="1" fontId="16" fillId="0" borderId="10" xfId="0" applyNumberFormat="1" applyFont="1" applyBorder="1" applyAlignment="1">
      <alignment/>
    </xf>
    <xf numFmtId="173" fontId="5" fillId="0" borderId="10" xfId="67" applyNumberFormat="1" applyFont="1" applyFill="1" applyBorder="1" applyAlignment="1">
      <alignment horizontal="right" vertical="center"/>
      <protection/>
    </xf>
    <xf numFmtId="0" fontId="5" fillId="0" borderId="17" xfId="0" applyFont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9" fontId="5" fillId="0" borderId="10" xfId="0" applyNumberFormat="1" applyFont="1" applyFill="1" applyBorder="1" applyAlignment="1">
      <alignment horizontal="center"/>
    </xf>
    <xf numFmtId="3" fontId="5" fillId="35" borderId="14" xfId="72" applyNumberFormat="1" applyFont="1" applyFill="1" applyBorder="1" applyAlignment="1">
      <alignment horizontal="center" vertical="center"/>
      <protection/>
    </xf>
    <xf numFmtId="172" fontId="5" fillId="0" borderId="0" xfId="66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>
      <alignment vertical="center"/>
    </xf>
    <xf numFmtId="3" fontId="5" fillId="0" borderId="0" xfId="66" applyNumberFormat="1" applyFont="1" applyFill="1" applyProtection="1">
      <alignment/>
      <protection locked="0"/>
    </xf>
    <xf numFmtId="0" fontId="5" fillId="0" borderId="0" xfId="66" applyFont="1" applyFill="1" applyBorder="1" applyProtection="1">
      <alignment/>
      <protection locked="0"/>
    </xf>
    <xf numFmtId="173" fontId="17" fillId="0" borderId="10" xfId="66" applyNumberFormat="1" applyFont="1" applyFill="1" applyBorder="1" applyProtection="1">
      <alignment/>
      <protection locked="0"/>
    </xf>
    <xf numFmtId="0" fontId="17" fillId="0" borderId="10" xfId="66" applyFont="1" applyFill="1" applyBorder="1" applyProtection="1">
      <alignment/>
      <protection locked="0"/>
    </xf>
    <xf numFmtId="172" fontId="17" fillId="0" borderId="10" xfId="66" applyNumberFormat="1" applyFont="1" applyFill="1" applyBorder="1" applyAlignment="1" applyProtection="1">
      <alignment/>
      <protection locked="0"/>
    </xf>
    <xf numFmtId="3" fontId="16" fillId="2" borderId="10" xfId="68" applyNumberFormat="1" applyFont="1" applyFill="1" applyBorder="1" applyAlignment="1">
      <alignment horizontal="center" vertical="center"/>
      <protection/>
    </xf>
    <xf numFmtId="0" fontId="1" fillId="0" borderId="0" xfId="53" applyAlignment="1" applyProtection="1">
      <alignment/>
      <protection/>
    </xf>
    <xf numFmtId="0" fontId="5" fillId="0" borderId="11" xfId="71" applyFont="1" applyFill="1" applyBorder="1" applyAlignment="1">
      <alignment horizontal="left" vertical="top" wrapText="1" indent="2" shrinkToFit="1"/>
      <protection/>
    </xf>
    <xf numFmtId="3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16" fillId="0" borderId="0" xfId="66" applyFont="1" applyFill="1" applyBorder="1" applyProtection="1">
      <alignment/>
      <protection locked="0"/>
    </xf>
    <xf numFmtId="3" fontId="5" fillId="0" borderId="0" xfId="66" applyNumberFormat="1" applyFont="1" applyFill="1" applyBorder="1" applyAlignment="1" applyProtection="1">
      <alignment horizontal="center"/>
      <protection locked="0"/>
    </xf>
    <xf numFmtId="0" fontId="16" fillId="0" borderId="0" xfId="67" applyFont="1" applyBorder="1" applyAlignment="1">
      <alignment horizontal="left" vertical="center"/>
      <protection/>
    </xf>
    <xf numFmtId="3" fontId="5" fillId="0" borderId="0" xfId="67" applyNumberFormat="1" applyFont="1" applyFill="1">
      <alignment/>
      <protection/>
    </xf>
    <xf numFmtId="0" fontId="5" fillId="0" borderId="0" xfId="67" applyFont="1" applyFill="1">
      <alignment/>
      <protection/>
    </xf>
    <xf numFmtId="9" fontId="5" fillId="35" borderId="10" xfId="0" applyNumberFormat="1" applyFont="1" applyFill="1" applyBorder="1" applyAlignment="1">
      <alignment/>
    </xf>
    <xf numFmtId="187" fontId="25" fillId="0" borderId="0" xfId="0" applyNumberFormat="1" applyFont="1" applyAlignment="1">
      <alignment/>
    </xf>
    <xf numFmtId="3" fontId="5" fillId="0" borderId="0" xfId="72" applyNumberFormat="1" applyFont="1" applyFill="1" applyBorder="1" applyAlignment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14" xfId="72" applyNumberFormat="1" applyFont="1" applyFill="1" applyBorder="1" applyAlignment="1">
      <alignment horizontal="center" vertical="center" wrapText="1"/>
      <protection/>
    </xf>
    <xf numFmtId="0" fontId="5" fillId="0" borderId="0" xfId="72" applyFont="1" applyFill="1" applyBorder="1" applyAlignment="1">
      <alignment horizontal="center" vertical="center" wrapText="1"/>
      <protection/>
    </xf>
    <xf numFmtId="3" fontId="16" fillId="0" borderId="10" xfId="72" applyNumberFormat="1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/>
    </xf>
    <xf numFmtId="173" fontId="17" fillId="35" borderId="10" xfId="0" applyNumberFormat="1" applyFont="1" applyFill="1" applyBorder="1" applyAlignment="1">
      <alignment horizontal="center"/>
    </xf>
    <xf numFmtId="3" fontId="16" fillId="2" borderId="10" xfId="68" applyNumberFormat="1" applyFont="1" applyFill="1" applyBorder="1" applyAlignment="1">
      <alignment horizontal="center" vertical="center"/>
      <protection/>
    </xf>
    <xf numFmtId="0" fontId="5" fillId="35" borderId="10" xfId="0" applyFont="1" applyFill="1" applyBorder="1" applyAlignment="1">
      <alignment/>
    </xf>
    <xf numFmtId="172" fontId="5" fillId="0" borderId="0" xfId="71" applyNumberFormat="1" applyFont="1" applyFill="1" applyBorder="1" applyAlignment="1">
      <alignment wrapText="1" shrinkToFit="1"/>
      <protection/>
    </xf>
    <xf numFmtId="0" fontId="16" fillId="0" borderId="13" xfId="71" applyFont="1" applyFill="1" applyBorder="1" applyAlignment="1">
      <alignment horizontal="center" vertical="center" wrapText="1"/>
      <protection/>
    </xf>
    <xf numFmtId="0" fontId="16" fillId="0" borderId="14" xfId="71" applyFont="1" applyFill="1" applyBorder="1" applyAlignment="1">
      <alignment horizontal="center" vertical="center" wrapText="1"/>
      <protection/>
    </xf>
    <xf numFmtId="0" fontId="16" fillId="0" borderId="10" xfId="71" applyFont="1" applyFill="1" applyBorder="1" applyAlignment="1">
      <alignment horizontal="center" vertical="center" wrapText="1"/>
      <protection/>
    </xf>
    <xf numFmtId="0" fontId="16" fillId="0" borderId="11" xfId="71" applyFont="1" applyFill="1" applyBorder="1" applyAlignment="1">
      <alignment horizontal="center" vertical="center" wrapText="1"/>
      <protection/>
    </xf>
    <xf numFmtId="0" fontId="16" fillId="0" borderId="16" xfId="71" applyFont="1" applyFill="1" applyBorder="1" applyAlignment="1">
      <alignment horizontal="center" vertical="center" wrapText="1"/>
      <protection/>
    </xf>
    <xf numFmtId="0" fontId="16" fillId="0" borderId="12" xfId="71" applyFont="1" applyFill="1" applyBorder="1" applyAlignment="1">
      <alignment horizontal="center" vertical="center" wrapText="1"/>
      <protection/>
    </xf>
    <xf numFmtId="172" fontId="16" fillId="34" borderId="11" xfId="71" applyNumberFormat="1" applyFont="1" applyFill="1" applyBorder="1" applyAlignment="1">
      <alignment horizontal="center" vertical="center" wrapText="1" shrinkToFit="1"/>
      <protection/>
    </xf>
    <xf numFmtId="172" fontId="16" fillId="34" borderId="16" xfId="71" applyNumberFormat="1" applyFont="1" applyFill="1" applyBorder="1" applyAlignment="1">
      <alignment horizontal="center" vertical="center" wrapText="1" shrinkToFit="1"/>
      <protection/>
    </xf>
    <xf numFmtId="172" fontId="16" fillId="34" borderId="12" xfId="71" applyNumberFormat="1" applyFont="1" applyFill="1" applyBorder="1" applyAlignment="1">
      <alignment horizontal="center" vertical="center" wrapText="1" shrinkToFit="1"/>
      <protection/>
    </xf>
    <xf numFmtId="172" fontId="16" fillId="34" borderId="11" xfId="71" applyNumberFormat="1" applyFont="1" applyFill="1" applyBorder="1" applyAlignment="1">
      <alignment horizontal="center" vertical="center"/>
      <protection/>
    </xf>
    <xf numFmtId="172" fontId="16" fillId="34" borderId="16" xfId="71" applyNumberFormat="1" applyFont="1" applyFill="1" applyBorder="1" applyAlignment="1">
      <alignment horizontal="center" vertical="center"/>
      <protection/>
    </xf>
    <xf numFmtId="172" fontId="16" fillId="34" borderId="12" xfId="71" applyNumberFormat="1" applyFont="1" applyFill="1" applyBorder="1" applyAlignment="1">
      <alignment horizontal="center" vertical="center"/>
      <protection/>
    </xf>
    <xf numFmtId="0" fontId="16" fillId="34" borderId="16" xfId="71" applyFont="1" applyFill="1" applyBorder="1" applyAlignment="1">
      <alignment horizontal="center" vertical="center"/>
      <protection/>
    </xf>
    <xf numFmtId="0" fontId="16" fillId="34" borderId="12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 wrapText="1" shrinkToFit="1"/>
      <protection/>
    </xf>
    <xf numFmtId="0" fontId="16" fillId="34" borderId="18" xfId="71" applyFont="1" applyFill="1" applyBorder="1" applyAlignment="1">
      <alignment horizontal="center" vertical="center" wrapText="1" shrinkToFit="1"/>
      <protection/>
    </xf>
    <xf numFmtId="0" fontId="16" fillId="34" borderId="19" xfId="71" applyFont="1" applyFill="1" applyBorder="1" applyAlignment="1">
      <alignment horizontal="center" vertical="center" wrapText="1" shrinkToFit="1"/>
      <protection/>
    </xf>
    <xf numFmtId="0" fontId="16" fillId="34" borderId="13" xfId="71" applyFont="1" applyFill="1" applyBorder="1" applyAlignment="1">
      <alignment horizontal="center" vertical="center" wrapText="1" shrinkToFit="1"/>
      <protection/>
    </xf>
    <xf numFmtId="0" fontId="16" fillId="34" borderId="14" xfId="71" applyFont="1" applyFill="1" applyBorder="1" applyAlignment="1">
      <alignment horizontal="center" vertical="center" wrapText="1" shrinkToFit="1"/>
      <protection/>
    </xf>
    <xf numFmtId="0" fontId="16" fillId="34" borderId="10" xfId="71" applyFont="1" applyFill="1" applyBorder="1" applyAlignment="1">
      <alignment horizontal="center" vertical="center" wrapText="1" shrinkToFit="1"/>
      <protection/>
    </xf>
    <xf numFmtId="0" fontId="16" fillId="34" borderId="13" xfId="71" applyFont="1" applyFill="1" applyBorder="1" applyAlignment="1">
      <alignment horizontal="center" vertical="center"/>
      <protection/>
    </xf>
    <xf numFmtId="0" fontId="16" fillId="34" borderId="14" xfId="71" applyFont="1" applyFill="1" applyBorder="1" applyAlignment="1">
      <alignment horizontal="center" vertical="center"/>
      <protection/>
    </xf>
    <xf numFmtId="0" fontId="16" fillId="34" borderId="18" xfId="72" applyFont="1" applyFill="1" applyBorder="1" applyAlignment="1">
      <alignment horizontal="center" vertical="center" wrapText="1" shrinkToFit="1"/>
      <protection/>
    </xf>
    <xf numFmtId="0" fontId="16" fillId="34" borderId="19" xfId="72" applyFont="1" applyFill="1" applyBorder="1" applyAlignment="1">
      <alignment horizontal="center" vertical="center" wrapText="1" shrinkToFit="1"/>
      <protection/>
    </xf>
    <xf numFmtId="0" fontId="16" fillId="34" borderId="10" xfId="72" applyFont="1" applyFill="1" applyBorder="1" applyAlignment="1">
      <alignment horizontal="center" vertical="center"/>
      <protection/>
    </xf>
    <xf numFmtId="172" fontId="16" fillId="34" borderId="10" xfId="72" applyNumberFormat="1" applyFont="1" applyFill="1" applyBorder="1" applyAlignment="1">
      <alignment horizontal="center" vertical="center"/>
      <protection/>
    </xf>
    <xf numFmtId="172" fontId="16" fillId="34" borderId="11" xfId="72" applyNumberFormat="1" applyFont="1" applyFill="1" applyBorder="1" applyAlignment="1">
      <alignment horizontal="center" vertical="center"/>
      <protection/>
    </xf>
    <xf numFmtId="172" fontId="16" fillId="34" borderId="16" xfId="72" applyNumberFormat="1" applyFont="1" applyFill="1" applyBorder="1" applyAlignment="1">
      <alignment horizontal="center" vertical="center"/>
      <protection/>
    </xf>
    <xf numFmtId="172" fontId="16" fillId="34" borderId="12" xfId="72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center" wrapText="1"/>
    </xf>
    <xf numFmtId="0" fontId="16" fillId="2" borderId="11" xfId="0" applyFont="1" applyFill="1" applyBorder="1" applyAlignment="1">
      <alignment horizontal="center" wrapText="1"/>
    </xf>
    <xf numFmtId="0" fontId="16" fillId="2" borderId="12" xfId="0" applyFont="1" applyFill="1" applyBorder="1" applyAlignment="1">
      <alignment horizontal="center" wrapText="1"/>
    </xf>
    <xf numFmtId="0" fontId="16" fillId="34" borderId="18" xfId="72" applyFont="1" applyFill="1" applyBorder="1" applyAlignment="1">
      <alignment horizontal="center" vertical="center"/>
      <protection/>
    </xf>
    <xf numFmtId="0" fontId="16" fillId="34" borderId="19" xfId="72" applyFont="1" applyFill="1" applyBorder="1" applyAlignment="1">
      <alignment horizontal="center" vertical="center"/>
      <protection/>
    </xf>
    <xf numFmtId="0" fontId="16" fillId="34" borderId="13" xfId="72" applyFont="1" applyFill="1" applyBorder="1" applyAlignment="1">
      <alignment horizontal="center" vertical="center" wrapText="1"/>
      <protection/>
    </xf>
    <xf numFmtId="0" fontId="16" fillId="34" borderId="14" xfId="72" applyFont="1" applyFill="1" applyBorder="1" applyAlignment="1">
      <alignment horizontal="center" vertical="center" wrapText="1"/>
      <protection/>
    </xf>
    <xf numFmtId="3" fontId="16" fillId="2" borderId="11" xfId="0" applyNumberFormat="1" applyFont="1" applyFill="1" applyBorder="1" applyAlignment="1">
      <alignment horizontal="center" wrapText="1"/>
    </xf>
    <xf numFmtId="3" fontId="16" fillId="2" borderId="12" xfId="0" applyNumberFormat="1" applyFont="1" applyFill="1" applyBorder="1" applyAlignment="1">
      <alignment horizont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6" fillId="0" borderId="10" xfId="72" applyFont="1" applyFill="1" applyBorder="1" applyAlignment="1">
      <alignment horizontal="center" vertical="center" wrapText="1"/>
      <protection/>
    </xf>
    <xf numFmtId="0" fontId="16" fillId="34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 wrapText="1" shrinkToFit="1"/>
    </xf>
    <xf numFmtId="0" fontId="16" fillId="34" borderId="10" xfId="0" applyFont="1" applyFill="1" applyBorder="1" applyAlignment="1">
      <alignment horizontal="center" vertical="center" wrapText="1"/>
    </xf>
    <xf numFmtId="0" fontId="16" fillId="2" borderId="13" xfId="68" applyFont="1" applyFill="1" applyBorder="1" applyAlignment="1">
      <alignment horizontal="left" vertical="center"/>
      <protection/>
    </xf>
    <xf numFmtId="0" fontId="16" fillId="2" borderId="14" xfId="68" applyFont="1" applyFill="1" applyBorder="1" applyAlignment="1">
      <alignment horizontal="left" vertical="center"/>
      <protection/>
    </xf>
    <xf numFmtId="3" fontId="16" fillId="2" borderId="10" xfId="68" applyNumberFormat="1" applyFont="1" applyFill="1" applyBorder="1" applyAlignment="1">
      <alignment horizontal="center" vertical="center"/>
      <protection/>
    </xf>
  </cellXfs>
  <cellStyles count="77">
    <cellStyle name="Normal" xfId="0"/>
    <cellStyle name="_Бюджет_2007_3_22,12,06 вар.после набл.совета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Euro" xfId="34"/>
    <cellStyle name="Flag" xfId="35"/>
    <cellStyle name="Milliers [0]_JULY97" xfId="36"/>
    <cellStyle name="Milliers_JULY97" xfId="37"/>
    <cellStyle name="Monétaire [0]_JULY97" xfId="38"/>
    <cellStyle name="Monétaire_JULY97" xfId="39"/>
    <cellStyle name="Normal_Assump." xfId="40"/>
    <cellStyle name="Option" xfId="41"/>
    <cellStyle name="Price" xfId="42"/>
    <cellStyle name="Uni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Алтын-ОрдаНовыйБП" xfId="65"/>
    <cellStyle name="Обычный_Алтын-ОрдаНовыйБП 2" xfId="66"/>
    <cellStyle name="Обычный_БП кир завод 3.3  (40 млн. +20 забут реал на 18.07.06 для АФ увел курс)" xfId="67"/>
    <cellStyle name="Обычный_Копия cityrus4-18 лет СМР 52 млн $" xfId="68"/>
    <cellStyle name="Обычный_НовыйМир" xfId="69"/>
    <cellStyle name="Обычный_ПереченьКЗ" xfId="70"/>
    <cellStyle name="Обычный_Формы отчетов" xfId="71"/>
    <cellStyle name="Обычный_Формы отчетов 2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Процентный 2" xfId="78"/>
    <cellStyle name="Связанная ячейка" xfId="79"/>
    <cellStyle name="Стиль 1" xfId="80"/>
    <cellStyle name="Текст предупреждения" xfId="81"/>
    <cellStyle name="Тысячи [0]" xfId="82"/>
    <cellStyle name="Comma" xfId="83"/>
    <cellStyle name="Comma [0]" xfId="84"/>
    <cellStyle name="Хороший" xfId="85"/>
    <cellStyle name="桁区切り [0.00]_PERSONAL" xfId="86"/>
    <cellStyle name="桁区切り_PERSONAL" xfId="87"/>
    <cellStyle name="標準_PERSONAL" xfId="88"/>
    <cellStyle name="通貨 [0.00]_PERSONAL" xfId="89"/>
    <cellStyle name="通貨_PERSONAL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externalLink" Target="externalLinks/externalLink35.xml" /><Relationship Id="rId51" Type="http://schemas.openxmlformats.org/officeDocument/2006/relationships/externalLink" Target="externalLinks/externalLink36.xml" /><Relationship Id="rId52" Type="http://schemas.openxmlformats.org/officeDocument/2006/relationships/externalLink" Target="externalLinks/externalLink37.xml" /><Relationship Id="rId53" Type="http://schemas.openxmlformats.org/officeDocument/2006/relationships/externalLink" Target="externalLinks/externalLink38.xml" /><Relationship Id="rId54" Type="http://schemas.openxmlformats.org/officeDocument/2006/relationships/externalLink" Target="externalLinks/externalLink39.xml" /><Relationship Id="rId55" Type="http://schemas.openxmlformats.org/officeDocument/2006/relationships/externalLink" Target="externalLinks/externalLink40.xml" /><Relationship Id="rId56" Type="http://schemas.openxmlformats.org/officeDocument/2006/relationships/externalLink" Target="externalLinks/externalLink41.xml" /><Relationship Id="rId57" Type="http://schemas.openxmlformats.org/officeDocument/2006/relationships/externalLink" Target="externalLinks/externalLink42.xml" /><Relationship Id="rId58" Type="http://schemas.openxmlformats.org/officeDocument/2006/relationships/externalLink" Target="externalLinks/externalLink43.xml" /><Relationship Id="rId59" Type="http://schemas.openxmlformats.org/officeDocument/2006/relationships/externalLink" Target="externalLinks/externalLink44.xml" /><Relationship Id="rId60" Type="http://schemas.openxmlformats.org/officeDocument/2006/relationships/externalLink" Target="externalLinks/externalLink45.xml" /><Relationship Id="rId61" Type="http://schemas.openxmlformats.org/officeDocument/2006/relationships/externalLink" Target="externalLinks/externalLink46.xml" /><Relationship Id="rId62" Type="http://schemas.openxmlformats.org/officeDocument/2006/relationships/externalLink" Target="externalLinks/externalLink47.xml" /><Relationship Id="rId63" Type="http://schemas.openxmlformats.org/officeDocument/2006/relationships/externalLink" Target="externalLinks/externalLink48.xml" /><Relationship Id="rId64" Type="http://schemas.openxmlformats.org/officeDocument/2006/relationships/externalLink" Target="externalLinks/externalLink49.xml" /><Relationship Id="rId65" Type="http://schemas.openxmlformats.org/officeDocument/2006/relationships/externalLink" Target="externalLinks/externalLink50.xml" /><Relationship Id="rId66" Type="http://schemas.openxmlformats.org/officeDocument/2006/relationships/externalLink" Target="externalLinks/externalLink51.xml" /><Relationship Id="rId67" Type="http://schemas.openxmlformats.org/officeDocument/2006/relationships/externalLink" Target="externalLinks/externalLink52.xml" /><Relationship Id="rId68" Type="http://schemas.openxmlformats.org/officeDocument/2006/relationships/externalLink" Target="externalLinks/externalLink53.xml" /><Relationship Id="rId69" Type="http://schemas.openxmlformats.org/officeDocument/2006/relationships/externalLink" Target="externalLinks/externalLink54.xml" /><Relationship Id="rId70" Type="http://schemas.openxmlformats.org/officeDocument/2006/relationships/externalLink" Target="externalLinks/externalLink55.xml" /><Relationship Id="rId71" Type="http://schemas.openxmlformats.org/officeDocument/2006/relationships/externalLink" Target="externalLinks/externalLink56.xml" /><Relationship Id="rId72" Type="http://schemas.openxmlformats.org/officeDocument/2006/relationships/externalLink" Target="externalLinks/externalLink57.xml" /><Relationship Id="rId73" Type="http://schemas.openxmlformats.org/officeDocument/2006/relationships/externalLink" Target="externalLinks/externalLink58.xml" /><Relationship Id="rId74" Type="http://schemas.openxmlformats.org/officeDocument/2006/relationships/externalLink" Target="externalLinks/externalLink59.xml" /><Relationship Id="rId75" Type="http://schemas.openxmlformats.org/officeDocument/2006/relationships/externalLink" Target="externalLinks/externalLink60.xml" /><Relationship Id="rId76" Type="http://schemas.openxmlformats.org/officeDocument/2006/relationships/externalLink" Target="externalLinks/externalLink61.xml" /><Relationship Id="rId77" Type="http://schemas.openxmlformats.org/officeDocument/2006/relationships/externalLink" Target="externalLinks/externalLink62.xml" /><Relationship Id="rId78" Type="http://schemas.openxmlformats.org/officeDocument/2006/relationships/externalLink" Target="externalLinks/externalLink63.xml" /><Relationship Id="rId79" Type="http://schemas.openxmlformats.org/officeDocument/2006/relationships/externalLink" Target="externalLinks/externalLink64.xml" /><Relationship Id="rId80" Type="http://schemas.openxmlformats.org/officeDocument/2006/relationships/externalLink" Target="externalLinks/externalLink65.xml" /><Relationship Id="rId81" Type="http://schemas.openxmlformats.org/officeDocument/2006/relationships/externalLink" Target="externalLinks/externalLink66.xml" /><Relationship Id="rId82" Type="http://schemas.openxmlformats.org/officeDocument/2006/relationships/externalLink" Target="externalLinks/externalLink67.xml" /><Relationship Id="rId83" Type="http://schemas.openxmlformats.org/officeDocument/2006/relationships/externalLink" Target="externalLinks/externalLink68.xml" /><Relationship Id="rId84" Type="http://schemas.openxmlformats.org/officeDocument/2006/relationships/externalLink" Target="externalLinks/externalLink69.xml" /><Relationship Id="rId85" Type="http://schemas.openxmlformats.org/officeDocument/2006/relationships/externalLink" Target="externalLinks/externalLink70.xml" /><Relationship Id="rId8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74;&#1089;&#1103;&#1082;&#1080;&#1081;%20&#1073;&#1091;&#1090;&#1086;&#1088;\SYS\98WIN\TEMP\&#1055;&#1088;&#1080;&#1083;&#1086;&#1078;&#1077;&#1085;&#1080;&#1077;%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7;&#1077;&#1088;&#1085;&#1086;&#1074;&#1072;&#1103;_&#1051;&#1050;\Proj_&#1047;&#1051;&#1050;_&#1087;&#1096;&#1077;&#1085;&#1080;&#1094;&#1072;_50%_&#1083;&#1080;&#1079;_&#1087;&#1083;&#1072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smanov\&#1052;&#1086;&#1080;%20&#1076;&#1086;&#1082;&#1091;&#1084;&#1077;&#1085;&#1090;&#1099;\Documents%20and%20Settings\kusmanov\Desktop\&#1069;&#1082;&#1086;&#1090;&#1086;&#1085;+_&#1040;&#1082;&#1090;&#1102;&#1073;&#1080;&#1085;&#1089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1;&#1044;&#1050;%20&#1060;3+&#1060;2%20&#1073;&#1077;&#1079;%20&#1048;&#1060;&#10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q\&#1056;&#1072;&#1073;&#1086;&#1095;&#1080;&#1081;%20&#1089;&#1090;&#1086;&#1083;\&#1056;&#1040;&#1057;&#1063;&#1045;&#1058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monitoring\Shared\&#1050;&#1086;&#1087;&#1080;&#1103;%20&#1056;&#1077;&#1085;&#1090;&#1072;&#1073;&#1077;&#1083;&#1100;&#1085;&#1086;&#1089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I_FROL~1\LOCALS~1\Temp\bat\ENKI\&#1053;&#1077;&#1088;&#1091;&#1076;%20&#1084;&#1086;&#1080;%20&#1088;&#1072;&#1089;&#1095;&#1105;&#1090;&#109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6A75EE9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15E674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6A75EE9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WINDOWS\TEMP\Rar$DI01.712\&#1069;&#1082;&#1086;&#1090;&#1086;&#1085;%2011.03.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_FROL~1\LOCALS~1\Temp\bat\ENKI\&#1053;&#1077;&#1088;&#1091;&#1076;%20&#1084;&#1086;&#1080;%20&#1088;&#1072;&#1089;&#1095;&#1105;&#1090;&#109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15E674E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03_&#1040;&#1082;&#1089;&#1091;&#1072;&#1090;&#1089;&#1082;&#1080;&#1081;%20&#1101;&#1083;&#1077;&#1074;&#1072;&#1090;&#1086;&#1088;+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6;&#1072;&#1089;&#1095;&#1077;&#1090;%20&#1072;&#1087;&#1090;&#1077;&#1082;&#1080;+&#1086;&#1087;&#1090;.&#1089;&#1082;&#1083;&#1072;&#1076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6A75EE9B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51;&#1044;&#1050;%20&#1060;3+&#1060;2%20&#1073;&#1077;&#1079;%20&#1048;&#1060;&#1050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tes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I_FROL~1\LOCALS~1\Temp\bat\ENKI\&#1053;&#1077;&#1088;&#1091;&#1076;%20&#1084;&#1086;&#1080;%20&#1088;&#1072;&#1089;&#1095;&#1105;&#1090;&#1099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15E674E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0;&#1050;&#1058;&#1048;&#1042;\Proj_&#1040;&#1050;&#1058;&#1048;&#1042;_7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МЗ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7">
        <row r="2">
          <cell r="A2" t="str">
            <v>Наименование предприятия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7">
        <row r="58">
          <cell r="C58">
            <v>0</v>
          </cell>
        </row>
      </sheetData>
      <sheetData sheetId="19">
        <row r="18">
          <cell r="E18" t="e">
            <v>#DIV/0!</v>
          </cell>
        </row>
      </sheetData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8.2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1">
        <row r="9">
          <cell r="C9">
            <v>0.13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1">
        <row r="23">
          <cell r="C23">
            <v>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5">
        <row r="17">
          <cell r="C17">
            <v>0.13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1">
        <row r="18">
          <cell r="F18">
            <v>-1000000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17">
        <row r="3">
          <cell r="F3">
            <v>0.87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ф3"/>
      <sheetName val="ф2"/>
      <sheetName val="Баланс"/>
      <sheetName val="Исх"/>
      <sheetName val="Объемы"/>
      <sheetName val="Цены"/>
      <sheetName val="Перем"/>
      <sheetName val="Пост"/>
      <sheetName val="кр"/>
      <sheetName val="безубыт"/>
    </sheetNames>
    <sheetDataSet>
      <sheetData sheetId="2">
        <row r="32">
          <cell r="Q32">
            <v>109.48954266069855</v>
          </cell>
          <cell r="R32">
            <v>109.48954266069855</v>
          </cell>
          <cell r="S32">
            <v>108.45296951069854</v>
          </cell>
          <cell r="T32">
            <v>106.37982321069852</v>
          </cell>
          <cell r="U32">
            <v>103.27010376069849</v>
          </cell>
          <cell r="V32">
            <v>103.27010376069849</v>
          </cell>
          <cell r="W32">
            <v>103.27010376069849</v>
          </cell>
          <cell r="X32">
            <v>99.20125340855881</v>
          </cell>
          <cell r="Y32">
            <v>99.20125340855881</v>
          </cell>
          <cell r="Z32">
            <v>99.20125340855881</v>
          </cell>
          <cell r="AA32">
            <v>99.20125340855881</v>
          </cell>
          <cell r="AB32">
            <v>82.61608300855879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13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1">
        <row r="5">
          <cell r="C5">
            <v>148</v>
          </cell>
        </row>
        <row r="8">
          <cell r="C8">
            <v>0.12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Дох"/>
      <sheetName val="Движение товара"/>
      <sheetName val="ф2"/>
      <sheetName val="Ф3"/>
      <sheetName val="Пост"/>
      <sheetName val="Пост склад"/>
      <sheetName val="кр"/>
      <sheetName val="Пост аптеки"/>
      <sheetName val="Инв скл"/>
      <sheetName val="Инв апт"/>
      <sheetName val="безубыт"/>
      <sheetName val="Лист1"/>
    </sheetNames>
    <sheetDataSet>
      <sheetData sheetId="1">
        <row r="5">
          <cell r="C5">
            <v>147</v>
          </cell>
        </row>
        <row r="7">
          <cell r="C7">
            <v>0.12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2">
        <row r="6">
          <cell r="A6" t="str">
            <v>Мраморно-цементная плитка Bretonterastone®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>
        <row r="16">
          <cell r="B16">
            <v>0.9893263911487146</v>
          </cell>
        </row>
      </sheetData>
      <sheetData sheetId="2">
        <row r="5">
          <cell r="B5">
            <v>12450000</v>
          </cell>
        </row>
        <row r="6">
          <cell r="B6">
            <v>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sites.google.com/site/gofroservice/home/oborudovanie-dla-proizvodstva-pasty-dla-rucek" TargetMode="External" /><Relationship Id="rId2" Type="http://schemas.openxmlformats.org/officeDocument/2006/relationships/hyperlink" Target="https://sites.google.com/site/gofroservice/sterzni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tyrauenergo.kz/page.php?page_id=289&amp;lang=1" TargetMode="External" /><Relationship Id="rId2" Type="http://schemas.openxmlformats.org/officeDocument/2006/relationships/hyperlink" Target="http://www.86007machine.com/cpxx.php?xzq=4&amp;id=232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C141"/>
  <sheetViews>
    <sheetView showGridLines="0" showZeros="0" zoomScalePageLayoutView="0" workbookViewId="0" topLeftCell="A1">
      <pane xSplit="3" ySplit="6" topLeftCell="K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B50" sqref="B50"/>
    </sheetView>
  </sheetViews>
  <sheetFormatPr defaultColWidth="8.625" defaultRowHeight="12.75" outlineLevelRow="1" outlineLevelCol="1"/>
  <cols>
    <col min="1" max="1" width="38.625" style="60" customWidth="1"/>
    <col min="2" max="2" width="10.125" style="61" customWidth="1"/>
    <col min="3" max="3" width="1.875" style="61" customWidth="1"/>
    <col min="4" max="6" width="7.75390625" style="6" hidden="1" customWidth="1" outlineLevel="1"/>
    <col min="7" max="7" width="7.75390625" style="57" hidden="1" customWidth="1" outlineLevel="1"/>
    <col min="8" max="12" width="7.75390625" style="6" hidden="1" customWidth="1" outlineLevel="1"/>
    <col min="13" max="13" width="7.875" style="6" hidden="1" customWidth="1" outlineLevel="1"/>
    <col min="14" max="14" width="7.25390625" style="6" hidden="1" customWidth="1" outlineLevel="1"/>
    <col min="15" max="15" width="7.625" style="6" hidden="1" customWidth="1" outlineLevel="1"/>
    <col min="16" max="16" width="8.25390625" style="7" customWidth="1" collapsed="1"/>
    <col min="17" max="20" width="7.625" style="6" hidden="1" customWidth="1" outlineLevel="1"/>
    <col min="21" max="28" width="8.00390625" style="6" hidden="1" customWidth="1" outlineLevel="1"/>
    <col min="29" max="29" width="10.00390625" style="7" customWidth="1" collapsed="1"/>
    <col min="30" max="30" width="7.875" style="6" hidden="1" customWidth="1" outlineLevel="1"/>
    <col min="31" max="34" width="7.625" style="6" hidden="1" customWidth="1" outlineLevel="1"/>
    <col min="35" max="39" width="8.125" style="6" hidden="1" customWidth="1" outlineLevel="1"/>
    <col min="40" max="40" width="8.375" style="6" hidden="1" customWidth="1" outlineLevel="1"/>
    <col min="41" max="41" width="8.125" style="6" hidden="1" customWidth="1" outlineLevel="1"/>
    <col min="42" max="42" width="9.125" style="7" bestFit="1" customWidth="1" collapsed="1"/>
    <col min="43" max="44" width="9.375" style="7" customWidth="1"/>
    <col min="45" max="47" width="9.375" style="8" customWidth="1"/>
    <col min="48" max="48" width="8.75390625" style="8" bestFit="1" customWidth="1"/>
    <col min="49" max="52" width="9.75390625" style="8" bestFit="1" customWidth="1"/>
    <col min="53" max="55" width="9.125" style="8" bestFit="1" customWidth="1"/>
    <col min="56" max="16384" width="8.625" style="8" customWidth="1"/>
  </cols>
  <sheetData>
    <row r="1" spans="1:40" ht="12.75">
      <c r="A1" s="62" t="s">
        <v>161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  <c r="AD1" s="2"/>
      <c r="AE1" s="2"/>
      <c r="AF1" s="2"/>
      <c r="AG1" s="2"/>
      <c r="AH1" s="2"/>
      <c r="AI1" s="4"/>
      <c r="AJ1" s="4"/>
      <c r="AK1" s="4"/>
      <c r="AL1" s="4"/>
      <c r="AM1" s="4"/>
      <c r="AN1" s="5"/>
    </row>
    <row r="2" spans="1:40" ht="12.75" hidden="1" outlineLevel="1">
      <c r="A2" s="9">
        <f>MAX(K34:AR34)</f>
        <v>39180.144324199806</v>
      </c>
      <c r="B2" s="10">
        <f>MIN(L34:AU34)</f>
        <v>0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"/>
      <c r="S2" s="2"/>
      <c r="T2" s="2"/>
      <c r="U2" s="2"/>
      <c r="V2" s="4"/>
      <c r="W2" s="4"/>
      <c r="X2" s="4"/>
      <c r="Y2" s="4"/>
      <c r="Z2" s="4"/>
      <c r="AA2" s="5"/>
      <c r="AD2" s="2"/>
      <c r="AE2" s="2"/>
      <c r="AF2" s="2"/>
      <c r="AG2" s="2"/>
      <c r="AH2" s="2"/>
      <c r="AI2" s="4"/>
      <c r="AJ2" s="4"/>
      <c r="AK2" s="4"/>
      <c r="AL2" s="4"/>
      <c r="AM2" s="4"/>
      <c r="AN2" s="5"/>
    </row>
    <row r="3" spans="1:40" ht="12.75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  <c r="AD3" s="2"/>
      <c r="AE3" s="2"/>
      <c r="AF3" s="2"/>
      <c r="AG3" s="2"/>
      <c r="AH3" s="2"/>
      <c r="AI3" s="4"/>
      <c r="AJ3" s="4"/>
      <c r="AK3" s="4"/>
      <c r="AL3" s="4"/>
      <c r="AM3" s="4"/>
      <c r="AN3" s="5"/>
    </row>
    <row r="4" spans="1:40" ht="12.75">
      <c r="A4" s="11"/>
      <c r="B4" s="12" t="str">
        <f>Исх!$C$10</f>
        <v>тыс.тг.</v>
      </c>
      <c r="C4" s="1"/>
      <c r="D4" s="2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  <c r="AD4" s="2"/>
      <c r="AE4" s="2"/>
      <c r="AF4" s="3"/>
      <c r="AG4" s="2"/>
      <c r="AI4" s="13"/>
      <c r="AJ4" s="2"/>
      <c r="AK4" s="2"/>
      <c r="AL4" s="14"/>
      <c r="AM4" s="2"/>
      <c r="AN4" s="2"/>
    </row>
    <row r="5" spans="1:47" ht="15.75" customHeight="1">
      <c r="A5" s="314" t="s">
        <v>3</v>
      </c>
      <c r="B5" s="316" t="s">
        <v>89</v>
      </c>
      <c r="C5" s="15"/>
      <c r="D5" s="316">
        <v>2013</v>
      </c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>
        <v>2014</v>
      </c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7">
        <v>2015</v>
      </c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9"/>
      <c r="AQ5" s="15">
        <f>AD5+1</f>
        <v>2016</v>
      </c>
      <c r="AR5" s="15">
        <f>AQ5+1</f>
        <v>2017</v>
      </c>
      <c r="AS5" s="15">
        <f>AR5+1</f>
        <v>2018</v>
      </c>
      <c r="AT5" s="15">
        <f>AS5+1</f>
        <v>2019</v>
      </c>
      <c r="AU5" s="15">
        <f>AT5+1</f>
        <v>2020</v>
      </c>
    </row>
    <row r="6" spans="1:47" ht="12.75">
      <c r="A6" s="315"/>
      <c r="B6" s="316"/>
      <c r="C6" s="15"/>
      <c r="D6" s="16">
        <v>1</v>
      </c>
      <c r="E6" s="16">
        <f>D6+1</f>
        <v>2</v>
      </c>
      <c r="F6" s="16">
        <f aca="true" t="shared" si="0" ref="F6:O6">E6+1</f>
        <v>3</v>
      </c>
      <c r="G6" s="16">
        <f t="shared" si="0"/>
        <v>4</v>
      </c>
      <c r="H6" s="16">
        <f t="shared" si="0"/>
        <v>5</v>
      </c>
      <c r="I6" s="16">
        <f t="shared" si="0"/>
        <v>6</v>
      </c>
      <c r="J6" s="16">
        <f t="shared" si="0"/>
        <v>7</v>
      </c>
      <c r="K6" s="16">
        <f t="shared" si="0"/>
        <v>8</v>
      </c>
      <c r="L6" s="16">
        <f t="shared" si="0"/>
        <v>9</v>
      </c>
      <c r="M6" s="16">
        <f t="shared" si="0"/>
        <v>10</v>
      </c>
      <c r="N6" s="16">
        <f t="shared" si="0"/>
        <v>11</v>
      </c>
      <c r="O6" s="16">
        <f t="shared" si="0"/>
        <v>12</v>
      </c>
      <c r="P6" s="15" t="s">
        <v>0</v>
      </c>
      <c r="Q6" s="16">
        <v>1</v>
      </c>
      <c r="R6" s="16">
        <f>Q6+1</f>
        <v>2</v>
      </c>
      <c r="S6" s="16">
        <f aca="true" t="shared" si="1" ref="S6:AB6">R6+1</f>
        <v>3</v>
      </c>
      <c r="T6" s="16">
        <f t="shared" si="1"/>
        <v>4</v>
      </c>
      <c r="U6" s="16">
        <f t="shared" si="1"/>
        <v>5</v>
      </c>
      <c r="V6" s="16">
        <f t="shared" si="1"/>
        <v>6</v>
      </c>
      <c r="W6" s="16">
        <f t="shared" si="1"/>
        <v>7</v>
      </c>
      <c r="X6" s="16">
        <f t="shared" si="1"/>
        <v>8</v>
      </c>
      <c r="Y6" s="16">
        <f t="shared" si="1"/>
        <v>9</v>
      </c>
      <c r="Z6" s="16">
        <f t="shared" si="1"/>
        <v>10</v>
      </c>
      <c r="AA6" s="16">
        <f t="shared" si="1"/>
        <v>11</v>
      </c>
      <c r="AB6" s="16">
        <f t="shared" si="1"/>
        <v>12</v>
      </c>
      <c r="AC6" s="15" t="s">
        <v>0</v>
      </c>
      <c r="AD6" s="16">
        <v>1</v>
      </c>
      <c r="AE6" s="16">
        <f aca="true" t="shared" si="2" ref="AE6:AO6">AD6+1</f>
        <v>2</v>
      </c>
      <c r="AF6" s="16">
        <f t="shared" si="2"/>
        <v>3</v>
      </c>
      <c r="AG6" s="16">
        <f t="shared" si="2"/>
        <v>4</v>
      </c>
      <c r="AH6" s="16">
        <f t="shared" si="2"/>
        <v>5</v>
      </c>
      <c r="AI6" s="16">
        <f t="shared" si="2"/>
        <v>6</v>
      </c>
      <c r="AJ6" s="16">
        <f t="shared" si="2"/>
        <v>7</v>
      </c>
      <c r="AK6" s="16">
        <f t="shared" si="2"/>
        <v>8</v>
      </c>
      <c r="AL6" s="16">
        <f t="shared" si="2"/>
        <v>9</v>
      </c>
      <c r="AM6" s="16">
        <f t="shared" si="2"/>
        <v>10</v>
      </c>
      <c r="AN6" s="16">
        <f t="shared" si="2"/>
        <v>11</v>
      </c>
      <c r="AO6" s="16">
        <f t="shared" si="2"/>
        <v>12</v>
      </c>
      <c r="AP6" s="15" t="s">
        <v>0</v>
      </c>
      <c r="AQ6" s="15" t="s">
        <v>111</v>
      </c>
      <c r="AR6" s="15" t="s">
        <v>111</v>
      </c>
      <c r="AS6" s="15" t="s">
        <v>111</v>
      </c>
      <c r="AT6" s="15" t="s">
        <v>111</v>
      </c>
      <c r="AU6" s="15" t="s">
        <v>111</v>
      </c>
    </row>
    <row r="7" spans="1:47" s="21" customFormat="1" ht="12.75">
      <c r="A7" s="17" t="s">
        <v>310</v>
      </c>
      <c r="B7" s="18">
        <f>P7</f>
        <v>0</v>
      </c>
      <c r="C7" s="19"/>
      <c r="D7" s="20">
        <f>C34</f>
        <v>0</v>
      </c>
      <c r="E7" s="20">
        <f aca="true" t="shared" si="3" ref="E7:K7">D34</f>
        <v>0</v>
      </c>
      <c r="F7" s="20">
        <f t="shared" si="3"/>
        <v>0</v>
      </c>
      <c r="G7" s="20">
        <f t="shared" si="3"/>
        <v>0</v>
      </c>
      <c r="H7" s="20">
        <f t="shared" si="3"/>
        <v>0</v>
      </c>
      <c r="I7" s="20">
        <f t="shared" si="3"/>
        <v>0</v>
      </c>
      <c r="J7" s="20">
        <f t="shared" si="3"/>
        <v>0</v>
      </c>
      <c r="K7" s="20">
        <f t="shared" si="3"/>
        <v>0</v>
      </c>
      <c r="L7" s="20">
        <f>K34</f>
        <v>0</v>
      </c>
      <c r="M7" s="20">
        <f>L34</f>
        <v>0</v>
      </c>
      <c r="N7" s="20">
        <f>M34</f>
        <v>0</v>
      </c>
      <c r="O7" s="20">
        <f>N34</f>
        <v>4505.7123</v>
      </c>
      <c r="P7" s="20">
        <f>D7</f>
        <v>0</v>
      </c>
      <c r="Q7" s="20">
        <f>P34</f>
        <v>0</v>
      </c>
      <c r="R7" s="20">
        <f aca="true" t="shared" si="4" ref="R7:AA7">Q34</f>
        <v>903.7723599999999</v>
      </c>
      <c r="S7" s="20">
        <f t="shared" si="4"/>
        <v>1807.5447199999999</v>
      </c>
      <c r="T7" s="20">
        <f t="shared" si="4"/>
        <v>6807.54472</v>
      </c>
      <c r="U7" s="20">
        <f t="shared" si="4"/>
        <v>5739.44476</v>
      </c>
      <c r="V7" s="20">
        <f t="shared" si="4"/>
        <v>4671.344800000001</v>
      </c>
      <c r="W7" s="20">
        <f t="shared" si="4"/>
        <v>2688.7872400000006</v>
      </c>
      <c r="X7" s="20">
        <f t="shared" si="4"/>
        <v>213.26160000000073</v>
      </c>
      <c r="Y7" s="20">
        <f t="shared" si="4"/>
        <v>5662.840411555646</v>
      </c>
      <c r="Z7" s="20">
        <f t="shared" si="4"/>
        <v>9292.346771148521</v>
      </c>
      <c r="AA7" s="20">
        <f t="shared" si="4"/>
        <v>8945.237050741394</v>
      </c>
      <c r="AB7" s="20">
        <f>AA34</f>
        <v>8545.59212319141</v>
      </c>
      <c r="AC7" s="20">
        <f>Q7</f>
        <v>0</v>
      </c>
      <c r="AD7" s="20">
        <f aca="true" t="shared" si="5" ref="AD7:AO7">AC34</f>
        <v>7743.625561355712</v>
      </c>
      <c r="AE7" s="20">
        <f t="shared" si="5"/>
        <v>7598.03439180573</v>
      </c>
      <c r="AF7" s="20">
        <f t="shared" si="5"/>
        <v>7452.443222255746</v>
      </c>
      <c r="AG7" s="20">
        <f t="shared" si="5"/>
        <v>7306.8520527057635</v>
      </c>
      <c r="AH7" s="20">
        <f t="shared" si="5"/>
        <v>6676.1930794994305</v>
      </c>
      <c r="AI7" s="20">
        <f t="shared" si="5"/>
        <v>6035.998373713561</v>
      </c>
      <c r="AJ7" s="20">
        <f t="shared" si="5"/>
        <v>3247.057132735006</v>
      </c>
      <c r="AK7" s="20">
        <f t="shared" si="5"/>
        <v>17.965820327878163</v>
      </c>
      <c r="AL7" s="20">
        <f t="shared" si="5"/>
        <v>9250.830892109667</v>
      </c>
      <c r="AM7" s="20">
        <f t="shared" si="5"/>
        <v>15620.513122804763</v>
      </c>
      <c r="AN7" s="20">
        <f t="shared" si="5"/>
        <v>16131.46150230119</v>
      </c>
      <c r="AO7" s="20">
        <f t="shared" si="5"/>
        <v>16642.310441896956</v>
      </c>
      <c r="AP7" s="20">
        <f>AD7</f>
        <v>7743.625561355712</v>
      </c>
      <c r="AQ7" s="20">
        <f>AP34</f>
        <v>16475.74874695454</v>
      </c>
      <c r="AR7" s="20">
        <f>AQ34</f>
        <v>28095.07898864936</v>
      </c>
      <c r="AS7" s="20">
        <f>AR34</f>
        <v>39180.144324199806</v>
      </c>
      <c r="AT7" s="20">
        <f>AS34</f>
        <v>49703.885111211916</v>
      </c>
      <c r="AU7" s="20">
        <f>AT34</f>
        <v>59637.86368409861</v>
      </c>
    </row>
    <row r="8" spans="1:47" s="21" customFormat="1" ht="12.75">
      <c r="A8" s="22" t="s">
        <v>10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</row>
    <row r="9" spans="1:47" s="21" customFormat="1" ht="12.75">
      <c r="A9" s="26" t="s">
        <v>18</v>
      </c>
      <c r="B9" s="27">
        <f>SUM(B10:B10)</f>
        <v>606764.3904</v>
      </c>
      <c r="C9" s="27"/>
      <c r="D9" s="27">
        <f aca="true" t="shared" si="6" ref="D9:AU9">SUM(D10:D10)</f>
        <v>0</v>
      </c>
      <c r="E9" s="27">
        <f t="shared" si="6"/>
        <v>0</v>
      </c>
      <c r="F9" s="27">
        <f t="shared" si="6"/>
        <v>0</v>
      </c>
      <c r="G9" s="27">
        <f t="shared" si="6"/>
        <v>0</v>
      </c>
      <c r="H9" s="27">
        <f t="shared" si="6"/>
        <v>0</v>
      </c>
      <c r="I9" s="27">
        <f t="shared" si="6"/>
        <v>0</v>
      </c>
      <c r="J9" s="27">
        <f t="shared" si="6"/>
        <v>0</v>
      </c>
      <c r="K9" s="27">
        <f t="shared" si="6"/>
        <v>0</v>
      </c>
      <c r="L9" s="27">
        <f t="shared" si="6"/>
        <v>0</v>
      </c>
      <c r="M9" s="27">
        <f t="shared" si="6"/>
        <v>0</v>
      </c>
      <c r="N9" s="27">
        <f t="shared" si="6"/>
        <v>0</v>
      </c>
      <c r="O9" s="27">
        <f t="shared" si="6"/>
        <v>0</v>
      </c>
      <c r="P9" s="27">
        <f t="shared" si="6"/>
        <v>0</v>
      </c>
      <c r="Q9" s="27">
        <f t="shared" si="6"/>
        <v>2090.1888</v>
      </c>
      <c r="R9" s="27">
        <f t="shared" si="6"/>
        <v>2090.1888</v>
      </c>
      <c r="S9" s="27">
        <f t="shared" si="6"/>
        <v>2090.1888</v>
      </c>
      <c r="T9" s="27">
        <f t="shared" si="6"/>
        <v>2090.1888</v>
      </c>
      <c r="U9" s="27">
        <f t="shared" si="6"/>
        <v>2090.1888</v>
      </c>
      <c r="V9" s="27">
        <f t="shared" si="6"/>
        <v>1175.7312</v>
      </c>
      <c r="W9" s="27">
        <f t="shared" si="6"/>
        <v>1175.7312</v>
      </c>
      <c r="X9" s="27">
        <f t="shared" si="6"/>
        <v>9144.575999999997</v>
      </c>
      <c r="Y9" s="27">
        <f t="shared" si="6"/>
        <v>7402.752</v>
      </c>
      <c r="Z9" s="27">
        <f t="shared" si="6"/>
        <v>3919.1039999999994</v>
      </c>
      <c r="AA9" s="27">
        <f t="shared" si="6"/>
        <v>3919.1039999999994</v>
      </c>
      <c r="AB9" s="27">
        <f t="shared" si="6"/>
        <v>3483.648</v>
      </c>
      <c r="AC9" s="27">
        <f t="shared" si="6"/>
        <v>40671.590399999994</v>
      </c>
      <c r="AD9" s="27">
        <f t="shared" si="6"/>
        <v>4935.168</v>
      </c>
      <c r="AE9" s="27">
        <f t="shared" si="6"/>
        <v>4935.168</v>
      </c>
      <c r="AF9" s="27">
        <f t="shared" si="6"/>
        <v>4935.168</v>
      </c>
      <c r="AG9" s="27">
        <f t="shared" si="6"/>
        <v>4935.168</v>
      </c>
      <c r="AH9" s="27">
        <f t="shared" si="6"/>
        <v>4935.168</v>
      </c>
      <c r="AI9" s="27">
        <f t="shared" si="6"/>
        <v>2467.584</v>
      </c>
      <c r="AJ9" s="27">
        <f t="shared" si="6"/>
        <v>2467.584</v>
      </c>
      <c r="AK9" s="27">
        <f t="shared" si="6"/>
        <v>17273.088</v>
      </c>
      <c r="AL9" s="27">
        <f t="shared" si="6"/>
        <v>13982.976</v>
      </c>
      <c r="AM9" s="27">
        <f t="shared" si="6"/>
        <v>7402.752</v>
      </c>
      <c r="AN9" s="27">
        <f t="shared" si="6"/>
        <v>7402.752</v>
      </c>
      <c r="AO9" s="27">
        <f t="shared" si="6"/>
        <v>6580.223999999999</v>
      </c>
      <c r="AP9" s="27">
        <f t="shared" si="6"/>
        <v>82252.8</v>
      </c>
      <c r="AQ9" s="27">
        <f t="shared" si="6"/>
        <v>96768.00000000001</v>
      </c>
      <c r="AR9" s="27">
        <f t="shared" si="6"/>
        <v>96768.00000000001</v>
      </c>
      <c r="AS9" s="27">
        <f t="shared" si="6"/>
        <v>96768.00000000001</v>
      </c>
      <c r="AT9" s="27">
        <f t="shared" si="6"/>
        <v>96768.00000000001</v>
      </c>
      <c r="AU9" s="27">
        <f t="shared" si="6"/>
        <v>96768.00000000001</v>
      </c>
    </row>
    <row r="10" spans="1:47" ht="12.75">
      <c r="A10" s="28" t="str">
        <f>'2-ф2'!A6</f>
        <v>Ручка шариковая</v>
      </c>
      <c r="B10" s="27">
        <f>P10+AC10+AP10+AQ10+AR10+AS10+AT10+AU10</f>
        <v>606764.3904</v>
      </c>
      <c r="C10" s="27"/>
      <c r="D10" s="29">
        <f>'2-ф2'!D6*Исх!$C$19</f>
        <v>0</v>
      </c>
      <c r="E10" s="29">
        <f>'2-ф2'!E6*Исх!$C$19</f>
        <v>0</v>
      </c>
      <c r="F10" s="29">
        <f>'2-ф2'!F6*Исх!$C$19</f>
        <v>0</v>
      </c>
      <c r="G10" s="29">
        <f>'2-ф2'!G6*Исх!$C$19</f>
        <v>0</v>
      </c>
      <c r="H10" s="29">
        <f>'2-ф2'!H6*Исх!$C$19</f>
        <v>0</v>
      </c>
      <c r="I10" s="29">
        <f>'2-ф2'!I6*Исх!$C$19</f>
        <v>0</v>
      </c>
      <c r="J10" s="29">
        <f>'2-ф2'!J6*Исх!$C$19</f>
        <v>0</v>
      </c>
      <c r="K10" s="29">
        <f>'2-ф2'!K6*Исх!$C$19</f>
        <v>0</v>
      </c>
      <c r="L10" s="29">
        <f>'2-ф2'!L6*Исх!$C$19</f>
        <v>0</v>
      </c>
      <c r="M10" s="29">
        <f>'2-ф2'!M6*Исх!$C$19</f>
        <v>0</v>
      </c>
      <c r="N10" s="29">
        <f>'2-ф2'!N6*Исх!$C$19</f>
        <v>0</v>
      </c>
      <c r="O10" s="29">
        <f>'2-ф2'!O6*Исх!$C$19</f>
        <v>0</v>
      </c>
      <c r="P10" s="27">
        <f>SUM(D10:O10)</f>
        <v>0</v>
      </c>
      <c r="Q10" s="29">
        <f>'2-ф2'!Q6*Исх!$C$19</f>
        <v>2090.1888</v>
      </c>
      <c r="R10" s="29">
        <f>'2-ф2'!R6*Исх!$C$19</f>
        <v>2090.1888</v>
      </c>
      <c r="S10" s="29">
        <f>'2-ф2'!S6*Исх!$C$19</f>
        <v>2090.1888</v>
      </c>
      <c r="T10" s="29">
        <f>'2-ф2'!T6*Исх!$C$19</f>
        <v>2090.1888</v>
      </c>
      <c r="U10" s="29">
        <f>'2-ф2'!U6*Исх!$C$19</f>
        <v>2090.1888</v>
      </c>
      <c r="V10" s="29">
        <f>'2-ф2'!V6*Исх!$C$19</f>
        <v>1175.7312</v>
      </c>
      <c r="W10" s="29">
        <f>'2-ф2'!W6*Исх!$C$19</f>
        <v>1175.7312</v>
      </c>
      <c r="X10" s="29">
        <f>'2-ф2'!X6*Исх!$C$19</f>
        <v>9144.575999999997</v>
      </c>
      <c r="Y10" s="29">
        <f>'2-ф2'!Y6*Исх!$C$19</f>
        <v>7402.752</v>
      </c>
      <c r="Z10" s="29">
        <f>'2-ф2'!Z6*Исх!$C$19</f>
        <v>3919.1039999999994</v>
      </c>
      <c r="AA10" s="29">
        <f>'2-ф2'!AA6*Исх!$C$19</f>
        <v>3919.1039999999994</v>
      </c>
      <c r="AB10" s="29">
        <f>'2-ф2'!AB6*Исх!$C$19</f>
        <v>3483.648</v>
      </c>
      <c r="AC10" s="27">
        <f>SUM(Q10:AB10)</f>
        <v>40671.590399999994</v>
      </c>
      <c r="AD10" s="29">
        <f>'2-ф2'!AD6*Исх!$C$19</f>
        <v>4935.168</v>
      </c>
      <c r="AE10" s="29">
        <f>'2-ф2'!AE6*Исх!$C$19</f>
        <v>4935.168</v>
      </c>
      <c r="AF10" s="29">
        <f>'2-ф2'!AF6*Исх!$C$19</f>
        <v>4935.168</v>
      </c>
      <c r="AG10" s="29">
        <f>'2-ф2'!AG6*Исх!$C$19</f>
        <v>4935.168</v>
      </c>
      <c r="AH10" s="29">
        <f>'2-ф2'!AH6*Исх!$C$19</f>
        <v>4935.168</v>
      </c>
      <c r="AI10" s="29">
        <f>'2-ф2'!AI6*Исх!$C$19</f>
        <v>2467.584</v>
      </c>
      <c r="AJ10" s="29">
        <f>'2-ф2'!AJ6*Исх!$C$19</f>
        <v>2467.584</v>
      </c>
      <c r="AK10" s="29">
        <f>'2-ф2'!AK6*Исх!$C$19</f>
        <v>17273.088</v>
      </c>
      <c r="AL10" s="29">
        <f>'2-ф2'!AL6*Исх!$C$19</f>
        <v>13982.976</v>
      </c>
      <c r="AM10" s="29">
        <f>'2-ф2'!AM6*Исх!$C$19</f>
        <v>7402.752</v>
      </c>
      <c r="AN10" s="29">
        <f>'2-ф2'!AN6*Исх!$C$19</f>
        <v>7402.752</v>
      </c>
      <c r="AO10" s="29">
        <f>'2-ф2'!AO6*Исх!$C$19</f>
        <v>6580.223999999999</v>
      </c>
      <c r="AP10" s="27">
        <f>SUM(AD10:AO10)</f>
        <v>82252.8</v>
      </c>
      <c r="AQ10" s="29">
        <f>'2-ф2'!AQ6*Исх!$C$19</f>
        <v>96768.00000000001</v>
      </c>
      <c r="AR10" s="29">
        <f>'2-ф2'!AR6*Исх!$C$19</f>
        <v>96768.00000000001</v>
      </c>
      <c r="AS10" s="29">
        <f>'2-ф2'!AS6*Исх!$C$19</f>
        <v>96768.00000000001</v>
      </c>
      <c r="AT10" s="29">
        <f>'2-ф2'!AT6*Исх!$C$19</f>
        <v>96768.00000000001</v>
      </c>
      <c r="AU10" s="29">
        <f>'2-ф2'!AU6*Исх!$C$19</f>
        <v>96768.00000000001</v>
      </c>
    </row>
    <row r="11" spans="1:47" s="21" customFormat="1" ht="12.75">
      <c r="A11" s="30" t="s">
        <v>5</v>
      </c>
      <c r="B11" s="27">
        <f>SUM(B12:B16)</f>
        <v>541004.5590315432</v>
      </c>
      <c r="C11" s="27"/>
      <c r="D11" s="31">
        <f aca="true" t="shared" si="7" ref="D11:AU11">SUM(D12:D16)</f>
        <v>0</v>
      </c>
      <c r="E11" s="31">
        <f t="shared" si="7"/>
        <v>0</v>
      </c>
      <c r="F11" s="31">
        <f t="shared" si="7"/>
        <v>0</v>
      </c>
      <c r="G11" s="31">
        <f t="shared" si="7"/>
        <v>0</v>
      </c>
      <c r="H11" s="31">
        <f t="shared" si="7"/>
        <v>0</v>
      </c>
      <c r="I11" s="31">
        <f t="shared" si="7"/>
        <v>0</v>
      </c>
      <c r="J11" s="31">
        <f t="shared" si="7"/>
        <v>0</v>
      </c>
      <c r="K11" s="31">
        <f t="shared" si="7"/>
        <v>0</v>
      </c>
      <c r="L11" s="31">
        <f t="shared" si="7"/>
        <v>0</v>
      </c>
      <c r="M11" s="31">
        <f t="shared" si="7"/>
        <v>0</v>
      </c>
      <c r="N11" s="31">
        <f t="shared" si="7"/>
        <v>0</v>
      </c>
      <c r="O11" s="31">
        <f t="shared" si="7"/>
        <v>2218.3563599999998</v>
      </c>
      <c r="P11" s="31">
        <f t="shared" si="7"/>
        <v>2218.3563599999998</v>
      </c>
      <c r="Q11" s="31">
        <f t="shared" si="7"/>
        <v>2665.32068</v>
      </c>
      <c r="R11" s="31">
        <f t="shared" si="7"/>
        <v>2665.32068</v>
      </c>
      <c r="S11" s="31">
        <f t="shared" si="7"/>
        <v>2665.32068</v>
      </c>
      <c r="T11" s="31">
        <f t="shared" si="7"/>
        <v>3158.28876</v>
      </c>
      <c r="U11" s="31">
        <f t="shared" si="7"/>
        <v>3158.28876</v>
      </c>
      <c r="V11" s="31">
        <f t="shared" si="7"/>
        <v>3158.28876</v>
      </c>
      <c r="W11" s="31">
        <f t="shared" si="7"/>
        <v>3651.25684</v>
      </c>
      <c r="X11" s="31">
        <f t="shared" si="7"/>
        <v>3666.720377079375</v>
      </c>
      <c r="Y11" s="31">
        <f t="shared" si="7"/>
        <v>3694.218625154954</v>
      </c>
      <c r="Z11" s="31">
        <f t="shared" si="7"/>
        <v>4186.72571423265</v>
      </c>
      <c r="AA11" s="31">
        <f t="shared" si="7"/>
        <v>4238.797241339489</v>
      </c>
      <c r="AB11" s="31">
        <f t="shared" si="7"/>
        <v>4205.196490788976</v>
      </c>
      <c r="AC11" s="31">
        <f t="shared" si="7"/>
        <v>41113.74360859545</v>
      </c>
      <c r="AD11" s="31">
        <f t="shared" si="7"/>
        <v>4999.871993088821</v>
      </c>
      <c r="AE11" s="31">
        <f t="shared" si="7"/>
        <v>4999.400151226131</v>
      </c>
      <c r="AF11" s="31">
        <f t="shared" si="7"/>
        <v>4998.925556952575</v>
      </c>
      <c r="AG11" s="31">
        <f t="shared" si="7"/>
        <v>5483.515997868773</v>
      </c>
      <c r="AH11" s="31">
        <f t="shared" si="7"/>
        <v>5492.5715830921745</v>
      </c>
      <c r="AI11" s="31">
        <f t="shared" si="7"/>
        <v>5173.251170069147</v>
      </c>
      <c r="AJ11" s="31">
        <f t="shared" si="7"/>
        <v>5612.915476084081</v>
      </c>
      <c r="AK11" s="31">
        <f t="shared" si="7"/>
        <v>7955.974492849946</v>
      </c>
      <c r="AL11" s="31">
        <f t="shared" si="7"/>
        <v>7528.553884730325</v>
      </c>
      <c r="AM11" s="31">
        <f t="shared" si="7"/>
        <v>6806.569419935643</v>
      </c>
      <c r="AN11" s="31">
        <f t="shared" si="7"/>
        <v>6806.171660332992</v>
      </c>
      <c r="AO11" s="31">
        <f t="shared" si="7"/>
        <v>6660.554195037422</v>
      </c>
      <c r="AP11" s="31">
        <f t="shared" si="7"/>
        <v>72518.27558126804</v>
      </c>
      <c r="AQ11" s="31">
        <f t="shared" si="7"/>
        <v>84073.80485897847</v>
      </c>
      <c r="AR11" s="31">
        <f t="shared" si="7"/>
        <v>84530.36769464098</v>
      </c>
      <c r="AS11" s="31">
        <f t="shared" si="7"/>
        <v>85008.37308373963</v>
      </c>
      <c r="AT11" s="31">
        <f t="shared" si="7"/>
        <v>85508.79298965259</v>
      </c>
      <c r="AU11" s="31">
        <f t="shared" si="7"/>
        <v>86032.8448546681</v>
      </c>
    </row>
    <row r="12" spans="1:47" ht="12.75">
      <c r="A12" s="28" t="str">
        <f>'2-ф2'!A8</f>
        <v>Сырье и материалы</v>
      </c>
      <c r="B12" s="27">
        <f>P12+AC12+AP12+AQ12+AR12+AS12+AT12+AU12</f>
        <v>374902.22484000004</v>
      </c>
      <c r="C12" s="32"/>
      <c r="D12" s="29">
        <f>'2-ф2'!D8/2*Исх!$C$19+'2-ф2'!D8/2</f>
        <v>0</v>
      </c>
      <c r="E12" s="29">
        <f>'2-ф2'!E8/2*Исх!$C$19+'2-ф2'!E8/2</f>
        <v>0</v>
      </c>
      <c r="F12" s="29"/>
      <c r="G12" s="29">
        <f>'2-ф2'!G8/2*Исх!$C$19+'2-ф2'!G8/2</f>
        <v>0</v>
      </c>
      <c r="H12" s="29">
        <f>'2-ф2'!H8/2*Исх!$C$19+'2-ф2'!H8/2</f>
        <v>0</v>
      </c>
      <c r="I12" s="29">
        <f>'2-ф2'!I8/2*Исх!$C$19+'2-ф2'!I8/2</f>
        <v>0</v>
      </c>
      <c r="J12" s="29">
        <f>'2-ф2'!J8*Исх!$C$19</f>
        <v>0</v>
      </c>
      <c r="K12" s="29">
        <f>'2-ф2'!K8*Исх!$C$19</f>
        <v>0</v>
      </c>
      <c r="L12" s="29">
        <f>'2-ф2'!L8*Исх!$C$19</f>
        <v>0</v>
      </c>
      <c r="M12" s="29">
        <f>'2-ф2'!M8*Исх!$C$19</f>
        <v>0</v>
      </c>
      <c r="N12" s="29">
        <f>'2-ф2'!N8*Исх!$C$19</f>
        <v>0</v>
      </c>
      <c r="O12" s="29">
        <f>Q12*1.5</f>
        <v>2218.3563599999998</v>
      </c>
      <c r="P12" s="27">
        <f>SUM(D12:O12)</f>
        <v>2218.3563599999998</v>
      </c>
      <c r="Q12" s="29">
        <f>Производство!Q7*'Расх перем'!$E$11*Исх!$C$19</f>
        <v>1478.9042399999998</v>
      </c>
      <c r="R12" s="29">
        <f>Производство!R7*'Расх перем'!$E$11*Исх!$C$19</f>
        <v>1478.9042399999998</v>
      </c>
      <c r="S12" s="29">
        <f>Производство!S7*'Расх перем'!$E$11*Исх!$C$19</f>
        <v>1478.9042399999998</v>
      </c>
      <c r="T12" s="29">
        <f>Производство!T7*'Расх перем'!$E$11*Исх!$C$19</f>
        <v>1971.87232</v>
      </c>
      <c r="U12" s="29">
        <f>Производство!U7*'Расх перем'!$E$11*Исх!$C$19</f>
        <v>1971.87232</v>
      </c>
      <c r="V12" s="29">
        <f>Производство!V7*'Расх перем'!$E$11*Исх!$C$19</f>
        <v>1971.87232</v>
      </c>
      <c r="W12" s="29">
        <f>Производство!W7*'Расх перем'!$E$11*Исх!$C$19</f>
        <v>2464.8404</v>
      </c>
      <c r="X12" s="29">
        <f>Производство!X7*'Расх перем'!$E$11*Исх!$C$19</f>
        <v>2464.8404</v>
      </c>
      <c r="Y12" s="29">
        <f>Производство!Y7*'Расх перем'!$E$11*Исх!$C$19</f>
        <v>2464.8404</v>
      </c>
      <c r="Z12" s="29">
        <f>Производство!Z7*'Расх перем'!$E$11*Исх!$C$19</f>
        <v>2957.8084799999997</v>
      </c>
      <c r="AA12" s="29">
        <f>Производство!AA7*'Расх перем'!$E$11*Исх!$C$19</f>
        <v>2957.8084799999997</v>
      </c>
      <c r="AB12" s="29">
        <f>Производство!AB7*'Расх перем'!$E$11*Исх!$C$19</f>
        <v>2957.8084799999997</v>
      </c>
      <c r="AC12" s="27">
        <f>SUM(Q12:AB12)</f>
        <v>26620.27632</v>
      </c>
      <c r="AD12" s="29">
        <f>Производство!AD7*'Расх перем'!$E$11*Исх!$C$19</f>
        <v>3450.77656</v>
      </c>
      <c r="AE12" s="29">
        <f>Производство!AE7*'Расх перем'!$E$11*Исх!$C$19</f>
        <v>3450.77656</v>
      </c>
      <c r="AF12" s="29">
        <f>Производство!AF7*'Расх перем'!$E$11*Исх!$C$19</f>
        <v>3450.77656</v>
      </c>
      <c r="AG12" s="29">
        <f>Производство!AG7*'Расх перем'!$E$11*Исх!$C$19</f>
        <v>3943.74464</v>
      </c>
      <c r="AH12" s="29">
        <f>Производство!AH7*'Расх перем'!$E$11*Исх!$C$19</f>
        <v>3943.74464</v>
      </c>
      <c r="AI12" s="29">
        <f>Производство!AI7*'Расх перем'!$E$11*Исх!$C$19</f>
        <v>3943.74464</v>
      </c>
      <c r="AJ12" s="29">
        <f>Производство!AJ7*'Расх перем'!$E$11*Исх!$C$19</f>
        <v>4436.71272</v>
      </c>
      <c r="AK12" s="29">
        <f>Производство!AK7*'Расх перем'!$E$11*Исх!$C$19</f>
        <v>4436.71272</v>
      </c>
      <c r="AL12" s="29">
        <f>Производство!AL7*'Расх перем'!$E$11*Исх!$C$19</f>
        <v>4436.71272</v>
      </c>
      <c r="AM12" s="29">
        <f>Производство!AM7*'Расх перем'!$E$11*Исх!$C$19</f>
        <v>4929.6808</v>
      </c>
      <c r="AN12" s="29">
        <f>Производство!AN7*'Расх перем'!$E$11*Исх!$C$19</f>
        <v>4929.6808</v>
      </c>
      <c r="AO12" s="29">
        <f>Производство!AO7*'Расх перем'!$E$11*Исх!$C$19</f>
        <v>4929.6808</v>
      </c>
      <c r="AP12" s="27">
        <f>SUM(AD12:AO12)</f>
        <v>50282.74416000001</v>
      </c>
      <c r="AQ12" s="29">
        <f>Производство!AQ7*'Расх перем'!$E$11*Исх!$C$19</f>
        <v>59156.1696</v>
      </c>
      <c r="AR12" s="29">
        <f>Производство!AR7*'Расх перем'!$E$11*Исх!$C$19</f>
        <v>59156.1696</v>
      </c>
      <c r="AS12" s="29">
        <f>Производство!AS7*'Расх перем'!$E$11*Исх!$C$19</f>
        <v>59156.1696</v>
      </c>
      <c r="AT12" s="29">
        <f>Производство!AT7*'Расх перем'!$E$11*Исх!$C$19</f>
        <v>59156.1696</v>
      </c>
      <c r="AU12" s="29">
        <f>Производство!AU7*'Расх перем'!$E$11*Исх!$C$19</f>
        <v>59156.1696</v>
      </c>
    </row>
    <row r="13" spans="1:47" ht="12.75">
      <c r="A13" s="28" t="s">
        <v>145</v>
      </c>
      <c r="B13" s="27">
        <f>P13+AC13+AP13+AQ13+AR13+AS13+AT13+AU13</f>
        <v>129244.80012984917</v>
      </c>
      <c r="C13" s="27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7">
        <f>SUM(D13:O13)</f>
        <v>0</v>
      </c>
      <c r="Q13" s="29">
        <f>(Пост!$D$16-Пост!$D$5)*Исх!$C$19+Пост!$D$5+Пост!$D$18+Пост!$D$21</f>
        <v>1186.41644</v>
      </c>
      <c r="R13" s="29">
        <f>(Пост!$D$16-Пост!$D$5)*Исх!$C$19+Пост!$D$5+Пост!$D$18+Пост!$D$21</f>
        <v>1186.41644</v>
      </c>
      <c r="S13" s="29">
        <f>(Пост!$D$16-Пост!$D$5)*Исх!$C$19+Пост!$D$5+Пост!$D$18+Пост!$D$21</f>
        <v>1186.41644</v>
      </c>
      <c r="T13" s="29">
        <f>(Пост!$D$16-Пост!$D$5)*Исх!$C$19+Пост!$D$5+Пост!$D$18+Пост!$D$21</f>
        <v>1186.41644</v>
      </c>
      <c r="U13" s="29">
        <f>(Пост!$D$16-Пост!$D$5)*Исх!$C$19+Пост!$D$5+Пост!$D$18+Пост!$D$21</f>
        <v>1186.41644</v>
      </c>
      <c r="V13" s="29">
        <f>(Пост!$D$16-Пост!$D$5)*Исх!$C$19+Пост!$D$5+Пост!$D$18+Пост!$D$21</f>
        <v>1186.41644</v>
      </c>
      <c r="W13" s="29">
        <f>(Пост!$D$16-Пост!$D$5)*Исх!$C$19+Пост!$D$5+Пост!$D$18+Пост!$D$21</f>
        <v>1186.41644</v>
      </c>
      <c r="X13" s="29">
        <f>(Пост!$D$16-Пост!$D$5)*Исх!$C$19+Пост!$D$5+Пост!$D$18+Пост!$D$21</f>
        <v>1186.41644</v>
      </c>
      <c r="Y13" s="29">
        <f>(Пост!$D$16-Пост!$D$5)*Исх!$C$19+Пост!$D$5+Пост!$D$18+Пост!$D$21</f>
        <v>1186.41644</v>
      </c>
      <c r="Z13" s="29">
        <f>(Пост!$D$16-Пост!$D$5)*Исх!$C$19+Пост!$D$5+Пост!$D$18+Пост!$D$21</f>
        <v>1186.41644</v>
      </c>
      <c r="AA13" s="29">
        <f>(Пост!$D$16-Пост!$D$5)*Исх!$C$19+Пост!$D$5+Пост!$D$18+Пост!$D$21</f>
        <v>1186.41644</v>
      </c>
      <c r="AB13" s="29">
        <f>(Пост!$D$16-Пост!$D$5)*Исх!$C$19+Пост!$D$5+Пост!$D$18+Пост!$D$21</f>
        <v>1186.41644</v>
      </c>
      <c r="AC13" s="27">
        <f>SUM(Q13:AB13)</f>
        <v>14236.997280000003</v>
      </c>
      <c r="AD13" s="29">
        <f>(Пост!$E$16-Пост!$E$5)*Исх!$C$19+Пост!$E$5+Пост!$E$18+Пост!$E$21</f>
        <v>1404.7780119999998</v>
      </c>
      <c r="AE13" s="29">
        <f>(Пост!$E$16-Пост!$E$5)*Исх!$C$19+Пост!$E$5+Пост!$E$18+Пост!$E$21</f>
        <v>1404.7780119999998</v>
      </c>
      <c r="AF13" s="29">
        <f>(Пост!$E$16-Пост!$E$5)*Исх!$C$19+Пост!$E$5+Пост!$E$18+Пост!$E$21</f>
        <v>1404.7780119999998</v>
      </c>
      <c r="AG13" s="29">
        <f>(Пост!$E$16-Пост!$E$5)*Исх!$C$19+Пост!$E$5+Пост!$E$18+Пост!$E$21</f>
        <v>1404.7780119999998</v>
      </c>
      <c r="AH13" s="29">
        <f>(Пост!$E$16-Пост!$E$5)*Исх!$C$19+Пост!$E$5+Пост!$E$18+Пост!$E$21</f>
        <v>1404.7780119999998</v>
      </c>
      <c r="AI13" s="29">
        <f>(Пост!$E$16-Пост!$E$5)*Исх!$C$19+Пост!$E$5+Пост!$E$18+Пост!$E$21</f>
        <v>1404.7780119999998</v>
      </c>
      <c r="AJ13" s="29">
        <f>(Пост!$E$16-Пост!$E$5)*Исх!$C$19+Пост!$E$5+Пост!$E$18+Пост!$E$21</f>
        <v>1404.7780119999998</v>
      </c>
      <c r="AK13" s="29">
        <f>(Пост!$E$16-Пост!$E$5)*Исх!$C$19+Пост!$E$5+Пост!$E$18+Пост!$E$21</f>
        <v>1404.7780119999998</v>
      </c>
      <c r="AL13" s="29">
        <f>(Пост!$E$16-Пост!$E$5)*Исх!$C$19+Пост!$E$5+Пост!$E$18+Пост!$E$21</f>
        <v>1404.7780119999998</v>
      </c>
      <c r="AM13" s="29">
        <f>(Пост!$E$16-Пост!$E$5)*Исх!$C$19+Пост!$E$5+Пост!$E$18+Пост!$E$21</f>
        <v>1404.7780119999998</v>
      </c>
      <c r="AN13" s="29">
        <f>(Пост!$E$16-Пост!$E$5)*Исх!$C$19+Пост!$E$5+Пост!$E$18+Пост!$E$21</f>
        <v>1404.7780119999998</v>
      </c>
      <c r="AO13" s="29">
        <f>(Пост!$E$16-Пост!$E$5)*Исх!$C$19+Пост!$E$5+Пост!$E$18+Пост!$E$21</f>
        <v>1404.7780119999998</v>
      </c>
      <c r="AP13" s="27">
        <f>SUM(AD13:AO13)</f>
        <v>16857.336143999994</v>
      </c>
      <c r="AQ13" s="29">
        <f>((Пост!F16-Пост!F5)*Исх!$C$19+Пост!F5+Пост!F18+Пост!F21)*12</f>
        <v>18243.679951200007</v>
      </c>
      <c r="AR13" s="29">
        <f>((Пост!G16-Пост!G5)*Исх!$C$19+Пост!G5+Пост!G18+Пост!G21)*12</f>
        <v>18903.083948759995</v>
      </c>
      <c r="AS13" s="29">
        <f>((Пост!H16-Пост!H5)*Исх!$C$19+Пост!H5+Пост!H18+Пост!H21)*12</f>
        <v>19595.458146197998</v>
      </c>
      <c r="AT13" s="29">
        <f>((Пост!I16-Пост!I5)*Исх!$C$19+Пост!I5+Пост!I18+Пост!I21)*12</f>
        <v>20322.451053507895</v>
      </c>
      <c r="AU13" s="29">
        <f>((Пост!J16-Пост!J5)*Исх!$C$19+Пост!J5+Пост!J18+Пост!J21)*12</f>
        <v>21085.79360618329</v>
      </c>
    </row>
    <row r="14" spans="1:47" ht="12.75">
      <c r="A14" s="28" t="s">
        <v>54</v>
      </c>
      <c r="B14" s="27">
        <f>P14+AC14+AP14+AQ14+AR14+AS14+AT14+AU14</f>
        <v>1756.0057640345365</v>
      </c>
      <c r="C14" s="27"/>
      <c r="D14" s="29">
        <f>кр!C26</f>
        <v>0</v>
      </c>
      <c r="E14" s="29">
        <f>кр!D26</f>
        <v>0</v>
      </c>
      <c r="F14" s="29">
        <f>кр!E26</f>
        <v>0</v>
      </c>
      <c r="G14" s="29">
        <f>кр!F26</f>
        <v>0</v>
      </c>
      <c r="H14" s="29">
        <f>кр!G26</f>
        <v>0</v>
      </c>
      <c r="I14" s="29">
        <f>кр!H26</f>
        <v>0</v>
      </c>
      <c r="J14" s="29">
        <f>кр!I26</f>
        <v>0</v>
      </c>
      <c r="K14" s="29">
        <f>кр!J26</f>
        <v>0</v>
      </c>
      <c r="L14" s="29">
        <f>кр!K26</f>
        <v>0</v>
      </c>
      <c r="M14" s="29">
        <f>кр!L26</f>
        <v>0</v>
      </c>
      <c r="N14" s="29">
        <f>кр!M26</f>
        <v>0</v>
      </c>
      <c r="O14" s="29">
        <f>кр!N26</f>
        <v>0</v>
      </c>
      <c r="P14" s="27">
        <f>SUM(D14:O14)</f>
        <v>0</v>
      </c>
      <c r="Q14" s="29">
        <f>кр!P26</f>
        <v>0</v>
      </c>
      <c r="R14" s="29">
        <f>кр!Q26</f>
        <v>0</v>
      </c>
      <c r="S14" s="29">
        <f>кр!R26</f>
        <v>0</v>
      </c>
      <c r="T14" s="29">
        <f>кр!S26</f>
        <v>0</v>
      </c>
      <c r="U14" s="29">
        <f>кр!T26</f>
        <v>0</v>
      </c>
      <c r="V14" s="29">
        <f>кр!U26</f>
        <v>0</v>
      </c>
      <c r="W14" s="29">
        <f>кр!V26</f>
        <v>0</v>
      </c>
      <c r="X14" s="29">
        <f>кр!W26</f>
        <v>15.463537079375007</v>
      </c>
      <c r="Y14" s="29">
        <f>кр!X26</f>
        <v>42.96178515495431</v>
      </c>
      <c r="Z14" s="29">
        <f>кр!Y26</f>
        <v>42.50079423264997</v>
      </c>
      <c r="AA14" s="29">
        <f>кр!Z26</f>
        <v>42.03711419663219</v>
      </c>
      <c r="AB14" s="29">
        <f>кр!AA26</f>
        <v>41.57072936040431</v>
      </c>
      <c r="AC14" s="27">
        <f>SUM(Q14:AB14)</f>
        <v>184.53396002401578</v>
      </c>
      <c r="AD14" s="29">
        <f>кр!AC26</f>
        <v>41.10162394596509</v>
      </c>
      <c r="AE14" s="29">
        <f>кр!AD26</f>
        <v>40.629782083274975</v>
      </c>
      <c r="AF14" s="29">
        <f>кр!AE26</f>
        <v>40.15518780971917</v>
      </c>
      <c r="AG14" s="29">
        <f>кр!AF26</f>
        <v>39.677825069567625</v>
      </c>
      <c r="AH14" s="29">
        <f>кр!AG26</f>
        <v>39.197677713431865</v>
      </c>
      <c r="AI14" s="29">
        <f>кр!AH26</f>
        <v>38.71472949771865</v>
      </c>
      <c r="AJ14" s="29">
        <f>кр!AI26</f>
        <v>38.22896408408043</v>
      </c>
      <c r="AK14" s="29">
        <f>кр!AJ26</f>
        <v>37.74036503886266</v>
      </c>
      <c r="AL14" s="29">
        <f>кр!AK26</f>
        <v>37.24891583254779</v>
      </c>
      <c r="AM14" s="29">
        <f>кр!AL26</f>
        <v>36.754599839196075</v>
      </c>
      <c r="AN14" s="29">
        <f>кр!AM26</f>
        <v>36.25740033588315</v>
      </c>
      <c r="AO14" s="29">
        <f>кр!AN26</f>
        <v>35.75730050213423</v>
      </c>
      <c r="AP14" s="27">
        <f>SUM(AD14:AO14)</f>
        <v>461.46437175238174</v>
      </c>
      <c r="AQ14" s="34">
        <f>кр!BB26</f>
        <v>389.0007055587966</v>
      </c>
      <c r="AR14" s="34">
        <f>кр!BO26</f>
        <v>311.29863507693807</v>
      </c>
      <c r="AS14" s="34">
        <f>кр!CB26</f>
        <v>227.97947563724895</v>
      </c>
      <c r="AT14" s="34">
        <f>кр!CO26</f>
        <v>138.63716742479124</v>
      </c>
      <c r="AU14" s="34">
        <f>кр!DB26</f>
        <v>43.09144856036421</v>
      </c>
    </row>
    <row r="15" spans="1:47" ht="14.25" customHeight="1">
      <c r="A15" s="28" t="s">
        <v>209</v>
      </c>
      <c r="B15" s="27">
        <f>P15+AC15+AP15+AQ15+AR15+AS15+AT15+AU15</f>
        <v>16048.765244202863</v>
      </c>
      <c r="C15" s="27"/>
      <c r="D15" s="29">
        <f>'2-ф2'!D14</f>
        <v>0</v>
      </c>
      <c r="E15" s="29">
        <f>'2-ф2'!E14</f>
        <v>0</v>
      </c>
      <c r="F15" s="29">
        <f>'2-ф2'!F14</f>
        <v>0</v>
      </c>
      <c r="G15" s="29">
        <f>'2-ф2'!G14</f>
        <v>0</v>
      </c>
      <c r="H15" s="29">
        <f>'2-ф2'!H14</f>
        <v>0</v>
      </c>
      <c r="I15" s="29">
        <f>'2-ф2'!I14</f>
        <v>0</v>
      </c>
      <c r="J15" s="29">
        <f>'2-ф2'!J14</f>
        <v>0</v>
      </c>
      <c r="K15" s="29">
        <f>'2-ф2'!K14</f>
        <v>0</v>
      </c>
      <c r="L15" s="29">
        <f>'2-ф2'!L14</f>
        <v>0</v>
      </c>
      <c r="M15" s="29">
        <f>'2-ф2'!M14</f>
        <v>0</v>
      </c>
      <c r="N15" s="29">
        <f>'2-ф2'!N14</f>
        <v>0</v>
      </c>
      <c r="O15" s="29">
        <f>'2-ф2'!O14</f>
        <v>0</v>
      </c>
      <c r="P15" s="27">
        <f>SUM(D15:O15)</f>
        <v>0</v>
      </c>
      <c r="Q15" s="29">
        <f>'2-ф2'!Q14</f>
        <v>0</v>
      </c>
      <c r="R15" s="29">
        <f>'2-ф2'!R14</f>
        <v>0</v>
      </c>
      <c r="S15" s="29">
        <f>'2-ф2'!S14</f>
        <v>0</v>
      </c>
      <c r="T15" s="29">
        <f>'2-ф2'!T14</f>
        <v>0</v>
      </c>
      <c r="U15" s="29">
        <f>'2-ф2'!U14</f>
        <v>0</v>
      </c>
      <c r="V15" s="29">
        <f>'2-ф2'!V14</f>
        <v>0</v>
      </c>
      <c r="W15" s="29">
        <f>'2-ф2'!W14</f>
        <v>0</v>
      </c>
      <c r="X15" s="29">
        <f>'2-ф2'!X14</f>
        <v>0</v>
      </c>
      <c r="Y15" s="29">
        <f>'2-ф2'!Y14</f>
        <v>0</v>
      </c>
      <c r="Z15" s="29">
        <f>'2-ф2'!Z14</f>
        <v>0</v>
      </c>
      <c r="AA15" s="29">
        <f>'2-ф2'!AA14</f>
        <v>0</v>
      </c>
      <c r="AB15" s="29">
        <f>'2-ф2'!AB14</f>
        <v>0</v>
      </c>
      <c r="AC15" s="27">
        <f>SUM(Q15:AB15)</f>
        <v>0</v>
      </c>
      <c r="AD15" s="29">
        <f>'2-ф2'!AD14</f>
        <v>0</v>
      </c>
      <c r="AE15" s="29">
        <f>'2-ф2'!AE14</f>
        <v>0</v>
      </c>
      <c r="AF15" s="29">
        <f>'2-ф2'!AF14</f>
        <v>0</v>
      </c>
      <c r="AG15" s="29">
        <f>'2-ф2'!AG14</f>
        <v>44.91773222777737</v>
      </c>
      <c r="AH15" s="29">
        <f>'2-ф2'!AH14</f>
        <v>54.453464807313736</v>
      </c>
      <c r="AI15" s="29">
        <f>'2-ф2'!AI14</f>
        <v>0</v>
      </c>
      <c r="AJ15" s="29">
        <f>'2-ф2'!AJ14</f>
        <v>0</v>
      </c>
      <c r="AK15" s="29">
        <f>'2-ф2'!AK14</f>
        <v>757.2436158110836</v>
      </c>
      <c r="AL15" s="29">
        <f>'2-ф2'!AL14</f>
        <v>682.8264568977762</v>
      </c>
      <c r="AM15" s="29">
        <f>'2-ф2'!AM14</f>
        <v>226.2102366678752</v>
      </c>
      <c r="AN15" s="29">
        <f>'2-ф2'!AN14</f>
        <v>226.30967656853778</v>
      </c>
      <c r="AO15" s="29">
        <f>'2-ф2'!AO14</f>
        <v>169.32031110671596</v>
      </c>
      <c r="AP15" s="27">
        <f>SUM(AD15:AO15)</f>
        <v>2161.28149408708</v>
      </c>
      <c r="AQ15" s="29">
        <f>'2-ф2'!AQ14</f>
        <v>3016.754709362527</v>
      </c>
      <c r="AR15" s="29">
        <f>'2-ф2'!AR14</f>
        <v>2902.6140004469</v>
      </c>
      <c r="AS15" s="29">
        <f>'2-ф2'!AS14</f>
        <v>2783.112653172238</v>
      </c>
      <c r="AT15" s="29">
        <f>'2-ф2'!AT14</f>
        <v>2658.007676694</v>
      </c>
      <c r="AU15" s="29">
        <f>'2-ф2'!AU14</f>
        <v>2526.994710440118</v>
      </c>
    </row>
    <row r="16" spans="1:47" ht="12.75">
      <c r="A16" s="28" t="s">
        <v>34</v>
      </c>
      <c r="B16" s="27">
        <f>P16+AC16+AP16+AQ16+AR16+AS16+AT16+AU16</f>
        <v>19052.763053456656</v>
      </c>
      <c r="C16" s="27"/>
      <c r="D16" s="29">
        <f>'2-ф2'!D27</f>
        <v>0</v>
      </c>
      <c r="E16" s="29">
        <f>'2-ф2'!E27</f>
        <v>0</v>
      </c>
      <c r="F16" s="29">
        <f>'2-ф2'!F27</f>
        <v>0</v>
      </c>
      <c r="G16" s="29">
        <f>'2-ф2'!G27</f>
        <v>0</v>
      </c>
      <c r="H16" s="29">
        <f>'2-ф2'!H27</f>
        <v>0</v>
      </c>
      <c r="I16" s="29">
        <f>'2-ф2'!I27</f>
        <v>0</v>
      </c>
      <c r="J16" s="29">
        <f>'2-ф2'!J27</f>
        <v>0</v>
      </c>
      <c r="K16" s="29">
        <f>'2-ф2'!K27</f>
        <v>0</v>
      </c>
      <c r="L16" s="29">
        <f>'2-ф2'!L27</f>
        <v>0</v>
      </c>
      <c r="M16" s="29">
        <f>'2-ф2'!M27</f>
        <v>0</v>
      </c>
      <c r="N16" s="29">
        <f>'2-ф2'!N27</f>
        <v>0</v>
      </c>
      <c r="O16" s="29">
        <f>'2-ф2'!O27</f>
        <v>0</v>
      </c>
      <c r="P16" s="27">
        <f>SUM(D16:O16)</f>
        <v>0</v>
      </c>
      <c r="Q16" s="29">
        <f>'2-ф2'!Q27</f>
        <v>0</v>
      </c>
      <c r="R16" s="29">
        <f>'2-ф2'!R27</f>
        <v>0</v>
      </c>
      <c r="S16" s="29">
        <f>'2-ф2'!S27</f>
        <v>0</v>
      </c>
      <c r="T16" s="29">
        <f>'2-ф2'!T27</f>
        <v>0</v>
      </c>
      <c r="U16" s="29">
        <f>'2-ф2'!U27</f>
        <v>0</v>
      </c>
      <c r="V16" s="29">
        <f>'2-ф2'!V27</f>
        <v>0</v>
      </c>
      <c r="W16" s="29">
        <f>'2-ф2'!W27</f>
        <v>0</v>
      </c>
      <c r="X16" s="29">
        <f>'2-ф2'!X27</f>
        <v>0</v>
      </c>
      <c r="Y16" s="29">
        <f>'2-ф2'!Y27</f>
        <v>0</v>
      </c>
      <c r="Z16" s="29">
        <f>'2-ф2'!Z27</f>
        <v>0</v>
      </c>
      <c r="AA16" s="29">
        <f>'2-ф2'!AA27</f>
        <v>52.53520714285651</v>
      </c>
      <c r="AB16" s="29">
        <f>'2-ф2'!AB27</f>
        <v>19.400841428571425</v>
      </c>
      <c r="AC16" s="27">
        <f>SUM(Q16:AB16)</f>
        <v>71.93604857142793</v>
      </c>
      <c r="AD16" s="29">
        <f>'2-ф2'!AD27</f>
        <v>103.21579714285718</v>
      </c>
      <c r="AE16" s="29">
        <f>'2-ф2'!AE27</f>
        <v>103.21579714285718</v>
      </c>
      <c r="AF16" s="29">
        <f>'2-ф2'!AF27</f>
        <v>103.21579714285718</v>
      </c>
      <c r="AG16" s="29">
        <f>'2-ф2'!AG27</f>
        <v>50.39778857142858</v>
      </c>
      <c r="AH16" s="29">
        <f>'2-ф2'!AH27</f>
        <v>50.39778857142858</v>
      </c>
      <c r="AI16" s="29">
        <f>'2-ф2'!AI27</f>
        <v>-213.98621142857138</v>
      </c>
      <c r="AJ16" s="29">
        <f>'2-ф2'!AJ27</f>
        <v>-266.80421999999993</v>
      </c>
      <c r="AK16" s="29">
        <f>'2-ф2'!AK27</f>
        <v>1319.4997799999996</v>
      </c>
      <c r="AL16" s="29">
        <f>'2-ф2'!AL27</f>
        <v>966.98778</v>
      </c>
      <c r="AM16" s="29">
        <f>'2-ф2'!AM27</f>
        <v>209.1457714285716</v>
      </c>
      <c r="AN16" s="29">
        <f>'2-ф2'!AN27</f>
        <v>209.1457714285716</v>
      </c>
      <c r="AO16" s="29">
        <f>'2-ф2'!AO27</f>
        <v>121.01777142857156</v>
      </c>
      <c r="AP16" s="27">
        <f>SUM(AD16:AO16)</f>
        <v>2755.4494114285717</v>
      </c>
      <c r="AQ16" s="29">
        <f>'2-ф2'!AQ27</f>
        <v>3268.199892857144</v>
      </c>
      <c r="AR16" s="29">
        <f>'2-ф2'!AR27</f>
        <v>3257.201510357143</v>
      </c>
      <c r="AS16" s="29">
        <f>'2-ф2'!AS27</f>
        <v>3245.653208732145</v>
      </c>
      <c r="AT16" s="29">
        <f>'2-ф2'!AT27</f>
        <v>3233.5274920258944</v>
      </c>
      <c r="AU16" s="29">
        <f>'2-ф2'!AU27</f>
        <v>3220.7954894843315</v>
      </c>
    </row>
    <row r="17" spans="1:47" s="21" customFormat="1" ht="25.5">
      <c r="A17" s="35" t="s">
        <v>19</v>
      </c>
      <c r="B17" s="18">
        <f>B9-B11</f>
        <v>65759.83136845683</v>
      </c>
      <c r="C17" s="18"/>
      <c r="D17" s="18">
        <f aca="true" t="shared" si="8" ref="D17:AU17">D9-D11</f>
        <v>0</v>
      </c>
      <c r="E17" s="18">
        <f t="shared" si="8"/>
        <v>0</v>
      </c>
      <c r="F17" s="18">
        <f t="shared" si="8"/>
        <v>0</v>
      </c>
      <c r="G17" s="18">
        <f t="shared" si="8"/>
        <v>0</v>
      </c>
      <c r="H17" s="18">
        <f t="shared" si="8"/>
        <v>0</v>
      </c>
      <c r="I17" s="18">
        <f t="shared" si="8"/>
        <v>0</v>
      </c>
      <c r="J17" s="18">
        <f t="shared" si="8"/>
        <v>0</v>
      </c>
      <c r="K17" s="18">
        <f t="shared" si="8"/>
        <v>0</v>
      </c>
      <c r="L17" s="18">
        <f t="shared" si="8"/>
        <v>0</v>
      </c>
      <c r="M17" s="18">
        <f t="shared" si="8"/>
        <v>0</v>
      </c>
      <c r="N17" s="18">
        <f t="shared" si="8"/>
        <v>0</v>
      </c>
      <c r="O17" s="18">
        <f t="shared" si="8"/>
        <v>-2218.3563599999998</v>
      </c>
      <c r="P17" s="18">
        <f t="shared" si="8"/>
        <v>-2218.3563599999998</v>
      </c>
      <c r="Q17" s="18">
        <f t="shared" si="8"/>
        <v>-575.1318799999999</v>
      </c>
      <c r="R17" s="18">
        <f t="shared" si="8"/>
        <v>-575.1318799999999</v>
      </c>
      <c r="S17" s="18">
        <f t="shared" si="8"/>
        <v>-575.1318799999999</v>
      </c>
      <c r="T17" s="18">
        <f t="shared" si="8"/>
        <v>-1068.09996</v>
      </c>
      <c r="U17" s="18">
        <f t="shared" si="8"/>
        <v>-1068.09996</v>
      </c>
      <c r="V17" s="18">
        <f t="shared" si="8"/>
        <v>-1982.55756</v>
      </c>
      <c r="W17" s="18">
        <f t="shared" si="8"/>
        <v>-2475.52564</v>
      </c>
      <c r="X17" s="18">
        <f t="shared" si="8"/>
        <v>5477.855622920622</v>
      </c>
      <c r="Y17" s="18">
        <f t="shared" si="8"/>
        <v>3708.533374845046</v>
      </c>
      <c r="Z17" s="18">
        <f t="shared" si="8"/>
        <v>-267.62171423265045</v>
      </c>
      <c r="AA17" s="18">
        <f t="shared" si="8"/>
        <v>-319.69324133948976</v>
      </c>
      <c r="AB17" s="18">
        <f t="shared" si="8"/>
        <v>-721.5484907889759</v>
      </c>
      <c r="AC17" s="18">
        <f t="shared" si="8"/>
        <v>-442.1532085954532</v>
      </c>
      <c r="AD17" s="18">
        <f t="shared" si="8"/>
        <v>-64.70399308882133</v>
      </c>
      <c r="AE17" s="18">
        <f t="shared" si="8"/>
        <v>-64.23215122613146</v>
      </c>
      <c r="AF17" s="18">
        <f t="shared" si="8"/>
        <v>-63.757556952575214</v>
      </c>
      <c r="AG17" s="18">
        <f t="shared" si="8"/>
        <v>-548.3479978687737</v>
      </c>
      <c r="AH17" s="18">
        <f t="shared" si="8"/>
        <v>-557.4035830921748</v>
      </c>
      <c r="AI17" s="18">
        <f t="shared" si="8"/>
        <v>-2705.667170069147</v>
      </c>
      <c r="AJ17" s="18">
        <f t="shared" si="8"/>
        <v>-3145.3314760840813</v>
      </c>
      <c r="AK17" s="18">
        <f t="shared" si="8"/>
        <v>9317.113507150054</v>
      </c>
      <c r="AL17" s="18">
        <f t="shared" si="8"/>
        <v>6454.4221152696755</v>
      </c>
      <c r="AM17" s="18">
        <f t="shared" si="8"/>
        <v>596.1825800643574</v>
      </c>
      <c r="AN17" s="18">
        <f t="shared" si="8"/>
        <v>596.580339667008</v>
      </c>
      <c r="AO17" s="18">
        <f t="shared" si="8"/>
        <v>-80.33019503742253</v>
      </c>
      <c r="AP17" s="18">
        <f t="shared" si="8"/>
        <v>9734.524418731962</v>
      </c>
      <c r="AQ17" s="18">
        <f t="shared" si="8"/>
        <v>12694.19514102154</v>
      </c>
      <c r="AR17" s="18">
        <f t="shared" si="8"/>
        <v>12237.632305359031</v>
      </c>
      <c r="AS17" s="18">
        <f t="shared" si="8"/>
        <v>11759.626916260386</v>
      </c>
      <c r="AT17" s="18">
        <f t="shared" si="8"/>
        <v>11259.207010347425</v>
      </c>
      <c r="AU17" s="18">
        <f t="shared" si="8"/>
        <v>10735.155145331912</v>
      </c>
    </row>
    <row r="18" spans="1:47" s="21" customFormat="1" ht="12.75">
      <c r="A18" s="22" t="s">
        <v>20</v>
      </c>
      <c r="B18" s="23"/>
      <c r="C18" s="2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36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3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36"/>
      <c r="AQ18" s="36"/>
      <c r="AR18" s="36"/>
      <c r="AS18" s="36"/>
      <c r="AT18" s="36"/>
      <c r="AU18" s="36"/>
    </row>
    <row r="19" spans="1:47" s="21" customFormat="1" ht="12.75">
      <c r="A19" s="26" t="s">
        <v>6</v>
      </c>
      <c r="B19" s="27"/>
      <c r="C19" s="2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2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2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27"/>
      <c r="AQ19" s="27"/>
      <c r="AR19" s="27"/>
      <c r="AS19" s="27"/>
      <c r="AT19" s="27"/>
      <c r="AU19" s="27"/>
    </row>
    <row r="20" spans="1:47" s="21" customFormat="1" ht="12.75">
      <c r="A20" s="26" t="s">
        <v>7</v>
      </c>
      <c r="B20" s="27">
        <f>SUM(B21:B22)</f>
        <v>7024.374600000001</v>
      </c>
      <c r="C20" s="27"/>
      <c r="D20" s="27">
        <f aca="true" t="shared" si="9" ref="D20:AB20">SUM(D21:D22)</f>
        <v>0</v>
      </c>
      <c r="E20" s="27">
        <f t="shared" si="9"/>
        <v>0</v>
      </c>
      <c r="F20" s="27">
        <f t="shared" si="9"/>
        <v>0</v>
      </c>
      <c r="G20" s="27">
        <f t="shared" si="9"/>
        <v>0</v>
      </c>
      <c r="H20" s="27">
        <f>SUM(H21:H22)</f>
        <v>0</v>
      </c>
      <c r="I20" s="27">
        <f t="shared" si="9"/>
        <v>0</v>
      </c>
      <c r="J20" s="27">
        <f t="shared" si="9"/>
        <v>0</v>
      </c>
      <c r="K20" s="27">
        <f t="shared" si="9"/>
        <v>0</v>
      </c>
      <c r="L20" s="27">
        <f t="shared" si="9"/>
        <v>0</v>
      </c>
      <c r="M20" s="27">
        <f t="shared" si="9"/>
        <v>2518.6623000000004</v>
      </c>
      <c r="N20" s="27">
        <f t="shared" si="9"/>
        <v>0</v>
      </c>
      <c r="O20" s="27">
        <f t="shared" si="9"/>
        <v>4505.7123</v>
      </c>
      <c r="P20" s="27">
        <f t="shared" si="9"/>
        <v>7024.374600000001</v>
      </c>
      <c r="Q20" s="27">
        <f t="shared" si="9"/>
        <v>0</v>
      </c>
      <c r="R20" s="27">
        <f t="shared" si="9"/>
        <v>0</v>
      </c>
      <c r="S20" s="27">
        <f t="shared" si="9"/>
        <v>0</v>
      </c>
      <c r="T20" s="27">
        <f t="shared" si="9"/>
        <v>0</v>
      </c>
      <c r="U20" s="27">
        <f t="shared" si="9"/>
        <v>0</v>
      </c>
      <c r="V20" s="27">
        <f t="shared" si="9"/>
        <v>0</v>
      </c>
      <c r="W20" s="27">
        <f t="shared" si="9"/>
        <v>0</v>
      </c>
      <c r="X20" s="27">
        <f t="shared" si="9"/>
        <v>0</v>
      </c>
      <c r="Y20" s="27">
        <f t="shared" si="9"/>
        <v>0</v>
      </c>
      <c r="Z20" s="27">
        <f t="shared" si="9"/>
        <v>0</v>
      </c>
      <c r="AA20" s="27">
        <f t="shared" si="9"/>
        <v>0</v>
      </c>
      <c r="AB20" s="27">
        <f t="shared" si="9"/>
        <v>0</v>
      </c>
      <c r="AC20" s="27">
        <f>SUM(AC21:AC22)</f>
        <v>0</v>
      </c>
      <c r="AD20" s="27">
        <f aca="true" t="shared" si="10" ref="AD20:AP20">SUM(AD21:AD22)</f>
        <v>0</v>
      </c>
      <c r="AE20" s="27">
        <f t="shared" si="10"/>
        <v>0</v>
      </c>
      <c r="AF20" s="27">
        <f t="shared" si="10"/>
        <v>0</v>
      </c>
      <c r="AG20" s="27">
        <f t="shared" si="10"/>
        <v>0</v>
      </c>
      <c r="AH20" s="27">
        <f t="shared" si="10"/>
        <v>0</v>
      </c>
      <c r="AI20" s="27">
        <f t="shared" si="10"/>
        <v>0</v>
      </c>
      <c r="AJ20" s="27">
        <f t="shared" si="10"/>
        <v>0</v>
      </c>
      <c r="AK20" s="27">
        <f t="shared" si="10"/>
        <v>0</v>
      </c>
      <c r="AL20" s="27">
        <f t="shared" si="10"/>
        <v>0</v>
      </c>
      <c r="AM20" s="27">
        <f t="shared" si="10"/>
        <v>0</v>
      </c>
      <c r="AN20" s="27">
        <f t="shared" si="10"/>
        <v>0</v>
      </c>
      <c r="AO20" s="27">
        <f t="shared" si="10"/>
        <v>0</v>
      </c>
      <c r="AP20" s="27">
        <f t="shared" si="10"/>
        <v>0</v>
      </c>
      <c r="AQ20" s="27">
        <f>SUM(AQ21:AQ22)</f>
        <v>0</v>
      </c>
      <c r="AR20" s="27">
        <f>SUM(AR21:AR22)</f>
        <v>0</v>
      </c>
      <c r="AS20" s="27">
        <f>SUM(AS21:AS22)</f>
        <v>0</v>
      </c>
      <c r="AT20" s="27">
        <f>SUM(AT21:AT22)</f>
        <v>0</v>
      </c>
      <c r="AU20" s="27">
        <f>SUM(AU21:AU22)</f>
        <v>0</v>
      </c>
    </row>
    <row r="21" spans="1:47" ht="12.75">
      <c r="A21" s="38" t="s">
        <v>21</v>
      </c>
      <c r="B21" s="27">
        <f>P21+AC21+AP21+AQ21+AR21+AS21+AT21+AU21</f>
        <v>7024.374600000001</v>
      </c>
      <c r="C21" s="27"/>
      <c r="D21" s="29">
        <f>Инв!E16</f>
        <v>0</v>
      </c>
      <c r="E21" s="29">
        <f>Инв!F16</f>
        <v>0</v>
      </c>
      <c r="F21" s="29">
        <f>Инв!G16</f>
        <v>0</v>
      </c>
      <c r="G21" s="29">
        <f>Инв!H16</f>
        <v>0</v>
      </c>
      <c r="H21" s="29">
        <f>Инв!I16</f>
        <v>0</v>
      </c>
      <c r="I21" s="29">
        <f>Инв!J16</f>
        <v>0</v>
      </c>
      <c r="J21" s="29">
        <f>Инв!K16</f>
        <v>0</v>
      </c>
      <c r="K21" s="29">
        <f>Инв!L16</f>
        <v>0</v>
      </c>
      <c r="L21" s="29">
        <f>Инв!M16</f>
        <v>0</v>
      </c>
      <c r="M21" s="29">
        <f>Инв!N16</f>
        <v>2518.6623000000004</v>
      </c>
      <c r="N21" s="29">
        <f>Инв!O16</f>
        <v>0</v>
      </c>
      <c r="O21" s="29">
        <f>Инв!P16</f>
        <v>4505.7123</v>
      </c>
      <c r="P21" s="27">
        <f>SUM(D21:O21)</f>
        <v>7024.374600000001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7">
        <f>SUM(Q21:AB21)</f>
        <v>0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7">
        <f>SUM(AD21:AO21)</f>
        <v>0</v>
      </c>
      <c r="AQ21" s="27"/>
      <c r="AR21" s="27"/>
      <c r="AS21" s="27"/>
      <c r="AT21" s="27"/>
      <c r="AU21" s="27"/>
    </row>
    <row r="22" spans="1:47" ht="12.75" outlineLevel="1">
      <c r="A22" s="38"/>
      <c r="B22" s="27">
        <f>P22+AC22+AP22+AQ22+AR22+AS22+AT22+AU22</f>
        <v>0</v>
      </c>
      <c r="C22" s="27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7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7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7"/>
      <c r="AQ22" s="27"/>
      <c r="AR22" s="27"/>
      <c r="AS22" s="27"/>
      <c r="AT22" s="27"/>
      <c r="AU22" s="27"/>
    </row>
    <row r="23" spans="1:47" s="21" customFormat="1" ht="25.5">
      <c r="A23" s="39" t="s">
        <v>22</v>
      </c>
      <c r="B23" s="18">
        <f>B19-B20</f>
        <v>-7024.374600000001</v>
      </c>
      <c r="C23" s="18"/>
      <c r="D23" s="18">
        <f>D19-D20</f>
        <v>0</v>
      </c>
      <c r="E23" s="18">
        <f aca="true" t="shared" si="11" ref="E23:AB23">E19-E20</f>
        <v>0</v>
      </c>
      <c r="F23" s="18">
        <f t="shared" si="11"/>
        <v>0</v>
      </c>
      <c r="G23" s="18">
        <f t="shared" si="11"/>
        <v>0</v>
      </c>
      <c r="H23" s="18">
        <f t="shared" si="11"/>
        <v>0</v>
      </c>
      <c r="I23" s="18">
        <f t="shared" si="11"/>
        <v>0</v>
      </c>
      <c r="J23" s="18">
        <f>J19-J20</f>
        <v>0</v>
      </c>
      <c r="K23" s="18">
        <f t="shared" si="11"/>
        <v>0</v>
      </c>
      <c r="L23" s="18">
        <f t="shared" si="11"/>
        <v>0</v>
      </c>
      <c r="M23" s="18">
        <f t="shared" si="11"/>
        <v>-2518.6623000000004</v>
      </c>
      <c r="N23" s="18">
        <f t="shared" si="11"/>
        <v>0</v>
      </c>
      <c r="O23" s="18">
        <f t="shared" si="11"/>
        <v>-4505.7123</v>
      </c>
      <c r="P23" s="18">
        <f>SUM(D23:O23)</f>
        <v>-7024.374600000001</v>
      </c>
      <c r="Q23" s="18">
        <f t="shared" si="11"/>
        <v>0</v>
      </c>
      <c r="R23" s="18">
        <f t="shared" si="11"/>
        <v>0</v>
      </c>
      <c r="S23" s="18">
        <f t="shared" si="11"/>
        <v>0</v>
      </c>
      <c r="T23" s="18">
        <f t="shared" si="11"/>
        <v>0</v>
      </c>
      <c r="U23" s="18">
        <f t="shared" si="11"/>
        <v>0</v>
      </c>
      <c r="V23" s="18">
        <f t="shared" si="11"/>
        <v>0</v>
      </c>
      <c r="W23" s="18">
        <f t="shared" si="11"/>
        <v>0</v>
      </c>
      <c r="X23" s="18">
        <f t="shared" si="11"/>
        <v>0</v>
      </c>
      <c r="Y23" s="18">
        <f t="shared" si="11"/>
        <v>0</v>
      </c>
      <c r="Z23" s="18">
        <f t="shared" si="11"/>
        <v>0</v>
      </c>
      <c r="AA23" s="18">
        <f t="shared" si="11"/>
        <v>0</v>
      </c>
      <c r="AB23" s="18">
        <f t="shared" si="11"/>
        <v>0</v>
      </c>
      <c r="AC23" s="18">
        <f>SUM(Q23:AB23)</f>
        <v>0</v>
      </c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>
        <f>SUM(AD23:AO23)</f>
        <v>0</v>
      </c>
      <c r="AQ23" s="18"/>
      <c r="AR23" s="18"/>
      <c r="AS23" s="18"/>
      <c r="AT23" s="18"/>
      <c r="AU23" s="18"/>
    </row>
    <row r="24" spans="1:47" s="43" customFormat="1" ht="12.75">
      <c r="A24" s="40" t="s">
        <v>23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2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2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42"/>
      <c r="AR24" s="42"/>
      <c r="AS24" s="42"/>
      <c r="AT24" s="42"/>
      <c r="AU24" s="42"/>
    </row>
    <row r="25" spans="1:47" s="21" customFormat="1" ht="12.75">
      <c r="A25" s="22" t="s">
        <v>24</v>
      </c>
      <c r="B25" s="23"/>
      <c r="C25" s="23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36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36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36"/>
      <c r="AQ25" s="36"/>
      <c r="AR25" s="36"/>
      <c r="AS25" s="36"/>
      <c r="AT25" s="36"/>
      <c r="AU25" s="36"/>
    </row>
    <row r="26" spans="1:47" s="21" customFormat="1" ht="12.75">
      <c r="A26" s="26" t="s">
        <v>6</v>
      </c>
      <c r="B26" s="27">
        <f>SUM(B27:B28)</f>
        <v>17775.67132</v>
      </c>
      <c r="C26" s="27"/>
      <c r="D26" s="27">
        <f>SUM(D27:D28)</f>
        <v>0</v>
      </c>
      <c r="E26" s="27">
        <f aca="true" t="shared" si="12" ref="E26:O26">SUM(E27:E28)</f>
        <v>0</v>
      </c>
      <c r="F26" s="27">
        <f t="shared" si="12"/>
        <v>0</v>
      </c>
      <c r="G26" s="27">
        <f t="shared" si="12"/>
        <v>0</v>
      </c>
      <c r="H26" s="27">
        <f t="shared" si="12"/>
        <v>0</v>
      </c>
      <c r="I26" s="27">
        <f t="shared" si="12"/>
        <v>0</v>
      </c>
      <c r="J26" s="27">
        <f t="shared" si="12"/>
        <v>0</v>
      </c>
      <c r="K26" s="27">
        <f t="shared" si="12"/>
        <v>0</v>
      </c>
      <c r="L26" s="27">
        <f t="shared" si="12"/>
        <v>0</v>
      </c>
      <c r="M26" s="27">
        <f t="shared" si="12"/>
        <v>2518.6623000000004</v>
      </c>
      <c r="N26" s="27">
        <f t="shared" si="12"/>
        <v>4505.7123</v>
      </c>
      <c r="O26" s="27">
        <f t="shared" si="12"/>
        <v>2218.3563599999998</v>
      </c>
      <c r="P26" s="27">
        <f aca="true" t="shared" si="13" ref="P26:AB26">SUM(P27:P28)</f>
        <v>9242.73096</v>
      </c>
      <c r="Q26" s="27">
        <f t="shared" si="13"/>
        <v>1478.9042399999998</v>
      </c>
      <c r="R26" s="27">
        <f t="shared" si="13"/>
        <v>1478.9042399999998</v>
      </c>
      <c r="S26" s="27">
        <f t="shared" si="13"/>
        <v>5575.13188</v>
      </c>
      <c r="T26" s="27">
        <f t="shared" si="13"/>
        <v>0</v>
      </c>
      <c r="U26" s="27">
        <f t="shared" si="13"/>
        <v>0</v>
      </c>
      <c r="V26" s="27">
        <f t="shared" si="13"/>
        <v>0</v>
      </c>
      <c r="W26" s="27">
        <f t="shared" si="13"/>
        <v>0</v>
      </c>
      <c r="X26" s="27">
        <f t="shared" si="13"/>
        <v>0</v>
      </c>
      <c r="Y26" s="27">
        <f t="shared" si="13"/>
        <v>0</v>
      </c>
      <c r="Z26" s="27">
        <f t="shared" si="13"/>
        <v>0</v>
      </c>
      <c r="AA26" s="27">
        <f t="shared" si="13"/>
        <v>0</v>
      </c>
      <c r="AB26" s="27">
        <f t="shared" si="13"/>
        <v>0</v>
      </c>
      <c r="AC26" s="27">
        <f>SUM(AC27:AC28)</f>
        <v>8532.94036</v>
      </c>
      <c r="AD26" s="27">
        <f aca="true" t="shared" si="14" ref="AD26:AP26">SUM(AD27:AD28)</f>
        <v>0</v>
      </c>
      <c r="AE26" s="27">
        <f t="shared" si="14"/>
        <v>0</v>
      </c>
      <c r="AF26" s="27">
        <f t="shared" si="14"/>
        <v>0</v>
      </c>
      <c r="AG26" s="27">
        <f t="shared" si="14"/>
        <v>0</v>
      </c>
      <c r="AH26" s="27">
        <f t="shared" si="14"/>
        <v>0</v>
      </c>
      <c r="AI26" s="27">
        <f t="shared" si="14"/>
        <v>0</v>
      </c>
      <c r="AJ26" s="27">
        <f t="shared" si="14"/>
        <v>0</v>
      </c>
      <c r="AK26" s="27">
        <f t="shared" si="14"/>
        <v>0</v>
      </c>
      <c r="AL26" s="27">
        <f t="shared" si="14"/>
        <v>0</v>
      </c>
      <c r="AM26" s="27">
        <f t="shared" si="14"/>
        <v>0</v>
      </c>
      <c r="AN26" s="27">
        <f t="shared" si="14"/>
        <v>0</v>
      </c>
      <c r="AO26" s="27">
        <f t="shared" si="14"/>
        <v>0</v>
      </c>
      <c r="AP26" s="27">
        <f t="shared" si="14"/>
        <v>0</v>
      </c>
      <c r="AQ26" s="27">
        <f>SUM(AQ27:AQ28)</f>
        <v>0</v>
      </c>
      <c r="AR26" s="27">
        <f>SUM(AR27:AR28)</f>
        <v>0</v>
      </c>
      <c r="AS26" s="27">
        <f>SUM(AS27:AS28)</f>
        <v>0</v>
      </c>
      <c r="AT26" s="27">
        <f>SUM(AT27:AT28)</f>
        <v>0</v>
      </c>
      <c r="AU26" s="27">
        <f>SUM(AU27:AU28)</f>
        <v>0</v>
      </c>
    </row>
    <row r="27" spans="1:47" ht="12.75" customHeight="1">
      <c r="A27" s="38" t="s">
        <v>56</v>
      </c>
      <c r="B27" s="27">
        <f>P27+AC27+AP27+AQ27+AR27+AS27+AT27+AU27</f>
        <v>10751.29672</v>
      </c>
      <c r="C27" s="27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>
        <f>N12+N13</f>
        <v>0</v>
      </c>
      <c r="O27" s="29">
        <f>O12+O13</f>
        <v>2218.3563599999998</v>
      </c>
      <c r="P27" s="27">
        <f>SUM(D27:O27)</f>
        <v>2218.3563599999998</v>
      </c>
      <c r="Q27" s="29">
        <f>Q12</f>
        <v>1478.9042399999998</v>
      </c>
      <c r="R27" s="29">
        <f>R12</f>
        <v>1478.9042399999998</v>
      </c>
      <c r="S27" s="33">
        <f>S12+S13-S10+5000</f>
        <v>5575.13188</v>
      </c>
      <c r="T27" s="29"/>
      <c r="U27" s="29"/>
      <c r="V27" s="29"/>
      <c r="W27" s="29"/>
      <c r="X27" s="29"/>
      <c r="Y27" s="29"/>
      <c r="Z27" s="29"/>
      <c r="AA27" s="29"/>
      <c r="AB27" s="29"/>
      <c r="AC27" s="27">
        <f>SUM(Q27:AB27)</f>
        <v>8532.94036</v>
      </c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7">
        <f>SUM(AD27:AO27)</f>
        <v>0</v>
      </c>
      <c r="AQ27" s="27"/>
      <c r="AR27" s="27"/>
      <c r="AS27" s="27"/>
      <c r="AT27" s="27"/>
      <c r="AU27" s="27"/>
    </row>
    <row r="28" spans="1:47" ht="12.75">
      <c r="A28" s="44" t="s">
        <v>160</v>
      </c>
      <c r="B28" s="27">
        <f>P28+AC28+AP28+AQ28+AR28+AS28+AT28+AU28</f>
        <v>7024.374600000001</v>
      </c>
      <c r="C28" s="27"/>
      <c r="D28" s="29"/>
      <c r="E28" s="29"/>
      <c r="F28" s="29"/>
      <c r="G28" s="29"/>
      <c r="H28" s="29"/>
      <c r="I28" s="29"/>
      <c r="J28" s="29"/>
      <c r="K28" s="29">
        <f>K20</f>
        <v>0</v>
      </c>
      <c r="L28" s="29">
        <f>L20</f>
        <v>0</v>
      </c>
      <c r="M28" s="29">
        <f>M20</f>
        <v>2518.6623000000004</v>
      </c>
      <c r="N28" s="29">
        <f>N20+O20</f>
        <v>4505.7123</v>
      </c>
      <c r="O28" s="29"/>
      <c r="P28" s="27">
        <f>SUM(D28:O28)</f>
        <v>7024.374600000001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7">
        <f>SUM(Q28:AB28)</f>
        <v>0</v>
      </c>
      <c r="AD28" s="29"/>
      <c r="AE28" s="29"/>
      <c r="AF28" s="29"/>
      <c r="AG28" s="29"/>
      <c r="AH28" s="29"/>
      <c r="AI28" s="29"/>
      <c r="AJ28" s="45"/>
      <c r="AK28" s="45"/>
      <c r="AL28" s="45"/>
      <c r="AM28" s="45"/>
      <c r="AN28" s="45"/>
      <c r="AO28" s="45"/>
      <c r="AP28" s="27">
        <f>SUM(AD28:AO28)</f>
        <v>0</v>
      </c>
      <c r="AQ28" s="27"/>
      <c r="AR28" s="27"/>
      <c r="AS28" s="27"/>
      <c r="AT28" s="27"/>
      <c r="AU28" s="27"/>
    </row>
    <row r="29" spans="1:47" s="21" customFormat="1" ht="12.75">
      <c r="A29" s="26" t="s">
        <v>7</v>
      </c>
      <c r="B29" s="27">
        <f>SUM(B30:B31)</f>
        <v>7393.154266499973</v>
      </c>
      <c r="C29" s="27"/>
      <c r="D29" s="27">
        <f>SUM(D30:D31)</f>
        <v>0</v>
      </c>
      <c r="E29" s="27">
        <f aca="true" t="shared" si="15" ref="E29:AR29">SUM(E30:E31)</f>
        <v>0</v>
      </c>
      <c r="F29" s="27">
        <f t="shared" si="15"/>
        <v>0</v>
      </c>
      <c r="G29" s="27">
        <f t="shared" si="15"/>
        <v>0</v>
      </c>
      <c r="H29" s="27">
        <f t="shared" si="15"/>
        <v>0</v>
      </c>
      <c r="I29" s="27">
        <f>SUM(I30:I31)</f>
        <v>0</v>
      </c>
      <c r="J29" s="27">
        <f t="shared" si="15"/>
        <v>0</v>
      </c>
      <c r="K29" s="27">
        <f t="shared" si="15"/>
        <v>0</v>
      </c>
      <c r="L29" s="27">
        <f t="shared" si="15"/>
        <v>0</v>
      </c>
      <c r="M29" s="27">
        <f t="shared" si="15"/>
        <v>0</v>
      </c>
      <c r="N29" s="27">
        <f t="shared" si="15"/>
        <v>0</v>
      </c>
      <c r="O29" s="27">
        <f t="shared" si="15"/>
        <v>0</v>
      </c>
      <c r="P29" s="27">
        <f t="shared" si="15"/>
        <v>0</v>
      </c>
      <c r="Q29" s="27">
        <f t="shared" si="15"/>
        <v>0</v>
      </c>
      <c r="R29" s="27">
        <f t="shared" si="15"/>
        <v>0</v>
      </c>
      <c r="S29" s="27">
        <f t="shared" si="15"/>
        <v>0</v>
      </c>
      <c r="T29" s="27">
        <f t="shared" si="15"/>
        <v>0</v>
      </c>
      <c r="U29" s="27">
        <f t="shared" si="15"/>
        <v>0</v>
      </c>
      <c r="V29" s="27">
        <f t="shared" si="15"/>
        <v>0</v>
      </c>
      <c r="W29" s="27">
        <f t="shared" si="15"/>
        <v>0</v>
      </c>
      <c r="X29" s="27">
        <f t="shared" si="15"/>
        <v>28.276811364976886</v>
      </c>
      <c r="Y29" s="27">
        <f t="shared" si="15"/>
        <v>79.02701525217248</v>
      </c>
      <c r="Z29" s="27">
        <f t="shared" si="15"/>
        <v>79.48800617447681</v>
      </c>
      <c r="AA29" s="27">
        <f t="shared" si="15"/>
        <v>79.9516862104946</v>
      </c>
      <c r="AB29" s="27">
        <f t="shared" si="15"/>
        <v>80.41807104672247</v>
      </c>
      <c r="AC29" s="27">
        <f>SUM(AC30:AC31)</f>
        <v>347.1615900488432</v>
      </c>
      <c r="AD29" s="27">
        <f aca="true" t="shared" si="16" ref="AD29:AP29">SUM(AD30:AD31)</f>
        <v>80.88717646116172</v>
      </c>
      <c r="AE29" s="27">
        <f t="shared" si="16"/>
        <v>81.35901832385181</v>
      </c>
      <c r="AF29" s="27">
        <f t="shared" si="16"/>
        <v>81.83361259740761</v>
      </c>
      <c r="AG29" s="27">
        <f t="shared" si="16"/>
        <v>82.31097533755917</v>
      </c>
      <c r="AH29" s="27">
        <f t="shared" si="16"/>
        <v>82.79112269369492</v>
      </c>
      <c r="AI29" s="27">
        <f t="shared" si="16"/>
        <v>83.27407090940815</v>
      </c>
      <c r="AJ29" s="27">
        <f t="shared" si="16"/>
        <v>83.75983632304636</v>
      </c>
      <c r="AK29" s="27">
        <f t="shared" si="16"/>
        <v>84.24843536826413</v>
      </c>
      <c r="AL29" s="27">
        <f t="shared" si="16"/>
        <v>84.73988457457901</v>
      </c>
      <c r="AM29" s="27">
        <f t="shared" si="16"/>
        <v>85.23420056793071</v>
      </c>
      <c r="AN29" s="27">
        <f t="shared" si="16"/>
        <v>85.73140007124363</v>
      </c>
      <c r="AO29" s="27">
        <f t="shared" si="16"/>
        <v>86.23149990499256</v>
      </c>
      <c r="AP29" s="27">
        <f t="shared" si="16"/>
        <v>1002.4012331331397</v>
      </c>
      <c r="AQ29" s="27">
        <f t="shared" si="15"/>
        <v>1074.8648993267248</v>
      </c>
      <c r="AR29" s="27">
        <f t="shared" si="15"/>
        <v>1152.5669698085833</v>
      </c>
      <c r="AS29" s="27">
        <f>SUM(AS30:AS31)</f>
        <v>1235.8861292482725</v>
      </c>
      <c r="AT29" s="27">
        <f>SUM(AT30:AT31)</f>
        <v>1325.2284374607302</v>
      </c>
      <c r="AU29" s="27">
        <f>SUM(AU30:AU31)</f>
        <v>1255.0450074736789</v>
      </c>
    </row>
    <row r="30" spans="1:47" ht="12.75">
      <c r="A30" s="28" t="s">
        <v>33</v>
      </c>
      <c r="B30" s="27">
        <f>P30+AC30+AP30+AQ30+AR30+AS30+AT30+AU30</f>
        <v>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27">
        <f>SUM(D30:O30)</f>
        <v>0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27">
        <f>SUM(Q30:AB30)</f>
        <v>0</v>
      </c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27">
        <f>SUM(AD30:AO30)</f>
        <v>0</v>
      </c>
      <c r="AQ30" s="27"/>
      <c r="AR30" s="27"/>
      <c r="AS30" s="27"/>
      <c r="AT30" s="27"/>
      <c r="AU30" s="27"/>
    </row>
    <row r="31" spans="1:47" ht="13.5" customHeight="1">
      <c r="A31" s="38" t="s">
        <v>159</v>
      </c>
      <c r="B31" s="27">
        <f>P31+AC31+AP31+AQ31+AR31+AS31+AT31+AU31</f>
        <v>7393.154266499973</v>
      </c>
      <c r="C31" s="27"/>
      <c r="D31" s="34">
        <f>кр!C25</f>
        <v>0</v>
      </c>
      <c r="E31" s="34">
        <f>кр!D25</f>
        <v>0</v>
      </c>
      <c r="F31" s="34">
        <f>кр!E25</f>
        <v>0</v>
      </c>
      <c r="G31" s="34">
        <f>кр!F25</f>
        <v>0</v>
      </c>
      <c r="H31" s="34">
        <f>кр!G25</f>
        <v>0</v>
      </c>
      <c r="I31" s="34">
        <f>кр!H25</f>
        <v>0</v>
      </c>
      <c r="J31" s="34">
        <f>кр!I25</f>
        <v>0</v>
      </c>
      <c r="K31" s="34">
        <f>кр!J25</f>
        <v>0</v>
      </c>
      <c r="L31" s="34">
        <f>кр!K25</f>
        <v>0</v>
      </c>
      <c r="M31" s="34">
        <f>кр!L25</f>
        <v>0</v>
      </c>
      <c r="N31" s="34">
        <f>кр!M25</f>
        <v>0</v>
      </c>
      <c r="O31" s="34">
        <f>кр!N25</f>
        <v>0</v>
      </c>
      <c r="P31" s="27">
        <f>SUM(D31:O31)</f>
        <v>0</v>
      </c>
      <c r="Q31" s="34">
        <f>кр!P25</f>
        <v>0</v>
      </c>
      <c r="R31" s="34">
        <f>кр!Q25</f>
        <v>0</v>
      </c>
      <c r="S31" s="34">
        <f>кр!R25</f>
        <v>0</v>
      </c>
      <c r="T31" s="34">
        <f>кр!S25</f>
        <v>0</v>
      </c>
      <c r="U31" s="34">
        <f>кр!T25</f>
        <v>0</v>
      </c>
      <c r="V31" s="34">
        <f>кр!U25</f>
        <v>0</v>
      </c>
      <c r="W31" s="34">
        <f>кр!V25</f>
        <v>0</v>
      </c>
      <c r="X31" s="34">
        <f>кр!W25</f>
        <v>28.276811364976886</v>
      </c>
      <c r="Y31" s="34">
        <f>кр!X25</f>
        <v>79.02701525217248</v>
      </c>
      <c r="Z31" s="34">
        <f>кр!Y25</f>
        <v>79.48800617447681</v>
      </c>
      <c r="AA31" s="34">
        <f>кр!Z25</f>
        <v>79.9516862104946</v>
      </c>
      <c r="AB31" s="34">
        <f>кр!AA25</f>
        <v>80.41807104672247</v>
      </c>
      <c r="AC31" s="27">
        <f>SUM(Q31:AB31)</f>
        <v>347.1615900488432</v>
      </c>
      <c r="AD31" s="34">
        <f>кр!AC25</f>
        <v>80.88717646116172</v>
      </c>
      <c r="AE31" s="34">
        <f>кр!AD25</f>
        <v>81.35901832385181</v>
      </c>
      <c r="AF31" s="34">
        <f>кр!AE25</f>
        <v>81.83361259740761</v>
      </c>
      <c r="AG31" s="34">
        <f>кр!AF25</f>
        <v>82.31097533755917</v>
      </c>
      <c r="AH31" s="34">
        <f>кр!AG25</f>
        <v>82.79112269369492</v>
      </c>
      <c r="AI31" s="34">
        <f>кр!AH25</f>
        <v>83.27407090940815</v>
      </c>
      <c r="AJ31" s="34">
        <f>кр!AI25</f>
        <v>83.75983632304636</v>
      </c>
      <c r="AK31" s="34">
        <f>кр!AJ25</f>
        <v>84.24843536826413</v>
      </c>
      <c r="AL31" s="34">
        <f>кр!AK25</f>
        <v>84.73988457457901</v>
      </c>
      <c r="AM31" s="34">
        <f>кр!AL25</f>
        <v>85.23420056793071</v>
      </c>
      <c r="AN31" s="34">
        <f>кр!AM25</f>
        <v>85.73140007124363</v>
      </c>
      <c r="AO31" s="34">
        <f>кр!AN25</f>
        <v>86.23149990499256</v>
      </c>
      <c r="AP31" s="27">
        <f>SUM(AD31:AO31)</f>
        <v>1002.4012331331397</v>
      </c>
      <c r="AQ31" s="34">
        <f>кр!BB25</f>
        <v>1074.8648993267248</v>
      </c>
      <c r="AR31" s="34">
        <f>кр!BO25</f>
        <v>1152.5669698085833</v>
      </c>
      <c r="AS31" s="34">
        <f>кр!CB25</f>
        <v>1235.8861292482725</v>
      </c>
      <c r="AT31" s="34">
        <f>кр!CO25</f>
        <v>1325.2284374607302</v>
      </c>
      <c r="AU31" s="34">
        <f>кр!DB25</f>
        <v>1255.0450074736789</v>
      </c>
    </row>
    <row r="32" spans="1:47" s="21" customFormat="1" ht="12.75">
      <c r="A32" s="39" t="s">
        <v>25</v>
      </c>
      <c r="B32" s="18">
        <f>B26-B29</f>
        <v>10382.517053500029</v>
      </c>
      <c r="C32" s="18"/>
      <c r="D32" s="18">
        <f>D26-D29</f>
        <v>0</v>
      </c>
      <c r="E32" s="18">
        <f aca="true" t="shared" si="17" ref="E32:AR32">E26-E29</f>
        <v>0</v>
      </c>
      <c r="F32" s="18">
        <f t="shared" si="17"/>
        <v>0</v>
      </c>
      <c r="G32" s="18">
        <f t="shared" si="17"/>
        <v>0</v>
      </c>
      <c r="H32" s="18">
        <f t="shared" si="17"/>
        <v>0</v>
      </c>
      <c r="I32" s="18">
        <f t="shared" si="17"/>
        <v>0</v>
      </c>
      <c r="J32" s="18">
        <f t="shared" si="17"/>
        <v>0</v>
      </c>
      <c r="K32" s="18">
        <f t="shared" si="17"/>
        <v>0</v>
      </c>
      <c r="L32" s="18">
        <f t="shared" si="17"/>
        <v>0</v>
      </c>
      <c r="M32" s="18">
        <f t="shared" si="17"/>
        <v>2518.6623000000004</v>
      </c>
      <c r="N32" s="18">
        <f t="shared" si="17"/>
        <v>4505.7123</v>
      </c>
      <c r="O32" s="18">
        <f t="shared" si="17"/>
        <v>2218.3563599999998</v>
      </c>
      <c r="P32" s="18">
        <f t="shared" si="17"/>
        <v>9242.73096</v>
      </c>
      <c r="Q32" s="18">
        <f t="shared" si="17"/>
        <v>1478.9042399999998</v>
      </c>
      <c r="R32" s="18">
        <f t="shared" si="17"/>
        <v>1478.9042399999998</v>
      </c>
      <c r="S32" s="18">
        <f t="shared" si="17"/>
        <v>5575.13188</v>
      </c>
      <c r="T32" s="18">
        <f t="shared" si="17"/>
        <v>0</v>
      </c>
      <c r="U32" s="18">
        <f t="shared" si="17"/>
        <v>0</v>
      </c>
      <c r="V32" s="18">
        <f t="shared" si="17"/>
        <v>0</v>
      </c>
      <c r="W32" s="18">
        <f t="shared" si="17"/>
        <v>0</v>
      </c>
      <c r="X32" s="18">
        <f t="shared" si="17"/>
        <v>-28.276811364976886</v>
      </c>
      <c r="Y32" s="18">
        <f t="shared" si="17"/>
        <v>-79.02701525217248</v>
      </c>
      <c r="Z32" s="18">
        <f t="shared" si="17"/>
        <v>-79.48800617447681</v>
      </c>
      <c r="AA32" s="18">
        <f t="shared" si="17"/>
        <v>-79.9516862104946</v>
      </c>
      <c r="AB32" s="18">
        <f t="shared" si="17"/>
        <v>-80.41807104672247</v>
      </c>
      <c r="AC32" s="18">
        <f>AC26-AC29</f>
        <v>8185.778769951157</v>
      </c>
      <c r="AD32" s="18">
        <f aca="true" t="shared" si="18" ref="AD32:AP32">AD26-AD29</f>
        <v>-80.88717646116172</v>
      </c>
      <c r="AE32" s="18">
        <f t="shared" si="18"/>
        <v>-81.35901832385181</v>
      </c>
      <c r="AF32" s="18">
        <f t="shared" si="18"/>
        <v>-81.83361259740761</v>
      </c>
      <c r="AG32" s="18">
        <f t="shared" si="18"/>
        <v>-82.31097533755917</v>
      </c>
      <c r="AH32" s="18">
        <f t="shared" si="18"/>
        <v>-82.79112269369492</v>
      </c>
      <c r="AI32" s="18">
        <f t="shared" si="18"/>
        <v>-83.27407090940815</v>
      </c>
      <c r="AJ32" s="18">
        <f t="shared" si="18"/>
        <v>-83.75983632304636</v>
      </c>
      <c r="AK32" s="18">
        <f t="shared" si="18"/>
        <v>-84.24843536826413</v>
      </c>
      <c r="AL32" s="18">
        <f t="shared" si="18"/>
        <v>-84.73988457457901</v>
      </c>
      <c r="AM32" s="18">
        <f t="shared" si="18"/>
        <v>-85.23420056793071</v>
      </c>
      <c r="AN32" s="18">
        <f t="shared" si="18"/>
        <v>-85.73140007124363</v>
      </c>
      <c r="AO32" s="18">
        <f t="shared" si="18"/>
        <v>-86.23149990499256</v>
      </c>
      <c r="AP32" s="18">
        <f t="shared" si="18"/>
        <v>-1002.4012331331397</v>
      </c>
      <c r="AQ32" s="18">
        <f t="shared" si="17"/>
        <v>-1074.8648993267248</v>
      </c>
      <c r="AR32" s="18">
        <f t="shared" si="17"/>
        <v>-1152.5669698085833</v>
      </c>
      <c r="AS32" s="18">
        <f>AS26-AS29</f>
        <v>-1235.8861292482725</v>
      </c>
      <c r="AT32" s="18">
        <f>AT26-AT29</f>
        <v>-1325.2284374607302</v>
      </c>
      <c r="AU32" s="18">
        <f>AU26-AU29</f>
        <v>-1255.0450074736789</v>
      </c>
    </row>
    <row r="33" spans="1:47" s="48" customFormat="1" ht="12.75">
      <c r="A33" s="46" t="s">
        <v>26</v>
      </c>
      <c r="B33" s="47">
        <f>B17+B23+B32</f>
        <v>69117.97382195685</v>
      </c>
      <c r="C33" s="27"/>
      <c r="D33" s="47">
        <f>D17+D23+D32</f>
        <v>0</v>
      </c>
      <c r="E33" s="47">
        <f aca="true" t="shared" si="19" ref="E33:AR33">E17+E23+E32</f>
        <v>0</v>
      </c>
      <c r="F33" s="47">
        <f t="shared" si="19"/>
        <v>0</v>
      </c>
      <c r="G33" s="47">
        <f t="shared" si="19"/>
        <v>0</v>
      </c>
      <c r="H33" s="47">
        <f t="shared" si="19"/>
        <v>0</v>
      </c>
      <c r="I33" s="47">
        <f t="shared" si="19"/>
        <v>0</v>
      </c>
      <c r="J33" s="47">
        <f t="shared" si="19"/>
        <v>0</v>
      </c>
      <c r="K33" s="47">
        <f t="shared" si="19"/>
        <v>0</v>
      </c>
      <c r="L33" s="47">
        <f t="shared" si="19"/>
        <v>0</v>
      </c>
      <c r="M33" s="47">
        <f t="shared" si="19"/>
        <v>0</v>
      </c>
      <c r="N33" s="47">
        <f t="shared" si="19"/>
        <v>4505.7123</v>
      </c>
      <c r="O33" s="47">
        <f t="shared" si="19"/>
        <v>-4505.7123</v>
      </c>
      <c r="P33" s="47">
        <f t="shared" si="19"/>
        <v>0</v>
      </c>
      <c r="Q33" s="47">
        <f t="shared" si="19"/>
        <v>903.7723599999999</v>
      </c>
      <c r="R33" s="47">
        <f t="shared" si="19"/>
        <v>903.7723599999999</v>
      </c>
      <c r="S33" s="47">
        <f t="shared" si="19"/>
        <v>5000</v>
      </c>
      <c r="T33" s="47">
        <f t="shared" si="19"/>
        <v>-1068.09996</v>
      </c>
      <c r="U33" s="47">
        <f t="shared" si="19"/>
        <v>-1068.09996</v>
      </c>
      <c r="V33" s="47">
        <f t="shared" si="19"/>
        <v>-1982.55756</v>
      </c>
      <c r="W33" s="47">
        <f t="shared" si="19"/>
        <v>-2475.52564</v>
      </c>
      <c r="X33" s="47">
        <f t="shared" si="19"/>
        <v>5449.578811555645</v>
      </c>
      <c r="Y33" s="47">
        <f t="shared" si="19"/>
        <v>3629.5063595928737</v>
      </c>
      <c r="Z33" s="47">
        <f t="shared" si="19"/>
        <v>-347.10972040712727</v>
      </c>
      <c r="AA33" s="47">
        <f t="shared" si="19"/>
        <v>-399.64492754998435</v>
      </c>
      <c r="AB33" s="47">
        <f t="shared" si="19"/>
        <v>-801.9665618356984</v>
      </c>
      <c r="AC33" s="47">
        <f>AC17+AC23+AC32</f>
        <v>7743.625561355704</v>
      </c>
      <c r="AD33" s="47">
        <f aca="true" t="shared" si="20" ref="AD33:AP33">AD17+AD23+AD32</f>
        <v>-145.59116954998305</v>
      </c>
      <c r="AE33" s="47">
        <f t="shared" si="20"/>
        <v>-145.59116954998328</v>
      </c>
      <c r="AF33" s="47">
        <f t="shared" si="20"/>
        <v>-145.59116954998282</v>
      </c>
      <c r="AG33" s="47">
        <f t="shared" si="20"/>
        <v>-630.6589732063329</v>
      </c>
      <c r="AH33" s="47">
        <f t="shared" si="20"/>
        <v>-640.1947057858697</v>
      </c>
      <c r="AI33" s="47">
        <f t="shared" si="20"/>
        <v>-2788.941240978555</v>
      </c>
      <c r="AJ33" s="47">
        <f t="shared" si="20"/>
        <v>-3229.0913124071276</v>
      </c>
      <c r="AK33" s="47">
        <f t="shared" si="20"/>
        <v>9232.865071781789</v>
      </c>
      <c r="AL33" s="47">
        <f t="shared" si="20"/>
        <v>6369.682230695096</v>
      </c>
      <c r="AM33" s="47">
        <f t="shared" si="20"/>
        <v>510.94837949642664</v>
      </c>
      <c r="AN33" s="47">
        <f t="shared" si="20"/>
        <v>510.8489395957644</v>
      </c>
      <c r="AO33" s="47">
        <f t="shared" si="20"/>
        <v>-166.5616949424151</v>
      </c>
      <c r="AP33" s="47">
        <f t="shared" si="20"/>
        <v>8732.123185598823</v>
      </c>
      <c r="AQ33" s="47">
        <f t="shared" si="19"/>
        <v>11619.330241694815</v>
      </c>
      <c r="AR33" s="47">
        <f t="shared" si="19"/>
        <v>11085.065335550447</v>
      </c>
      <c r="AS33" s="47">
        <f>AS17+AS23+AS32</f>
        <v>10523.740787012113</v>
      </c>
      <c r="AT33" s="47">
        <f>AT17+AT23+AT32</f>
        <v>9933.978572886695</v>
      </c>
      <c r="AU33" s="47">
        <f>AU17+AU23+AU32</f>
        <v>9480.110137858233</v>
      </c>
    </row>
    <row r="34" spans="1:55" s="21" customFormat="1" ht="12.75">
      <c r="A34" s="49" t="s">
        <v>55</v>
      </c>
      <c r="B34" s="27">
        <f>B7+B17+B23+B32</f>
        <v>69117.97382195685</v>
      </c>
      <c r="C34" s="50"/>
      <c r="D34" s="51">
        <f aca="true" t="shared" si="21" ref="D34:O34">D7+D17+D23+D32</f>
        <v>0</v>
      </c>
      <c r="E34" s="51">
        <f t="shared" si="21"/>
        <v>0</v>
      </c>
      <c r="F34" s="51">
        <f t="shared" si="21"/>
        <v>0</v>
      </c>
      <c r="G34" s="51">
        <f t="shared" si="21"/>
        <v>0</v>
      </c>
      <c r="H34" s="51">
        <f t="shared" si="21"/>
        <v>0</v>
      </c>
      <c r="I34" s="51">
        <f t="shared" si="21"/>
        <v>0</v>
      </c>
      <c r="J34" s="51">
        <f t="shared" si="21"/>
        <v>0</v>
      </c>
      <c r="K34" s="51">
        <f t="shared" si="21"/>
        <v>0</v>
      </c>
      <c r="L34" s="51">
        <f t="shared" si="21"/>
        <v>0</v>
      </c>
      <c r="M34" s="51">
        <f t="shared" si="21"/>
        <v>0</v>
      </c>
      <c r="N34" s="51">
        <f t="shared" si="21"/>
        <v>4505.7123</v>
      </c>
      <c r="O34" s="51">
        <f t="shared" si="21"/>
        <v>0</v>
      </c>
      <c r="P34" s="52">
        <f>O34</f>
        <v>0</v>
      </c>
      <c r="Q34" s="51">
        <f>P34+Q17+Q23+Q32</f>
        <v>903.7723599999999</v>
      </c>
      <c r="R34" s="51">
        <f aca="true" t="shared" si="22" ref="R34:AB34">Q34+R17+R23+R32</f>
        <v>1807.5447199999999</v>
      </c>
      <c r="S34" s="51">
        <f t="shared" si="22"/>
        <v>6807.54472</v>
      </c>
      <c r="T34" s="51">
        <f t="shared" si="22"/>
        <v>5739.44476</v>
      </c>
      <c r="U34" s="51">
        <f t="shared" si="22"/>
        <v>4671.344800000001</v>
      </c>
      <c r="V34" s="51">
        <f t="shared" si="22"/>
        <v>2688.7872400000006</v>
      </c>
      <c r="W34" s="51">
        <f t="shared" si="22"/>
        <v>213.26160000000073</v>
      </c>
      <c r="X34" s="51">
        <f t="shared" si="22"/>
        <v>5662.840411555646</v>
      </c>
      <c r="Y34" s="51">
        <f t="shared" si="22"/>
        <v>9292.346771148521</v>
      </c>
      <c r="Z34" s="51">
        <f t="shared" si="22"/>
        <v>8945.237050741394</v>
      </c>
      <c r="AA34" s="51">
        <f t="shared" si="22"/>
        <v>8545.59212319141</v>
      </c>
      <c r="AB34" s="51">
        <f t="shared" si="22"/>
        <v>7743.625561355712</v>
      </c>
      <c r="AC34" s="52">
        <f>AB34</f>
        <v>7743.625561355712</v>
      </c>
      <c r="AD34" s="51">
        <f aca="true" t="shared" si="23" ref="AD34:AO34">AC34+AD17+AD23+AD32</f>
        <v>7598.03439180573</v>
      </c>
      <c r="AE34" s="51">
        <f t="shared" si="23"/>
        <v>7452.443222255746</v>
      </c>
      <c r="AF34" s="51">
        <f t="shared" si="23"/>
        <v>7306.8520527057635</v>
      </c>
      <c r="AG34" s="51">
        <f t="shared" si="23"/>
        <v>6676.1930794994305</v>
      </c>
      <c r="AH34" s="51">
        <f t="shared" si="23"/>
        <v>6035.998373713561</v>
      </c>
      <c r="AI34" s="51">
        <f t="shared" si="23"/>
        <v>3247.057132735006</v>
      </c>
      <c r="AJ34" s="51">
        <f t="shared" si="23"/>
        <v>17.965820327878163</v>
      </c>
      <c r="AK34" s="51">
        <f t="shared" si="23"/>
        <v>9250.830892109667</v>
      </c>
      <c r="AL34" s="51">
        <f t="shared" si="23"/>
        <v>15620.513122804763</v>
      </c>
      <c r="AM34" s="51">
        <f t="shared" si="23"/>
        <v>16131.46150230119</v>
      </c>
      <c r="AN34" s="51">
        <f t="shared" si="23"/>
        <v>16642.310441896956</v>
      </c>
      <c r="AO34" s="51">
        <f t="shared" si="23"/>
        <v>16475.74874695454</v>
      </c>
      <c r="AP34" s="52">
        <f>AO34</f>
        <v>16475.74874695454</v>
      </c>
      <c r="AQ34" s="51">
        <f>AP34+AQ17+AQ23+AQ32</f>
        <v>28095.07898864936</v>
      </c>
      <c r="AR34" s="51">
        <f>AQ34+AR17+AR23+AR32</f>
        <v>39180.144324199806</v>
      </c>
      <c r="AS34" s="51">
        <f>AR34+AS17+AS23+AS32</f>
        <v>49703.885111211916</v>
      </c>
      <c r="AT34" s="51">
        <f>AS34+AT17+AT23+AT32</f>
        <v>59637.86368409861</v>
      </c>
      <c r="AU34" s="51">
        <f>AT34+AU17+AU23+AU32</f>
        <v>69117.97382195684</v>
      </c>
      <c r="AV34" s="7">
        <v>2013</v>
      </c>
      <c r="AW34" s="7">
        <f aca="true" t="shared" si="24" ref="AW34:AZ35">AV34+1</f>
        <v>2014</v>
      </c>
      <c r="AX34" s="7">
        <f t="shared" si="24"/>
        <v>2015</v>
      </c>
      <c r="AY34" s="7">
        <f t="shared" si="24"/>
        <v>2016</v>
      </c>
      <c r="AZ34" s="7">
        <f t="shared" si="24"/>
        <v>2017</v>
      </c>
      <c r="BA34" s="7">
        <f aca="true" t="shared" si="25" ref="BA34:BC35">AZ34+1</f>
        <v>2018</v>
      </c>
      <c r="BB34" s="7">
        <f t="shared" si="25"/>
        <v>2019</v>
      </c>
      <c r="BC34" s="7">
        <f t="shared" si="25"/>
        <v>2020</v>
      </c>
    </row>
    <row r="35" spans="1:55" ht="12.75">
      <c r="A35" s="53"/>
      <c r="B35" s="54">
        <f>AU34</f>
        <v>69117.97382195684</v>
      </c>
      <c r="C35" s="55"/>
      <c r="D35" s="56">
        <f aca="true" t="shared" si="26" ref="D35:N35">D7+D33-D34</f>
        <v>0</v>
      </c>
      <c r="E35" s="56">
        <f t="shared" si="26"/>
        <v>0</v>
      </c>
      <c r="F35" s="56">
        <f t="shared" si="26"/>
        <v>0</v>
      </c>
      <c r="G35" s="56">
        <f t="shared" si="26"/>
        <v>0</v>
      </c>
      <c r="H35" s="56">
        <f t="shared" si="26"/>
        <v>0</v>
      </c>
      <c r="I35" s="56">
        <f t="shared" si="26"/>
        <v>0</v>
      </c>
      <c r="J35" s="56">
        <f t="shared" si="26"/>
        <v>0</v>
      </c>
      <c r="K35" s="56">
        <f t="shared" si="26"/>
        <v>0</v>
      </c>
      <c r="L35" s="56">
        <f t="shared" si="26"/>
        <v>0</v>
      </c>
      <c r="M35" s="56">
        <f t="shared" si="26"/>
        <v>0</v>
      </c>
      <c r="N35" s="56">
        <f t="shared" si="26"/>
        <v>0</v>
      </c>
      <c r="O35" s="56"/>
      <c r="P35" s="56"/>
      <c r="Q35" s="56">
        <f>Q7+Q33-Q34</f>
        <v>0</v>
      </c>
      <c r="R35" s="56">
        <f>R7+R33-R34</f>
        <v>0</v>
      </c>
      <c r="S35" s="56"/>
      <c r="T35" s="56">
        <f>T7+T33-T34</f>
        <v>0</v>
      </c>
      <c r="U35" s="56">
        <f>U7+U33-U34</f>
        <v>0</v>
      </c>
      <c r="V35" s="56">
        <f>V7+V33-V34</f>
        <v>0</v>
      </c>
      <c r="W35" s="56"/>
      <c r="X35" s="56">
        <f>X7+X33-X34</f>
        <v>0</v>
      </c>
      <c r="Y35" s="56">
        <f>Y7+Y33-Y34</f>
        <v>0</v>
      </c>
      <c r="Z35" s="56">
        <f>Z7+Z33-Z34</f>
        <v>0</v>
      </c>
      <c r="AA35" s="56">
        <f>AA7+AA33-AA34</f>
        <v>0</v>
      </c>
      <c r="AB35" s="56">
        <f>AB7+AB33-AB34</f>
        <v>0</v>
      </c>
      <c r="AC35" s="56"/>
      <c r="AD35" s="56">
        <f aca="true" t="shared" si="27" ref="AD35:AO35">AD7+AD33-AD34</f>
        <v>0</v>
      </c>
      <c r="AE35" s="56">
        <f t="shared" si="27"/>
        <v>0</v>
      </c>
      <c r="AF35" s="56">
        <f t="shared" si="27"/>
        <v>0</v>
      </c>
      <c r="AG35" s="56">
        <f t="shared" si="27"/>
        <v>0</v>
      </c>
      <c r="AH35" s="56">
        <f t="shared" si="27"/>
        <v>0</v>
      </c>
      <c r="AI35" s="56">
        <f t="shared" si="27"/>
        <v>0</v>
      </c>
      <c r="AJ35" s="56">
        <f t="shared" si="27"/>
        <v>2.842170943040401E-14</v>
      </c>
      <c r="AK35" s="56">
        <f t="shared" si="27"/>
        <v>0</v>
      </c>
      <c r="AL35" s="56">
        <f t="shared" si="27"/>
        <v>0</v>
      </c>
      <c r="AM35" s="56">
        <f t="shared" si="27"/>
        <v>0</v>
      </c>
      <c r="AN35" s="56">
        <f t="shared" si="27"/>
        <v>0</v>
      </c>
      <c r="AO35" s="56">
        <f t="shared" si="27"/>
        <v>0</v>
      </c>
      <c r="AP35" s="56"/>
      <c r="AQ35" s="56">
        <f>AQ7+AQ33-AQ34</f>
        <v>0</v>
      </c>
      <c r="AR35" s="56">
        <f>AR7+AR33-AR34</f>
        <v>0</v>
      </c>
      <c r="AS35" s="56">
        <f>AS7+AS33-AS34</f>
        <v>0</v>
      </c>
      <c r="AT35" s="56">
        <f>AT7+AT33-AT34</f>
        <v>0</v>
      </c>
      <c r="AU35" s="56">
        <f>AU7+AU33-AU34</f>
        <v>0</v>
      </c>
      <c r="AV35" s="63">
        <v>0</v>
      </c>
      <c r="AW35" s="63">
        <f>AV35+1</f>
        <v>1</v>
      </c>
      <c r="AX35" s="63">
        <f t="shared" si="24"/>
        <v>2</v>
      </c>
      <c r="AY35" s="63">
        <f t="shared" si="24"/>
        <v>3</v>
      </c>
      <c r="AZ35" s="63">
        <f t="shared" si="24"/>
        <v>4</v>
      </c>
      <c r="BA35" s="63">
        <f t="shared" si="25"/>
        <v>5</v>
      </c>
      <c r="BB35" s="63">
        <f t="shared" si="25"/>
        <v>6</v>
      </c>
      <c r="BC35" s="63">
        <f t="shared" si="25"/>
        <v>7</v>
      </c>
    </row>
    <row r="36" spans="1:55" ht="12.75">
      <c r="A36" s="53" t="s">
        <v>61</v>
      </c>
      <c r="B36" s="64">
        <f>B34-B35</f>
        <v>0</v>
      </c>
      <c r="C36" s="55"/>
      <c r="Q36" s="58"/>
      <c r="AD36" s="58"/>
      <c r="AV36" s="58">
        <f>P33</f>
        <v>0</v>
      </c>
      <c r="AW36" s="58">
        <f>AC33</f>
        <v>7743.625561355704</v>
      </c>
      <c r="AX36" s="58">
        <f aca="true" t="shared" si="28" ref="AX36:BC36">AP33</f>
        <v>8732.123185598823</v>
      </c>
      <c r="AY36" s="58">
        <f t="shared" si="28"/>
        <v>11619.330241694815</v>
      </c>
      <c r="AZ36" s="58">
        <f t="shared" si="28"/>
        <v>11085.065335550447</v>
      </c>
      <c r="BA36" s="58">
        <f t="shared" si="28"/>
        <v>10523.740787012113</v>
      </c>
      <c r="BB36" s="58">
        <f t="shared" si="28"/>
        <v>9933.978572886695</v>
      </c>
      <c r="BC36" s="58">
        <f t="shared" si="28"/>
        <v>9480.110137858233</v>
      </c>
    </row>
    <row r="37" spans="1:55" ht="12.75">
      <c r="A37" s="53" t="s">
        <v>62</v>
      </c>
      <c r="B37" s="55"/>
      <c r="C37" s="55"/>
      <c r="AV37" s="58">
        <f>AV36+P31+P30+P14</f>
        <v>0</v>
      </c>
      <c r="AW37" s="58">
        <f>AW36+AC31+AC30+AC14</f>
        <v>8275.321111428562</v>
      </c>
      <c r="AX37" s="58">
        <f aca="true" t="shared" si="29" ref="AX37:BC37">AX36+AP31+AP30+AP14</f>
        <v>10195.988790484344</v>
      </c>
      <c r="AY37" s="58">
        <f t="shared" si="29"/>
        <v>13083.195846580336</v>
      </c>
      <c r="AZ37" s="58">
        <f t="shared" si="29"/>
        <v>12548.93094043597</v>
      </c>
      <c r="BA37" s="58">
        <f t="shared" si="29"/>
        <v>11987.606391897634</v>
      </c>
      <c r="BB37" s="58">
        <f t="shared" si="29"/>
        <v>11397.844177772216</v>
      </c>
      <c r="BC37" s="58">
        <f t="shared" si="29"/>
        <v>10778.246593892276</v>
      </c>
    </row>
    <row r="38" spans="1:55" ht="12.75">
      <c r="A38" s="53" t="s">
        <v>63</v>
      </c>
      <c r="B38" s="55"/>
      <c r="C38" s="55"/>
      <c r="V38" s="58"/>
      <c r="AI38" s="58"/>
      <c r="AV38" s="58">
        <f>P26</f>
        <v>9242.73096</v>
      </c>
      <c r="AW38" s="58">
        <f>AC26</f>
        <v>8532.94036</v>
      </c>
      <c r="AX38" s="58"/>
      <c r="AY38" s="58"/>
      <c r="AZ38" s="58"/>
      <c r="BA38" s="58"/>
      <c r="BB38" s="58"/>
      <c r="BC38" s="58"/>
    </row>
    <row r="39" spans="1:55" ht="12.75">
      <c r="A39" s="65" t="s">
        <v>64</v>
      </c>
      <c r="B39" s="55"/>
      <c r="C39" s="55"/>
      <c r="AV39" s="66">
        <f>AV37-AV38</f>
        <v>-9242.73096</v>
      </c>
      <c r="AW39" s="66">
        <f aca="true" t="shared" si="30" ref="AW39:BB39">AW37-AW38</f>
        <v>-257.6192485714382</v>
      </c>
      <c r="AX39" s="66">
        <f t="shared" si="30"/>
        <v>10195.988790484344</v>
      </c>
      <c r="AY39" s="66">
        <f t="shared" si="30"/>
        <v>13083.195846580336</v>
      </c>
      <c r="AZ39" s="66">
        <f t="shared" si="30"/>
        <v>12548.93094043597</v>
      </c>
      <c r="BA39" s="66">
        <f t="shared" si="30"/>
        <v>11987.606391897634</v>
      </c>
      <c r="BB39" s="66">
        <f t="shared" si="30"/>
        <v>11397.844177772216</v>
      </c>
      <c r="BC39" s="66">
        <f>BC37-BC38</f>
        <v>10778.246593892276</v>
      </c>
    </row>
    <row r="40" spans="1:55" ht="12.75">
      <c r="A40" s="67" t="s">
        <v>65</v>
      </c>
      <c r="B40" s="55"/>
      <c r="C40" s="55"/>
      <c r="AV40" s="68">
        <f>AV39/(1+Исх!$C$8)^'1-Ф3'!AV35</f>
        <v>-9242.73096</v>
      </c>
      <c r="AW40" s="68">
        <f>AW39/(1+Исх!$C$8)^'1-Ф3'!AW35</f>
        <v>-225.36977506916543</v>
      </c>
      <c r="AX40" s="68">
        <f>AX39/(1+Исх!$C$8)^'1-Ф3'!AX35</f>
        <v>7803.044318241315</v>
      </c>
      <c r="AY40" s="68">
        <f>AY39/(1+Исх!$C$8)^'1-Ф3'!AY35</f>
        <v>8759.22997281721</v>
      </c>
      <c r="AZ40" s="68">
        <f>AZ39/(1+Исх!$C$8)^'1-Ф3'!AZ35</f>
        <v>7349.811107392915</v>
      </c>
      <c r="BA40" s="68">
        <f>BA39/(1+Исх!$C$8)^'1-Ф3'!BA35</f>
        <v>6142.1339739135965</v>
      </c>
      <c r="BB40" s="68">
        <f>BB39/(1+Исх!$C$8)^'1-Ф3'!BB35</f>
        <v>5108.893953103665</v>
      </c>
      <c r="BC40" s="68">
        <f>BC39/(1+Исх!$C$8)^'1-Ф3'!BC35</f>
        <v>4226.390780244942</v>
      </c>
    </row>
    <row r="41" spans="1:55" ht="12.75">
      <c r="A41" s="65" t="s">
        <v>66</v>
      </c>
      <c r="B41" s="55"/>
      <c r="C41" s="55"/>
      <c r="AV41" s="66">
        <f>AV39</f>
        <v>-9242.73096</v>
      </c>
      <c r="AW41" s="66">
        <f aca="true" t="shared" si="31" ref="AW41:AZ42">AV41+AW39</f>
        <v>-9500.350208571439</v>
      </c>
      <c r="AX41" s="66">
        <f t="shared" si="31"/>
        <v>695.6385819129046</v>
      </c>
      <c r="AY41" s="66">
        <f t="shared" si="31"/>
        <v>13778.834428493241</v>
      </c>
      <c r="AZ41" s="66">
        <f t="shared" si="31"/>
        <v>26327.765368929213</v>
      </c>
      <c r="BA41" s="66">
        <f aca="true" t="shared" si="32" ref="BA41:BC42">AZ41+BA39</f>
        <v>38315.37176082685</v>
      </c>
      <c r="BB41" s="66">
        <f t="shared" si="32"/>
        <v>49713.21593859907</v>
      </c>
      <c r="BC41" s="66">
        <f t="shared" si="32"/>
        <v>60491.46253249134</v>
      </c>
    </row>
    <row r="42" spans="1:55" ht="12.75">
      <c r="A42" s="67" t="s">
        <v>67</v>
      </c>
      <c r="B42" s="55"/>
      <c r="C42" s="55"/>
      <c r="AV42" s="68">
        <f>AV40</f>
        <v>-9242.73096</v>
      </c>
      <c r="AW42" s="68">
        <f t="shared" si="31"/>
        <v>-9468.100735069167</v>
      </c>
      <c r="AX42" s="68">
        <f t="shared" si="31"/>
        <v>-1665.0564168278524</v>
      </c>
      <c r="AY42" s="68">
        <f t="shared" si="31"/>
        <v>7094.173555989357</v>
      </c>
      <c r="AZ42" s="68">
        <f t="shared" si="31"/>
        <v>14443.98466338227</v>
      </c>
      <c r="BA42" s="68">
        <f t="shared" si="32"/>
        <v>20586.11863729587</v>
      </c>
      <c r="BB42" s="68">
        <f t="shared" si="32"/>
        <v>25695.012590399536</v>
      </c>
      <c r="BC42" s="68">
        <f t="shared" si="32"/>
        <v>29921.40337064448</v>
      </c>
    </row>
    <row r="43" spans="1:55" ht="12.75">
      <c r="A43" s="53" t="s">
        <v>68</v>
      </c>
      <c r="B43" s="55"/>
      <c r="C43" s="55"/>
      <c r="AV43" s="58">
        <f>NPV(Исх!$C$8,'1-Ф3'!$AV37:AV37)</f>
        <v>0</v>
      </c>
      <c r="AW43" s="58">
        <f>NPV(Исх!$C$8,'1-Ф3'!$AV37:AW37)</f>
        <v>6333.147152968538</v>
      </c>
      <c r="AX43" s="58">
        <f>NPV(Исх!$C$8,'1-Ф3'!$AV37:AX37)</f>
        <v>13159.385303294948</v>
      </c>
      <c r="AY43" s="58">
        <f>NPV(Исх!$C$8,'1-Ф3'!$AV37:AY37)</f>
        <v>20822.11120479332</v>
      </c>
      <c r="AZ43" s="58">
        <f>NPV(Исх!$C$8,'1-Ф3'!$AV37:AZ37)</f>
        <v>27251.853102028403</v>
      </c>
      <c r="BA43" s="58">
        <f>NPV(Исх!$C$8,'1-Ф3'!$AV37:BA37)</f>
        <v>32625.098151928978</v>
      </c>
      <c r="BB43" s="58">
        <f>NPV(Исх!$C$8,'1-Ф3'!$AV37:BB37)</f>
        <v>37094.44695815341</v>
      </c>
      <c r="BC43" s="58">
        <f>NPV(Исх!$C$8,'1-Ф3'!$AV37:BC37)</f>
        <v>40791.76672280627</v>
      </c>
    </row>
    <row r="44" spans="1:55" ht="12.75">
      <c r="A44" s="53" t="s">
        <v>69</v>
      </c>
      <c r="B44" s="55"/>
      <c r="C44" s="55"/>
      <c r="AV44" s="58">
        <f>NPV(Исх!$C$8,'1-Ф3'!$AV38:AV38)</f>
        <v>8085.700928913251</v>
      </c>
      <c r="AW44" s="58">
        <f>NPV(Исх!$C$8,'1-Ф3'!$AV38:AW38)</f>
        <v>14616.005459664613</v>
      </c>
      <c r="AX44" s="58">
        <f>NPV(Исх!$C$8,'1-Ф3'!$AV38:AX38)</f>
        <v>14616.005459664613</v>
      </c>
      <c r="AY44" s="58">
        <f>NPV(Исх!$C$8,'1-Ф3'!$AV38:AY38)</f>
        <v>14616.005459664613</v>
      </c>
      <c r="AZ44" s="58">
        <f>NPV(Исх!$C$8,'1-Ф3'!$AV38:AZ38)</f>
        <v>14616.005459664613</v>
      </c>
      <c r="BA44" s="58">
        <f>NPV(Исх!$C$8,'1-Ф3'!$AV38:BA38)</f>
        <v>14616.005459664613</v>
      </c>
      <c r="BB44" s="58">
        <f>NPV(Исх!$C$8,'1-Ф3'!$AV38:BB38)</f>
        <v>14616.005459664613</v>
      </c>
      <c r="BC44" s="58">
        <f>NPV(Исх!$C$8,'1-Ф3'!$AV38:BC38)</f>
        <v>14616.005459664613</v>
      </c>
    </row>
    <row r="45" spans="1:55" ht="12.75">
      <c r="A45" s="53" t="s">
        <v>70</v>
      </c>
      <c r="B45" s="55"/>
      <c r="C45" s="55"/>
      <c r="AV45" s="58">
        <f aca="true" t="shared" si="33" ref="AV45:BB45">AV43-AV44</f>
        <v>-8085.700928913251</v>
      </c>
      <c r="AW45" s="58">
        <f t="shared" si="33"/>
        <v>-8282.858306696075</v>
      </c>
      <c r="AX45" s="58">
        <f t="shared" si="33"/>
        <v>-1456.620156369665</v>
      </c>
      <c r="AY45" s="58">
        <f t="shared" si="33"/>
        <v>6206.105745128707</v>
      </c>
      <c r="AZ45" s="58">
        <f t="shared" si="33"/>
        <v>12635.84764236379</v>
      </c>
      <c r="BA45" s="58">
        <f t="shared" si="33"/>
        <v>18009.092692264363</v>
      </c>
      <c r="BB45" s="58">
        <f t="shared" si="33"/>
        <v>22478.44149848879</v>
      </c>
      <c r="BC45" s="58">
        <f>BC43-BC44</f>
        <v>26175.761263141656</v>
      </c>
    </row>
    <row r="46" spans="1:55" ht="12.75">
      <c r="A46" s="53" t="s">
        <v>71</v>
      </c>
      <c r="B46" s="55"/>
      <c r="C46" s="55"/>
      <c r="AV46" s="69">
        <f aca="true" t="shared" si="34" ref="AV46:BB46">AV43/AV44</f>
        <v>0</v>
      </c>
      <c r="AW46" s="69">
        <f t="shared" si="34"/>
        <v>0.4333021885114883</v>
      </c>
      <c r="AX46" s="69">
        <f t="shared" si="34"/>
        <v>0.900340749024112</v>
      </c>
      <c r="AY46" s="69">
        <f t="shared" si="34"/>
        <v>1.424610250882536</v>
      </c>
      <c r="AZ46" s="69">
        <f t="shared" si="34"/>
        <v>1.864521272739983</v>
      </c>
      <c r="BA46" s="69">
        <f t="shared" si="34"/>
        <v>2.2321487387209564</v>
      </c>
      <c r="BB46" s="69">
        <f t="shared" si="34"/>
        <v>2.537933299253474</v>
      </c>
      <c r="BC46" s="69">
        <f>BC43/BC44</f>
        <v>2.7908970638645547</v>
      </c>
    </row>
    <row r="47" spans="1:55" ht="12.75">
      <c r="A47" s="53" t="s">
        <v>72</v>
      </c>
      <c r="B47" s="55"/>
      <c r="C47" s="55"/>
      <c r="AS47" s="70"/>
      <c r="AT47" s="70"/>
      <c r="AU47" s="70"/>
      <c r="AV47" s="70" t="str">
        <f>IF(ISERROR(IRR($AV39:AV$39))," ",IF(IRR($AV39:AV$39)&lt;0," ",IRR($AV39:AV$39)))</f>
        <v> </v>
      </c>
      <c r="AW47" s="70" t="str">
        <f>IF(ISERROR(IRR($AV39:AW$39))," ",IF(IRR($AV39:AW$39)&lt;0," ",IRR($AV39:AW$39)))</f>
        <v> </v>
      </c>
      <c r="AX47" s="70">
        <f>IF(ISERROR(IRR($AV39:AX$39))," ",IF(IRR($AV39:AX$39)&lt;0," ",IRR($AV39:AX$39)))</f>
        <v>0.036458928165861604</v>
      </c>
      <c r="AY47" s="70">
        <f>IF(ISERROR(IRR($AV39:AY$39))," ",IF(IRR($AV39:AY$39)&lt;0," ",IRR($AV39:AY$39)))</f>
        <v>0.4323026860692565</v>
      </c>
      <c r="AZ47" s="70">
        <f>IF(ISERROR(IRR($AV39:AZ$39))," ",IF(IRR($AV39:AZ$39)&lt;0," ",IRR($AV39:AZ$39)))</f>
        <v>0.5805530154039957</v>
      </c>
      <c r="BA47" s="70">
        <f>IF(ISERROR(IRR($AV39:BA$39))," ",IF(IRR($AV39:BA$39)&lt;0," ",IRR($AV39:BA$39)))</f>
        <v>0.6459740026564111</v>
      </c>
      <c r="BB47" s="70">
        <f>IF(ISERROR(IRR($AV39:BB$39))," ",IF(IRR($AV39:BB$39)&lt;0," ",IRR($AV39:BB$39)))</f>
        <v>0.6773426530784119</v>
      </c>
      <c r="BC47" s="70">
        <f>IF(ISERROR(IRR($AV39:BC$39))," ",IF(IRR($AV39:BC$39)&lt;0," ",IRR($AV39:BC$39)))</f>
        <v>0.6931276221924325</v>
      </c>
    </row>
    <row r="48" spans="1:3" ht="12.75">
      <c r="A48" s="71" t="s">
        <v>35</v>
      </c>
      <c r="B48" s="59">
        <f>AW35-AW41/AX39</f>
        <v>1.931773308483614</v>
      </c>
      <c r="C48" s="55"/>
    </row>
    <row r="49" spans="1:3" ht="12.75">
      <c r="A49" s="71" t="s">
        <v>29</v>
      </c>
      <c r="B49" s="59">
        <f>AX35-AX42/AY40</f>
        <v>2.1900916429863213</v>
      </c>
      <c r="C49" s="55"/>
    </row>
    <row r="50" spans="1:3" ht="12.75">
      <c r="A50" s="53"/>
      <c r="B50" s="59"/>
      <c r="C50" s="55"/>
    </row>
    <row r="51" spans="1:3" ht="12.75">
      <c r="A51" s="53"/>
      <c r="B51" s="55"/>
      <c r="C51" s="55"/>
    </row>
    <row r="52" spans="1:3" ht="12.75">
      <c r="A52" s="53"/>
      <c r="B52" s="55"/>
      <c r="C52" s="55"/>
    </row>
    <row r="53" spans="1:3" ht="12.75">
      <c r="A53" s="53"/>
      <c r="B53" s="55"/>
      <c r="C53" s="55"/>
    </row>
    <row r="54" spans="1:3" ht="12.75">
      <c r="A54" s="53"/>
      <c r="B54" s="55"/>
      <c r="C54" s="55"/>
    </row>
    <row r="55" spans="1:3" ht="12.75">
      <c r="A55" s="53"/>
      <c r="B55" s="55"/>
      <c r="C55" s="55"/>
    </row>
    <row r="56" spans="1:3" ht="12.75">
      <c r="A56" s="53"/>
      <c r="B56" s="55"/>
      <c r="C56" s="55"/>
    </row>
    <row r="57" spans="1:3" ht="12.75">
      <c r="A57" s="53"/>
      <c r="B57" s="55"/>
      <c r="C57" s="55"/>
    </row>
    <row r="58" spans="1:3" ht="12.75">
      <c r="A58" s="53"/>
      <c r="B58" s="55"/>
      <c r="C58" s="55"/>
    </row>
    <row r="59" spans="1:3" ht="12.75">
      <c r="A59" s="53"/>
      <c r="B59" s="55"/>
      <c r="C59" s="55"/>
    </row>
    <row r="60" spans="1:3" ht="12.75">
      <c r="A60" s="53"/>
      <c r="B60" s="55"/>
      <c r="C60" s="55"/>
    </row>
    <row r="61" spans="1:3" ht="12.75">
      <c r="A61" s="53"/>
      <c r="B61" s="55"/>
      <c r="C61" s="55"/>
    </row>
    <row r="62" spans="1:44" ht="12.75">
      <c r="A62" s="53"/>
      <c r="B62" s="55"/>
      <c r="C62" s="55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  <row r="63" spans="1:44" ht="12.75">
      <c r="A63" s="53"/>
      <c r="B63" s="55"/>
      <c r="C63" s="55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</row>
    <row r="64" spans="1:44" ht="12.75">
      <c r="A64" s="53"/>
      <c r="B64" s="55"/>
      <c r="C64" s="55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</row>
    <row r="65" spans="1:44" ht="12.75">
      <c r="A65" s="53"/>
      <c r="B65" s="55"/>
      <c r="C65" s="55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</row>
    <row r="66" spans="1:44" ht="12.75">
      <c r="A66" s="53"/>
      <c r="B66" s="55"/>
      <c r="C66" s="5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</row>
    <row r="67" spans="1:44" ht="12.75">
      <c r="A67" s="53"/>
      <c r="B67" s="55"/>
      <c r="C67" s="5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</row>
    <row r="68" spans="1:44" ht="12.75">
      <c r="A68" s="53"/>
      <c r="B68" s="55"/>
      <c r="C68" s="55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</row>
    <row r="69" spans="1:44" ht="12.75">
      <c r="A69" s="53"/>
      <c r="B69" s="55"/>
      <c r="C69" s="55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</row>
    <row r="70" spans="1:44" ht="12.75">
      <c r="A70" s="53"/>
      <c r="B70" s="55"/>
      <c r="C70" s="55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</row>
    <row r="71" spans="1:44" ht="12.75">
      <c r="A71" s="53"/>
      <c r="B71" s="55"/>
      <c r="C71" s="55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</row>
    <row r="72" spans="1:44" ht="12.75">
      <c r="A72" s="53"/>
      <c r="B72" s="55"/>
      <c r="C72" s="55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</row>
    <row r="73" spans="1:44" ht="12.75">
      <c r="A73" s="53"/>
      <c r="B73" s="55"/>
      <c r="C73" s="55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</row>
    <row r="74" spans="1:44" ht="12.75">
      <c r="A74" s="53"/>
      <c r="B74" s="55"/>
      <c r="C74" s="55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</row>
    <row r="75" spans="1:44" ht="12.75">
      <c r="A75" s="53"/>
      <c r="B75" s="55"/>
      <c r="C75" s="55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</row>
    <row r="76" spans="1:44" ht="12.75">
      <c r="A76" s="53"/>
      <c r="B76" s="55"/>
      <c r="C76" s="55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</row>
    <row r="77" spans="1:44" ht="12.75">
      <c r="A77" s="53"/>
      <c r="B77" s="55"/>
      <c r="C77" s="55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</row>
    <row r="78" spans="1:44" ht="12.75">
      <c r="A78" s="53"/>
      <c r="B78" s="55"/>
      <c r="C78" s="55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</row>
    <row r="79" spans="1:44" ht="12.75">
      <c r="A79" s="53"/>
      <c r="B79" s="55"/>
      <c r="C79" s="5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</row>
    <row r="80" spans="1:44" ht="12.75">
      <c r="A80" s="53"/>
      <c r="B80" s="55"/>
      <c r="C80" s="55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</row>
    <row r="81" spans="1:44" ht="12.75">
      <c r="A81" s="53"/>
      <c r="B81" s="55"/>
      <c r="C81" s="55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</row>
    <row r="82" spans="1:44" ht="12.75">
      <c r="A82" s="53"/>
      <c r="B82" s="55"/>
      <c r="C82" s="55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</row>
    <row r="83" spans="1:44" ht="12.75">
      <c r="A83" s="53"/>
      <c r="B83" s="55"/>
      <c r="C83" s="55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</row>
    <row r="84" spans="1:44" ht="12.75">
      <c r="A84" s="53"/>
      <c r="B84" s="55"/>
      <c r="C84" s="55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</row>
    <row r="85" spans="1:44" ht="12.75">
      <c r="A85" s="53"/>
      <c r="B85" s="55"/>
      <c r="C85" s="5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</row>
    <row r="86" spans="1:44" ht="12.75">
      <c r="A86" s="53"/>
      <c r="B86" s="55"/>
      <c r="C86" s="55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</row>
    <row r="87" spans="1:44" ht="12.75">
      <c r="A87" s="53"/>
      <c r="B87" s="55"/>
      <c r="C87" s="55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</row>
    <row r="88" spans="1:44" ht="12.75">
      <c r="A88" s="53"/>
      <c r="B88" s="55"/>
      <c r="C88" s="5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</row>
    <row r="89" spans="1:44" ht="12.75">
      <c r="A89" s="53"/>
      <c r="B89" s="55"/>
      <c r="C89" s="55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</row>
    <row r="90" spans="1:44" ht="12.75">
      <c r="A90" s="53"/>
      <c r="B90" s="55"/>
      <c r="C90" s="55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</row>
    <row r="91" spans="1:44" ht="12.75">
      <c r="A91" s="53"/>
      <c r="B91" s="55"/>
      <c r="C91" s="5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</row>
    <row r="92" spans="1:44" ht="12.75">
      <c r="A92" s="53"/>
      <c r="B92" s="55"/>
      <c r="C92" s="55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</row>
    <row r="93" spans="1:44" ht="12.75">
      <c r="A93" s="53"/>
      <c r="B93" s="55"/>
      <c r="C93" s="55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</row>
    <row r="94" spans="1:44" ht="12.75">
      <c r="A94" s="53"/>
      <c r="B94" s="55"/>
      <c r="C94" s="5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</row>
    <row r="95" spans="1:44" ht="12.75">
      <c r="A95" s="53"/>
      <c r="B95" s="55"/>
      <c r="C95" s="55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</row>
    <row r="96" spans="1:44" ht="12.75">
      <c r="A96" s="53"/>
      <c r="B96" s="55"/>
      <c r="C96" s="55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</row>
    <row r="97" spans="1:44" ht="12.75">
      <c r="A97" s="53"/>
      <c r="B97" s="55"/>
      <c r="C97" s="5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</row>
    <row r="98" spans="1:44" ht="12.75">
      <c r="A98" s="53"/>
      <c r="B98" s="55"/>
      <c r="C98" s="55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</row>
    <row r="99" spans="1:44" ht="12.75">
      <c r="A99" s="53"/>
      <c r="B99" s="55"/>
      <c r="C99" s="55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</row>
    <row r="100" spans="1:44" ht="12.75">
      <c r="A100" s="53"/>
      <c r="B100" s="55"/>
      <c r="C100" s="5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</row>
    <row r="101" spans="1:44" ht="12.75">
      <c r="A101" s="53"/>
      <c r="B101" s="55"/>
      <c r="C101" s="55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</row>
    <row r="102" spans="1:44" ht="12.75">
      <c r="A102" s="53"/>
      <c r="B102" s="55"/>
      <c r="C102" s="55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</row>
    <row r="103" spans="1:44" ht="12.75">
      <c r="A103" s="53"/>
      <c r="B103" s="55"/>
      <c r="C103" s="55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</row>
    <row r="104" spans="1:44" ht="12.75">
      <c r="A104" s="53"/>
      <c r="B104" s="55"/>
      <c r="C104" s="55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</row>
    <row r="105" spans="1:44" ht="12.75">
      <c r="A105" s="53"/>
      <c r="B105" s="55"/>
      <c r="C105" s="55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</row>
    <row r="106" spans="1:44" ht="12.75">
      <c r="A106" s="53"/>
      <c r="B106" s="55"/>
      <c r="C106" s="55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</row>
    <row r="107" spans="1:44" ht="12.75">
      <c r="A107" s="53"/>
      <c r="B107" s="55"/>
      <c r="C107" s="55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</row>
    <row r="108" spans="1:44" ht="12.75">
      <c r="A108" s="53"/>
      <c r="B108" s="55"/>
      <c r="C108" s="55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</row>
    <row r="109" spans="1:44" ht="12.75">
      <c r="A109" s="53"/>
      <c r="B109" s="55"/>
      <c r="C109" s="55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</row>
    <row r="110" spans="1:44" ht="12.75">
      <c r="A110" s="53"/>
      <c r="B110" s="55"/>
      <c r="C110" s="55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</row>
    <row r="111" spans="1:44" ht="12.75">
      <c r="A111" s="53"/>
      <c r="B111" s="55"/>
      <c r="C111" s="55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</row>
    <row r="112" spans="1:44" ht="12.75">
      <c r="A112" s="53"/>
      <c r="B112" s="55"/>
      <c r="C112" s="5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</row>
    <row r="113" spans="1:44" ht="12.75">
      <c r="A113" s="53"/>
      <c r="B113" s="55"/>
      <c r="C113" s="55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</row>
    <row r="114" spans="1:44" ht="12.75">
      <c r="A114" s="53"/>
      <c r="B114" s="55"/>
      <c r="C114" s="55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</row>
    <row r="115" spans="1:44" ht="12.75">
      <c r="A115" s="53"/>
      <c r="B115" s="55"/>
      <c r="C115" s="55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</row>
    <row r="116" spans="1:44" ht="12.75">
      <c r="A116" s="53"/>
      <c r="B116" s="55"/>
      <c r="C116" s="55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</row>
    <row r="117" spans="1:44" ht="12.75">
      <c r="A117" s="53"/>
      <c r="B117" s="55"/>
      <c r="C117" s="55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</row>
    <row r="118" spans="1:44" ht="12.75">
      <c r="A118" s="53"/>
      <c r="B118" s="55"/>
      <c r="C118" s="55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</row>
    <row r="119" spans="1:44" ht="12.75">
      <c r="A119" s="53"/>
      <c r="B119" s="55"/>
      <c r="C119" s="55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</row>
    <row r="120" spans="1:44" ht="12.75">
      <c r="A120" s="53"/>
      <c r="B120" s="55"/>
      <c r="C120" s="55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</row>
    <row r="121" spans="1:44" ht="12.75">
      <c r="A121" s="53"/>
      <c r="B121" s="55"/>
      <c r="C121" s="55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</row>
    <row r="122" spans="1:44" ht="12.75">
      <c r="A122" s="53"/>
      <c r="B122" s="55"/>
      <c r="C122" s="55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</row>
    <row r="123" spans="1:44" ht="12.75">
      <c r="A123" s="53"/>
      <c r="B123" s="55"/>
      <c r="C123" s="55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</row>
    <row r="124" spans="1:44" ht="12.75">
      <c r="A124" s="53"/>
      <c r="B124" s="55"/>
      <c r="C124" s="55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</row>
    <row r="125" spans="1:44" ht="12.75">
      <c r="A125" s="53"/>
      <c r="B125" s="55"/>
      <c r="C125" s="55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</row>
    <row r="126" spans="1:44" ht="12.75">
      <c r="A126" s="53"/>
      <c r="B126" s="55"/>
      <c r="C126" s="55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</row>
    <row r="127" spans="1:44" ht="12.75">
      <c r="A127" s="53"/>
      <c r="B127" s="55"/>
      <c r="C127" s="55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</row>
    <row r="128" spans="1:44" ht="12.75">
      <c r="A128" s="53"/>
      <c r="B128" s="55"/>
      <c r="C128" s="55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</row>
    <row r="129" spans="1:44" ht="12.75">
      <c r="A129" s="53"/>
      <c r="B129" s="55"/>
      <c r="C129" s="55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</row>
    <row r="130" spans="1:44" ht="12.75">
      <c r="A130" s="53"/>
      <c r="B130" s="55"/>
      <c r="C130" s="55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</row>
    <row r="131" spans="1:44" ht="12.75">
      <c r="A131" s="53"/>
      <c r="B131" s="55"/>
      <c r="C131" s="55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</row>
    <row r="132" spans="1:44" ht="12.75">
      <c r="A132" s="53"/>
      <c r="B132" s="55"/>
      <c r="C132" s="55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</row>
    <row r="133" spans="1:44" ht="12.75">
      <c r="A133" s="53"/>
      <c r="B133" s="55"/>
      <c r="C133" s="55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</row>
    <row r="134" spans="1:44" ht="12.75">
      <c r="A134" s="53"/>
      <c r="B134" s="55"/>
      <c r="C134" s="55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</row>
    <row r="135" spans="1:44" ht="12.75">
      <c r="A135" s="53"/>
      <c r="B135" s="55"/>
      <c r="C135" s="55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</row>
    <row r="136" spans="1:44" ht="12.75">
      <c r="A136" s="53"/>
      <c r="B136" s="55"/>
      <c r="C136" s="55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</row>
    <row r="137" spans="1:44" ht="12.75">
      <c r="A137" s="53"/>
      <c r="B137" s="55"/>
      <c r="C137" s="55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</row>
    <row r="138" spans="1:44" ht="12.75">
      <c r="A138" s="53"/>
      <c r="B138" s="55"/>
      <c r="C138" s="55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</row>
    <row r="139" spans="1:44" ht="12.75">
      <c r="A139" s="53"/>
      <c r="B139" s="55"/>
      <c r="C139" s="55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</row>
    <row r="140" spans="1:44" ht="12.75">
      <c r="A140" s="53"/>
      <c r="B140" s="55"/>
      <c r="C140" s="55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</row>
    <row r="141" spans="1:44" ht="12.75">
      <c r="A141" s="53"/>
      <c r="B141" s="55"/>
      <c r="C141" s="55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</row>
  </sheetData>
  <sheetProtection/>
  <mergeCells count="5">
    <mergeCell ref="A5:A6"/>
    <mergeCell ref="B5:B6"/>
    <mergeCell ref="D5:P5"/>
    <mergeCell ref="Q5:AC5"/>
    <mergeCell ref="AD5:AP5"/>
  </mergeCells>
  <printOptions/>
  <pageMargins left="0.4330708661417323" right="0.2755905511811024" top="0.7086614173228347" bottom="0.35433070866141736" header="0.4330708661417323" footer="0.2362204724409449"/>
  <pageSetup horizontalDpi="600" verticalDpi="600" orientation="landscape" paperSize="9" r:id="rId3"/>
  <headerFooter alignWithMargins="0">
    <oddHeader>&amp;RПриложение 1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DP97"/>
  <sheetViews>
    <sheetView showGridLines="0" zoomScalePageLayoutView="0" workbookViewId="0" topLeftCell="A1">
      <pane xSplit="2" ySplit="6" topLeftCell="G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84" sqref="A84"/>
    </sheetView>
  </sheetViews>
  <sheetFormatPr defaultColWidth="9.00390625" defaultRowHeight="12.75" outlineLevelRow="1" outlineLevelCol="1"/>
  <cols>
    <col min="1" max="1" width="23.25390625" style="177" customWidth="1"/>
    <col min="2" max="2" width="12.125" style="177" customWidth="1"/>
    <col min="3" max="14" width="9.125" style="177" hidden="1" customWidth="1" outlineLevel="1"/>
    <col min="15" max="15" width="10.125" style="178" bestFit="1" customWidth="1" collapsed="1"/>
    <col min="16" max="19" width="9.125" style="177" hidden="1" customWidth="1" outlineLevel="1"/>
    <col min="20" max="21" width="9.75390625" style="177" hidden="1" customWidth="1" outlineLevel="1"/>
    <col min="22" max="22" width="9.625" style="177" hidden="1" customWidth="1" outlineLevel="1"/>
    <col min="23" max="27" width="9.75390625" style="177" hidden="1" customWidth="1" outlineLevel="1"/>
    <col min="28" max="28" width="10.125" style="178" bestFit="1" customWidth="1" collapsed="1"/>
    <col min="29" max="40" width="9.75390625" style="177" hidden="1" customWidth="1" outlineLevel="1"/>
    <col min="41" max="41" width="10.125" style="178" bestFit="1" customWidth="1" collapsed="1"/>
    <col min="42" max="53" width="9.75390625" style="177" hidden="1" customWidth="1" outlineLevel="1"/>
    <col min="54" max="54" width="9.75390625" style="178" bestFit="1" customWidth="1" collapsed="1"/>
    <col min="55" max="66" width="9.75390625" style="177" hidden="1" customWidth="1" outlineLevel="1"/>
    <col min="67" max="67" width="10.125" style="178" bestFit="1" customWidth="1" collapsed="1"/>
    <col min="68" max="79" width="9.75390625" style="177" hidden="1" customWidth="1" outlineLevel="1"/>
    <col min="80" max="80" width="10.125" style="178" bestFit="1" customWidth="1" collapsed="1"/>
    <col min="81" max="92" width="9.75390625" style="177" hidden="1" customWidth="1" outlineLevel="1"/>
    <col min="93" max="93" width="10.125" style="178" bestFit="1" customWidth="1" collapsed="1"/>
    <col min="94" max="98" width="9.75390625" style="177" hidden="1" customWidth="1" outlineLevel="1"/>
    <col min="99" max="105" width="8.75390625" style="177" hidden="1" customWidth="1" outlineLevel="1"/>
    <col min="106" max="106" width="10.125" style="178" bestFit="1" customWidth="1" collapsed="1"/>
    <col min="107" max="118" width="8.75390625" style="177" hidden="1" customWidth="1" outlineLevel="1"/>
    <col min="119" max="119" width="10.125" style="178" hidden="1" customWidth="1" collapsed="1"/>
    <col min="120" max="120" width="9.75390625" style="177" bestFit="1" customWidth="1"/>
    <col min="121" max="16384" width="9.125" style="177" customWidth="1"/>
  </cols>
  <sheetData>
    <row r="1" ht="9.75" customHeight="1"/>
    <row r="2" spans="1:15" ht="18.75" customHeight="1">
      <c r="A2" s="178" t="s">
        <v>99</v>
      </c>
      <c r="B2" s="179"/>
      <c r="D2" s="180"/>
      <c r="E2" s="180"/>
      <c r="F2" s="181"/>
      <c r="G2" s="180"/>
      <c r="O2" s="182"/>
    </row>
    <row r="3" spans="1:15" ht="13.5" customHeight="1">
      <c r="A3" s="183"/>
      <c r="B3" s="179"/>
      <c r="D3" s="180"/>
      <c r="E3" s="180"/>
      <c r="F3" s="181"/>
      <c r="G3" s="180"/>
      <c r="O3" s="182"/>
    </row>
    <row r="4" spans="1:2" ht="12.75" hidden="1">
      <c r="A4" s="184" t="s">
        <v>254</v>
      </c>
      <c r="B4" s="185"/>
    </row>
    <row r="5" spans="1:119" ht="15.75" customHeight="1" hidden="1">
      <c r="A5" s="186" t="s">
        <v>11</v>
      </c>
      <c r="B5" s="187">
        <f>Исх!C45</f>
        <v>0.07</v>
      </c>
      <c r="C5" s="367">
        <v>2012</v>
      </c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>
        <v>2013</v>
      </c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>
        <v>2014</v>
      </c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>
        <v>2015</v>
      </c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>
        <v>2016</v>
      </c>
      <c r="BD5" s="367"/>
      <c r="BE5" s="367"/>
      <c r="BF5" s="367"/>
      <c r="BG5" s="367"/>
      <c r="BH5" s="367"/>
      <c r="BI5" s="367"/>
      <c r="BJ5" s="367"/>
      <c r="BK5" s="367"/>
      <c r="BL5" s="367"/>
      <c r="BM5" s="367"/>
      <c r="BN5" s="367"/>
      <c r="BO5" s="367"/>
      <c r="BP5" s="367">
        <v>2017</v>
      </c>
      <c r="BQ5" s="367"/>
      <c r="BR5" s="367"/>
      <c r="BS5" s="367"/>
      <c r="BT5" s="367"/>
      <c r="BU5" s="367"/>
      <c r="BV5" s="367"/>
      <c r="BW5" s="367"/>
      <c r="BX5" s="367"/>
      <c r="BY5" s="367"/>
      <c r="BZ5" s="367"/>
      <c r="CA5" s="367"/>
      <c r="CB5" s="367"/>
      <c r="CC5" s="367">
        <v>2018</v>
      </c>
      <c r="CD5" s="367"/>
      <c r="CE5" s="367"/>
      <c r="CF5" s="367"/>
      <c r="CG5" s="367"/>
      <c r="CH5" s="367"/>
      <c r="CI5" s="367"/>
      <c r="CJ5" s="367"/>
      <c r="CK5" s="367"/>
      <c r="CL5" s="367"/>
      <c r="CM5" s="367"/>
      <c r="CN5" s="367"/>
      <c r="CO5" s="367"/>
      <c r="CP5" s="367">
        <v>2019</v>
      </c>
      <c r="CQ5" s="367"/>
      <c r="CR5" s="367"/>
      <c r="CS5" s="367"/>
      <c r="CT5" s="367"/>
      <c r="CU5" s="367"/>
      <c r="CV5" s="367"/>
      <c r="CW5" s="367"/>
      <c r="CX5" s="367"/>
      <c r="CY5" s="367"/>
      <c r="CZ5" s="367"/>
      <c r="DA5" s="367"/>
      <c r="DB5" s="367"/>
      <c r="DC5" s="367">
        <v>2020</v>
      </c>
      <c r="DD5" s="367"/>
      <c r="DE5" s="367"/>
      <c r="DF5" s="367"/>
      <c r="DG5" s="367"/>
      <c r="DH5" s="367"/>
      <c r="DI5" s="367"/>
      <c r="DJ5" s="367"/>
      <c r="DK5" s="367"/>
      <c r="DL5" s="367"/>
      <c r="DM5" s="367"/>
      <c r="DN5" s="367"/>
      <c r="DO5" s="367"/>
    </row>
    <row r="6" spans="1:119" s="192" customFormat="1" ht="15" customHeight="1" hidden="1">
      <c r="A6" s="188" t="s">
        <v>9</v>
      </c>
      <c r="B6" s="189" t="s">
        <v>12</v>
      </c>
      <c r="C6" s="190">
        <v>1</v>
      </c>
      <c r="D6" s="190">
        <v>2</v>
      </c>
      <c r="E6" s="190">
        <f>D6+1</f>
        <v>3</v>
      </c>
      <c r="F6" s="190">
        <f aca="true" t="shared" si="0" ref="F6:N6">E6+1</f>
        <v>4</v>
      </c>
      <c r="G6" s="190">
        <f t="shared" si="0"/>
        <v>5</v>
      </c>
      <c r="H6" s="190">
        <f t="shared" si="0"/>
        <v>6</v>
      </c>
      <c r="I6" s="190">
        <f t="shared" si="0"/>
        <v>7</v>
      </c>
      <c r="J6" s="190">
        <f t="shared" si="0"/>
        <v>8</v>
      </c>
      <c r="K6" s="190">
        <f t="shared" si="0"/>
        <v>9</v>
      </c>
      <c r="L6" s="190">
        <f t="shared" si="0"/>
        <v>10</v>
      </c>
      <c r="M6" s="190">
        <f t="shared" si="0"/>
        <v>11</v>
      </c>
      <c r="N6" s="190">
        <f t="shared" si="0"/>
        <v>12</v>
      </c>
      <c r="O6" s="191" t="s">
        <v>0</v>
      </c>
      <c r="P6" s="190">
        <v>1</v>
      </c>
      <c r="Q6" s="190">
        <v>2</v>
      </c>
      <c r="R6" s="190">
        <f>Q6+1</f>
        <v>3</v>
      </c>
      <c r="S6" s="190">
        <f aca="true" t="shared" si="1" ref="S6:AA6">R6+1</f>
        <v>4</v>
      </c>
      <c r="T6" s="190">
        <f t="shared" si="1"/>
        <v>5</v>
      </c>
      <c r="U6" s="190">
        <f t="shared" si="1"/>
        <v>6</v>
      </c>
      <c r="V6" s="190">
        <f t="shared" si="1"/>
        <v>7</v>
      </c>
      <c r="W6" s="190">
        <f t="shared" si="1"/>
        <v>8</v>
      </c>
      <c r="X6" s="190">
        <f t="shared" si="1"/>
        <v>9</v>
      </c>
      <c r="Y6" s="190">
        <f t="shared" si="1"/>
        <v>10</v>
      </c>
      <c r="Z6" s="190">
        <f t="shared" si="1"/>
        <v>11</v>
      </c>
      <c r="AA6" s="190">
        <f t="shared" si="1"/>
        <v>12</v>
      </c>
      <c r="AB6" s="191" t="s">
        <v>0</v>
      </c>
      <c r="AC6" s="190">
        <v>1</v>
      </c>
      <c r="AD6" s="190">
        <v>2</v>
      </c>
      <c r="AE6" s="190">
        <f aca="true" t="shared" si="2" ref="AE6:BN6">AD6+1</f>
        <v>3</v>
      </c>
      <c r="AF6" s="190">
        <f t="shared" si="2"/>
        <v>4</v>
      </c>
      <c r="AG6" s="190">
        <f t="shared" si="2"/>
        <v>5</v>
      </c>
      <c r="AH6" s="190">
        <f t="shared" si="2"/>
        <v>6</v>
      </c>
      <c r="AI6" s="190">
        <f t="shared" si="2"/>
        <v>7</v>
      </c>
      <c r="AJ6" s="190">
        <f t="shared" si="2"/>
        <v>8</v>
      </c>
      <c r="AK6" s="190">
        <f t="shared" si="2"/>
        <v>9</v>
      </c>
      <c r="AL6" s="190">
        <f t="shared" si="2"/>
        <v>10</v>
      </c>
      <c r="AM6" s="190">
        <f t="shared" si="2"/>
        <v>11</v>
      </c>
      <c r="AN6" s="190">
        <f t="shared" si="2"/>
        <v>12</v>
      </c>
      <c r="AO6" s="191" t="s">
        <v>0</v>
      </c>
      <c r="AP6" s="190">
        <v>1</v>
      </c>
      <c r="AQ6" s="190">
        <v>2</v>
      </c>
      <c r="AR6" s="190">
        <f>AQ6+1</f>
        <v>3</v>
      </c>
      <c r="AS6" s="190">
        <f t="shared" si="2"/>
        <v>4</v>
      </c>
      <c r="AT6" s="190">
        <f t="shared" si="2"/>
        <v>5</v>
      </c>
      <c r="AU6" s="190">
        <f t="shared" si="2"/>
        <v>6</v>
      </c>
      <c r="AV6" s="190">
        <f t="shared" si="2"/>
        <v>7</v>
      </c>
      <c r="AW6" s="190">
        <f t="shared" si="2"/>
        <v>8</v>
      </c>
      <c r="AX6" s="190">
        <f t="shared" si="2"/>
        <v>9</v>
      </c>
      <c r="AY6" s="190">
        <f t="shared" si="2"/>
        <v>10</v>
      </c>
      <c r="AZ6" s="190">
        <f t="shared" si="2"/>
        <v>11</v>
      </c>
      <c r="BA6" s="190">
        <f t="shared" si="2"/>
        <v>12</v>
      </c>
      <c r="BB6" s="191" t="s">
        <v>0</v>
      </c>
      <c r="BC6" s="190">
        <v>1</v>
      </c>
      <c r="BD6" s="190">
        <v>2</v>
      </c>
      <c r="BE6" s="190">
        <f>BD6+1</f>
        <v>3</v>
      </c>
      <c r="BF6" s="190">
        <f t="shared" si="2"/>
        <v>4</v>
      </c>
      <c r="BG6" s="190">
        <f t="shared" si="2"/>
        <v>5</v>
      </c>
      <c r="BH6" s="190">
        <f t="shared" si="2"/>
        <v>6</v>
      </c>
      <c r="BI6" s="190">
        <f t="shared" si="2"/>
        <v>7</v>
      </c>
      <c r="BJ6" s="190">
        <f t="shared" si="2"/>
        <v>8</v>
      </c>
      <c r="BK6" s="190">
        <f t="shared" si="2"/>
        <v>9</v>
      </c>
      <c r="BL6" s="190">
        <f t="shared" si="2"/>
        <v>10</v>
      </c>
      <c r="BM6" s="190">
        <f t="shared" si="2"/>
        <v>11</v>
      </c>
      <c r="BN6" s="190">
        <f t="shared" si="2"/>
        <v>12</v>
      </c>
      <c r="BO6" s="191" t="s">
        <v>0</v>
      </c>
      <c r="BP6" s="190">
        <v>1</v>
      </c>
      <c r="BQ6" s="190">
        <v>2</v>
      </c>
      <c r="BR6" s="190">
        <f aca="true" t="shared" si="3" ref="BR6:CA6">BQ6+1</f>
        <v>3</v>
      </c>
      <c r="BS6" s="190">
        <f t="shared" si="3"/>
        <v>4</v>
      </c>
      <c r="BT6" s="190">
        <f t="shared" si="3"/>
        <v>5</v>
      </c>
      <c r="BU6" s="190">
        <f t="shared" si="3"/>
        <v>6</v>
      </c>
      <c r="BV6" s="190">
        <f t="shared" si="3"/>
        <v>7</v>
      </c>
      <c r="BW6" s="190">
        <f t="shared" si="3"/>
        <v>8</v>
      </c>
      <c r="BX6" s="190">
        <f t="shared" si="3"/>
        <v>9</v>
      </c>
      <c r="BY6" s="190">
        <f t="shared" si="3"/>
        <v>10</v>
      </c>
      <c r="BZ6" s="190">
        <f t="shared" si="3"/>
        <v>11</v>
      </c>
      <c r="CA6" s="190">
        <f t="shared" si="3"/>
        <v>12</v>
      </c>
      <c r="CB6" s="191" t="s">
        <v>0</v>
      </c>
      <c r="CC6" s="190">
        <v>1</v>
      </c>
      <c r="CD6" s="190">
        <v>2</v>
      </c>
      <c r="CE6" s="190">
        <f aca="true" t="shared" si="4" ref="CE6:CN6">CD6+1</f>
        <v>3</v>
      </c>
      <c r="CF6" s="190">
        <f t="shared" si="4"/>
        <v>4</v>
      </c>
      <c r="CG6" s="190">
        <f t="shared" si="4"/>
        <v>5</v>
      </c>
      <c r="CH6" s="190">
        <f t="shared" si="4"/>
        <v>6</v>
      </c>
      <c r="CI6" s="190">
        <f t="shared" si="4"/>
        <v>7</v>
      </c>
      <c r="CJ6" s="190">
        <f t="shared" si="4"/>
        <v>8</v>
      </c>
      <c r="CK6" s="190">
        <f t="shared" si="4"/>
        <v>9</v>
      </c>
      <c r="CL6" s="190">
        <f t="shared" si="4"/>
        <v>10</v>
      </c>
      <c r="CM6" s="190">
        <f t="shared" si="4"/>
        <v>11</v>
      </c>
      <c r="CN6" s="190">
        <f t="shared" si="4"/>
        <v>12</v>
      </c>
      <c r="CO6" s="191" t="s">
        <v>0</v>
      </c>
      <c r="CP6" s="190">
        <v>1</v>
      </c>
      <c r="CQ6" s="190">
        <v>2</v>
      </c>
      <c r="CR6" s="190">
        <f aca="true" t="shared" si="5" ref="CR6:DA6">CQ6+1</f>
        <v>3</v>
      </c>
      <c r="CS6" s="190">
        <f t="shared" si="5"/>
        <v>4</v>
      </c>
      <c r="CT6" s="190">
        <f t="shared" si="5"/>
        <v>5</v>
      </c>
      <c r="CU6" s="190">
        <f t="shared" si="5"/>
        <v>6</v>
      </c>
      <c r="CV6" s="190">
        <f t="shared" si="5"/>
        <v>7</v>
      </c>
      <c r="CW6" s="190">
        <f t="shared" si="5"/>
        <v>8</v>
      </c>
      <c r="CX6" s="190">
        <f t="shared" si="5"/>
        <v>9</v>
      </c>
      <c r="CY6" s="190">
        <f t="shared" si="5"/>
        <v>10</v>
      </c>
      <c r="CZ6" s="190">
        <f t="shared" si="5"/>
        <v>11</v>
      </c>
      <c r="DA6" s="190">
        <f t="shared" si="5"/>
        <v>12</v>
      </c>
      <c r="DB6" s="191" t="s">
        <v>0</v>
      </c>
      <c r="DC6" s="190">
        <v>1</v>
      </c>
      <c r="DD6" s="190">
        <v>2</v>
      </c>
      <c r="DE6" s="190">
        <f aca="true" t="shared" si="6" ref="DE6:DN6">DD6+1</f>
        <v>3</v>
      </c>
      <c r="DF6" s="190">
        <f t="shared" si="6"/>
        <v>4</v>
      </c>
      <c r="DG6" s="190">
        <f t="shared" si="6"/>
        <v>5</v>
      </c>
      <c r="DH6" s="190">
        <f t="shared" si="6"/>
        <v>6</v>
      </c>
      <c r="DI6" s="190">
        <f t="shared" si="6"/>
        <v>7</v>
      </c>
      <c r="DJ6" s="190">
        <f t="shared" si="6"/>
        <v>8</v>
      </c>
      <c r="DK6" s="190">
        <f t="shared" si="6"/>
        <v>9</v>
      </c>
      <c r="DL6" s="190">
        <f t="shared" si="6"/>
        <v>10</v>
      </c>
      <c r="DM6" s="190">
        <f t="shared" si="6"/>
        <v>11</v>
      </c>
      <c r="DN6" s="190">
        <f t="shared" si="6"/>
        <v>12</v>
      </c>
      <c r="DO6" s="191" t="s">
        <v>1</v>
      </c>
    </row>
    <row r="7" spans="1:120" ht="12.75" hidden="1">
      <c r="A7" s="188" t="s">
        <v>106</v>
      </c>
      <c r="B7" s="193">
        <f>O7+AB7+AO7+BB7+BO7+CB7+CO7+DB7+DO7</f>
        <v>7024.374600000001</v>
      </c>
      <c r="C7" s="194">
        <f>'1-Ф3'!D28</f>
        <v>0</v>
      </c>
      <c r="D7" s="194">
        <f>'1-Ф3'!E28</f>
        <v>0</v>
      </c>
      <c r="E7" s="194">
        <f>'1-Ф3'!F28</f>
        <v>0</v>
      </c>
      <c r="F7" s="194">
        <f>'1-Ф3'!G28</f>
        <v>0</v>
      </c>
      <c r="G7" s="194">
        <f>'1-Ф3'!H28</f>
        <v>0</v>
      </c>
      <c r="H7" s="194">
        <f>'1-Ф3'!I28</f>
        <v>0</v>
      </c>
      <c r="I7" s="194">
        <f>'1-Ф3'!J28</f>
        <v>0</v>
      </c>
      <c r="J7" s="194">
        <f>'1-Ф3'!K28</f>
        <v>0</v>
      </c>
      <c r="K7" s="194">
        <f>'1-Ф3'!L28</f>
        <v>0</v>
      </c>
      <c r="L7" s="194">
        <f>'1-Ф3'!M28</f>
        <v>2518.6623000000004</v>
      </c>
      <c r="M7" s="194">
        <f>'1-Ф3'!N28</f>
        <v>4505.7123</v>
      </c>
      <c r="N7" s="194">
        <f>'1-Ф3'!O28</f>
        <v>0</v>
      </c>
      <c r="O7" s="195">
        <f>SUM(C7:N7)</f>
        <v>7024.374600000001</v>
      </c>
      <c r="P7" s="194">
        <f>'1-Ф3'!Q28</f>
        <v>0</v>
      </c>
      <c r="Q7" s="194">
        <f>'1-Ф3'!R28</f>
        <v>0</v>
      </c>
      <c r="R7" s="194">
        <f>'1-Ф3'!S28</f>
        <v>0</v>
      </c>
      <c r="S7" s="194">
        <f>'1-Ф3'!T28</f>
        <v>0</v>
      </c>
      <c r="T7" s="194">
        <f>'1-Ф3'!U28</f>
        <v>0</v>
      </c>
      <c r="U7" s="194">
        <f>'1-Ф3'!V28</f>
        <v>0</v>
      </c>
      <c r="V7" s="194">
        <f>'1-Ф3'!W28</f>
        <v>0</v>
      </c>
      <c r="W7" s="194">
        <f>'1-Ф3'!X28</f>
        <v>0</v>
      </c>
      <c r="X7" s="194">
        <f>'1-Ф3'!Y28</f>
        <v>0</v>
      </c>
      <c r="Y7" s="194">
        <f>'1-Ф3'!Z28</f>
        <v>0</v>
      </c>
      <c r="Z7" s="194">
        <f>'1-Ф3'!AA28</f>
        <v>0</v>
      </c>
      <c r="AA7" s="194">
        <f>'1-Ф3'!AB28</f>
        <v>0</v>
      </c>
      <c r="AB7" s="194">
        <f>SUM(P7:AA7)</f>
        <v>0</v>
      </c>
      <c r="AC7" s="194">
        <f>'1-Ф3'!AD28</f>
        <v>0</v>
      </c>
      <c r="AD7" s="194">
        <f>'1-Ф3'!AE28</f>
        <v>0</v>
      </c>
      <c r="AE7" s="194">
        <f>'1-Ф3'!AF28</f>
        <v>0</v>
      </c>
      <c r="AF7" s="194">
        <f>'1-Ф3'!AG28</f>
        <v>0</v>
      </c>
      <c r="AG7" s="194">
        <f>'1-Ф3'!AH28</f>
        <v>0</v>
      </c>
      <c r="AH7" s="194">
        <f>'1-Ф3'!AI28</f>
        <v>0</v>
      </c>
      <c r="AI7" s="194">
        <f>'1-Ф3'!AJ28</f>
        <v>0</v>
      </c>
      <c r="AJ7" s="194">
        <f>'1-Ф3'!AK28</f>
        <v>0</v>
      </c>
      <c r="AK7" s="194">
        <f>'1-Ф3'!AL28</f>
        <v>0</v>
      </c>
      <c r="AL7" s="194">
        <f>'1-Ф3'!AM28</f>
        <v>0</v>
      </c>
      <c r="AM7" s="194">
        <f>'1-Ф3'!AN28</f>
        <v>0</v>
      </c>
      <c r="AN7" s="194">
        <f>'1-Ф3'!AO28</f>
        <v>0</v>
      </c>
      <c r="AO7" s="194">
        <f>SUM(AC7:AN7)</f>
        <v>0</v>
      </c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6"/>
    </row>
    <row r="8" spans="1:119" s="197" customFormat="1" ht="20.25" customHeight="1" hidden="1">
      <c r="A8" s="188" t="s">
        <v>31</v>
      </c>
      <c r="B8" s="193">
        <f>O8+AB8+AO8+BB8+BO8+CB8+CO8+DB8+DO8</f>
        <v>916.1536037500003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5">
        <f>SUM(C8:N8)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5">
        <f>SUM(P8:AA8)</f>
        <v>0</v>
      </c>
      <c r="AC8" s="194"/>
      <c r="AD8" s="194"/>
      <c r="AE8" s="194"/>
      <c r="AF8" s="194"/>
      <c r="AG8" s="194"/>
      <c r="AH8" s="194"/>
      <c r="AI8" s="194"/>
      <c r="AJ8" s="194"/>
      <c r="AK8" s="194">
        <f>SUM(O9,AB9,(AC9:AK9))</f>
        <v>916.1536037500003</v>
      </c>
      <c r="AL8" s="194"/>
      <c r="AM8" s="194"/>
      <c r="AN8" s="194"/>
      <c r="AO8" s="195">
        <f>SUM(AC8:AN8)</f>
        <v>916.1536037500003</v>
      </c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5">
        <f>SUM(AP8:BA8)</f>
        <v>0</v>
      </c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5">
        <f>SUM(BC8:BN8)</f>
        <v>0</v>
      </c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5">
        <f>SUM(BP8:CA8)</f>
        <v>0</v>
      </c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5">
        <f>SUM(CC8:CN8)</f>
        <v>0</v>
      </c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5">
        <f>SUM(CP8:DA8)</f>
        <v>0</v>
      </c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5">
        <f>SUM(DC8:DN8)</f>
        <v>0</v>
      </c>
    </row>
    <row r="9" spans="1:119" s="197" customFormat="1" ht="12.75" hidden="1">
      <c r="A9" s="198" t="s">
        <v>13</v>
      </c>
      <c r="B9" s="193">
        <f>O9+AB9+AO9+BB9+BO9+CB9+CO9+DB9+DO9</f>
        <v>2678.156812162126</v>
      </c>
      <c r="C9" s="194"/>
      <c r="D9" s="194">
        <f>C12*$B$5/12</f>
        <v>0</v>
      </c>
      <c r="E9" s="194">
        <f>D12*$B$5/12</f>
        <v>0</v>
      </c>
      <c r="F9" s="194">
        <f>E12*$B$5/12</f>
        <v>0</v>
      </c>
      <c r="G9" s="194">
        <f>F12*$B$5/12</f>
        <v>0</v>
      </c>
      <c r="H9" s="194">
        <f>G12*$B$5/12</f>
        <v>0</v>
      </c>
      <c r="I9" s="194">
        <f aca="true" t="shared" si="7" ref="I9:AA9">H12*$B$5/12</f>
        <v>0</v>
      </c>
      <c r="J9" s="194">
        <f t="shared" si="7"/>
        <v>0</v>
      </c>
      <c r="K9" s="194">
        <f t="shared" si="7"/>
        <v>0</v>
      </c>
      <c r="L9" s="194">
        <f>K12*$B$5/12</f>
        <v>0</v>
      </c>
      <c r="M9" s="194">
        <f t="shared" si="7"/>
        <v>14.692196750000003</v>
      </c>
      <c r="N9" s="194">
        <f t="shared" si="7"/>
        <v>40.975518500000014</v>
      </c>
      <c r="O9" s="195">
        <f>SUM(C9:N9)</f>
        <v>55.667715250000015</v>
      </c>
      <c r="P9" s="194">
        <f t="shared" si="7"/>
        <v>40.975518500000014</v>
      </c>
      <c r="Q9" s="194">
        <f t="shared" si="7"/>
        <v>40.975518500000014</v>
      </c>
      <c r="R9" s="194">
        <f t="shared" si="7"/>
        <v>40.975518500000014</v>
      </c>
      <c r="S9" s="194">
        <f t="shared" si="7"/>
        <v>40.975518500000014</v>
      </c>
      <c r="T9" s="194">
        <f t="shared" si="7"/>
        <v>40.975518500000014</v>
      </c>
      <c r="U9" s="194">
        <f t="shared" si="7"/>
        <v>40.975518500000014</v>
      </c>
      <c r="V9" s="194">
        <f t="shared" si="7"/>
        <v>40.975518500000014</v>
      </c>
      <c r="W9" s="194">
        <f t="shared" si="7"/>
        <v>40.975518500000014</v>
      </c>
      <c r="X9" s="194">
        <f t="shared" si="7"/>
        <v>40.975518500000014</v>
      </c>
      <c r="Y9" s="194">
        <f t="shared" si="7"/>
        <v>40.975518500000014</v>
      </c>
      <c r="Z9" s="194">
        <f t="shared" si="7"/>
        <v>40.975518500000014</v>
      </c>
      <c r="AA9" s="194">
        <f t="shared" si="7"/>
        <v>40.975518500000014</v>
      </c>
      <c r="AB9" s="195">
        <f>SUM(P9:AA9)</f>
        <v>491.7062220000002</v>
      </c>
      <c r="AC9" s="194">
        <f aca="true" t="shared" si="8" ref="AC9:AN9">AB12*$B$5/12</f>
        <v>40.975518500000014</v>
      </c>
      <c r="AD9" s="194">
        <f t="shared" si="8"/>
        <v>40.975518500000014</v>
      </c>
      <c r="AE9" s="194">
        <f t="shared" si="8"/>
        <v>40.975518500000014</v>
      </c>
      <c r="AF9" s="194">
        <f t="shared" si="8"/>
        <v>40.975518500000014</v>
      </c>
      <c r="AG9" s="194">
        <f t="shared" si="8"/>
        <v>40.975518500000014</v>
      </c>
      <c r="AH9" s="194">
        <f t="shared" si="8"/>
        <v>40.975518500000014</v>
      </c>
      <c r="AI9" s="194">
        <f t="shared" si="8"/>
        <v>40.975518500000014</v>
      </c>
      <c r="AJ9" s="194">
        <f t="shared" si="8"/>
        <v>40.975518500000014</v>
      </c>
      <c r="AK9" s="194">
        <f t="shared" si="8"/>
        <v>40.975518500000014</v>
      </c>
      <c r="AL9" s="194">
        <f t="shared" si="8"/>
        <v>46.31974785520834</v>
      </c>
      <c r="AM9" s="194">
        <f t="shared" si="8"/>
        <v>45.7021512171389</v>
      </c>
      <c r="AN9" s="194">
        <f t="shared" si="8"/>
        <v>45.084554579069454</v>
      </c>
      <c r="AO9" s="195">
        <f>SUM(AC9:AN9)</f>
        <v>505.88612015141683</v>
      </c>
      <c r="AP9" s="194">
        <f aca="true" t="shared" si="9" ref="AP9:BA9">AO12*$B$5/12</f>
        <v>44.46695794100001</v>
      </c>
      <c r="AQ9" s="194">
        <f t="shared" si="9"/>
        <v>43.84936130293057</v>
      </c>
      <c r="AR9" s="194">
        <f t="shared" si="9"/>
        <v>43.23176466486112</v>
      </c>
      <c r="AS9" s="194">
        <f t="shared" si="9"/>
        <v>42.61416802679168</v>
      </c>
      <c r="AT9" s="194">
        <f t="shared" si="9"/>
        <v>41.99657138872223</v>
      </c>
      <c r="AU9" s="194">
        <f t="shared" si="9"/>
        <v>41.37897475065279</v>
      </c>
      <c r="AV9" s="194">
        <f t="shared" si="9"/>
        <v>40.761378112583344</v>
      </c>
      <c r="AW9" s="194">
        <f t="shared" si="9"/>
        <v>40.1437814745139</v>
      </c>
      <c r="AX9" s="194">
        <f t="shared" si="9"/>
        <v>39.52618483644445</v>
      </c>
      <c r="AY9" s="194">
        <f t="shared" si="9"/>
        <v>38.90858819837501</v>
      </c>
      <c r="AZ9" s="194">
        <f t="shared" si="9"/>
        <v>38.290991560305564</v>
      </c>
      <c r="BA9" s="194">
        <f t="shared" si="9"/>
        <v>37.67339492223612</v>
      </c>
      <c r="BB9" s="195">
        <f>SUM(AP9:BA9)</f>
        <v>492.8421171794167</v>
      </c>
      <c r="BC9" s="194">
        <f aca="true" t="shared" si="10" ref="BC9:BN9">BB12*$B$5/12</f>
        <v>37.05579828416668</v>
      </c>
      <c r="BD9" s="194">
        <f t="shared" si="10"/>
        <v>36.438201646097234</v>
      </c>
      <c r="BE9" s="194">
        <f t="shared" si="10"/>
        <v>35.82060500802779</v>
      </c>
      <c r="BF9" s="194">
        <f t="shared" si="10"/>
        <v>35.20300836995835</v>
      </c>
      <c r="BG9" s="194">
        <f t="shared" si="10"/>
        <v>34.5854117318889</v>
      </c>
      <c r="BH9" s="194">
        <f t="shared" si="10"/>
        <v>33.96781509381945</v>
      </c>
      <c r="BI9" s="194">
        <f t="shared" si="10"/>
        <v>33.35021845575001</v>
      </c>
      <c r="BJ9" s="194">
        <f t="shared" si="10"/>
        <v>32.73262181768056</v>
      </c>
      <c r="BK9" s="194">
        <f t="shared" si="10"/>
        <v>32.115025179611116</v>
      </c>
      <c r="BL9" s="194">
        <f t="shared" si="10"/>
        <v>31.497428541541677</v>
      </c>
      <c r="BM9" s="194">
        <f t="shared" si="10"/>
        <v>30.879831903472233</v>
      </c>
      <c r="BN9" s="194">
        <f t="shared" si="10"/>
        <v>30.262235265402783</v>
      </c>
      <c r="BO9" s="195">
        <f>SUM(BC9:BN9)</f>
        <v>403.90820129741684</v>
      </c>
      <c r="BP9" s="194">
        <f aca="true" t="shared" si="11" ref="BP9:CA9">BO12*$B$5/12</f>
        <v>29.64463862733334</v>
      </c>
      <c r="BQ9" s="194">
        <f t="shared" si="11"/>
        <v>29.027041989263896</v>
      </c>
      <c r="BR9" s="194">
        <f t="shared" si="11"/>
        <v>28.409445351194453</v>
      </c>
      <c r="BS9" s="194">
        <f t="shared" si="11"/>
        <v>27.791848713125006</v>
      </c>
      <c r="BT9" s="194">
        <f t="shared" si="11"/>
        <v>27.174252075055563</v>
      </c>
      <c r="BU9" s="194">
        <f t="shared" si="11"/>
        <v>26.55665543698612</v>
      </c>
      <c r="BV9" s="194">
        <f t="shared" si="11"/>
        <v>25.939058798916676</v>
      </c>
      <c r="BW9" s="194">
        <f t="shared" si="11"/>
        <v>25.32146216084723</v>
      </c>
      <c r="BX9" s="194">
        <f t="shared" si="11"/>
        <v>24.703865522777786</v>
      </c>
      <c r="BY9" s="194">
        <f t="shared" si="11"/>
        <v>24.086268884708343</v>
      </c>
      <c r="BZ9" s="194">
        <f t="shared" si="11"/>
        <v>23.4686722466389</v>
      </c>
      <c r="CA9" s="194">
        <f t="shared" si="11"/>
        <v>22.85107560856945</v>
      </c>
      <c r="CB9" s="195">
        <f>SUM(BP9:CA9)</f>
        <v>314.9742854154167</v>
      </c>
      <c r="CC9" s="194">
        <f aca="true" t="shared" si="12" ref="CC9:CN9">CB12*$B$5/12</f>
        <v>22.233478970500006</v>
      </c>
      <c r="CD9" s="194">
        <f t="shared" si="12"/>
        <v>21.615882332430562</v>
      </c>
      <c r="CE9" s="194">
        <f t="shared" si="12"/>
        <v>20.99828569436112</v>
      </c>
      <c r="CF9" s="194">
        <f t="shared" si="12"/>
        <v>20.380689056291676</v>
      </c>
      <c r="CG9" s="194">
        <f t="shared" si="12"/>
        <v>19.76309241822223</v>
      </c>
      <c r="CH9" s="194">
        <f t="shared" si="12"/>
        <v>19.145495780152785</v>
      </c>
      <c r="CI9" s="194">
        <f t="shared" si="12"/>
        <v>18.52789914208334</v>
      </c>
      <c r="CJ9" s="194">
        <f t="shared" si="12"/>
        <v>17.910302504013895</v>
      </c>
      <c r="CK9" s="194">
        <f t="shared" si="12"/>
        <v>17.292705865944452</v>
      </c>
      <c r="CL9" s="194">
        <f t="shared" si="12"/>
        <v>16.67510922787501</v>
      </c>
      <c r="CM9" s="194">
        <f t="shared" si="12"/>
        <v>16.05751258980556</v>
      </c>
      <c r="CN9" s="194">
        <f t="shared" si="12"/>
        <v>15.439915951736118</v>
      </c>
      <c r="CO9" s="195">
        <f>SUM(CC9:CN9)</f>
        <v>226.0403695334167</v>
      </c>
      <c r="CP9" s="194">
        <f aca="true" t="shared" si="13" ref="CP9:DA9">CO12*$B$5/12</f>
        <v>14.822319313666673</v>
      </c>
      <c r="CQ9" s="194">
        <f t="shared" si="13"/>
        <v>14.20472267559723</v>
      </c>
      <c r="CR9" s="194">
        <f t="shared" si="13"/>
        <v>13.587126037527783</v>
      </c>
      <c r="CS9" s="194">
        <f t="shared" si="13"/>
        <v>12.96952939945834</v>
      </c>
      <c r="CT9" s="194">
        <f t="shared" si="13"/>
        <v>12.351932761388895</v>
      </c>
      <c r="CU9" s="194">
        <f t="shared" si="13"/>
        <v>11.734336123319451</v>
      </c>
      <c r="CV9" s="194">
        <f t="shared" si="13"/>
        <v>11.116739485250006</v>
      </c>
      <c r="CW9" s="194">
        <f t="shared" si="13"/>
        <v>10.499142847180563</v>
      </c>
      <c r="CX9" s="194">
        <f t="shared" si="13"/>
        <v>9.881546209111118</v>
      </c>
      <c r="CY9" s="194">
        <f t="shared" si="13"/>
        <v>9.263949571041673</v>
      </c>
      <c r="CZ9" s="194">
        <f t="shared" si="13"/>
        <v>8.64635293297223</v>
      </c>
      <c r="DA9" s="194">
        <f t="shared" si="13"/>
        <v>8.028756294902784</v>
      </c>
      <c r="DB9" s="195">
        <f>SUM(CP9:DA9)</f>
        <v>137.10645365141676</v>
      </c>
      <c r="DC9" s="194">
        <f aca="true" t="shared" si="14" ref="DC9:DN9">DB12*$B$5/12</f>
        <v>7.41115965683334</v>
      </c>
      <c r="DD9" s="194">
        <f t="shared" si="14"/>
        <v>6.793563018763895</v>
      </c>
      <c r="DE9" s="194">
        <f t="shared" si="14"/>
        <v>6.175966380694451</v>
      </c>
      <c r="DF9" s="194">
        <f t="shared" si="14"/>
        <v>5.558369742625007</v>
      </c>
      <c r="DG9" s="194">
        <f t="shared" si="14"/>
        <v>4.940773104555562</v>
      </c>
      <c r="DH9" s="194">
        <f t="shared" si="14"/>
        <v>4.3231764664861165</v>
      </c>
      <c r="DI9" s="194">
        <f t="shared" si="14"/>
        <v>3.7055798284166723</v>
      </c>
      <c r="DJ9" s="194">
        <f t="shared" si="14"/>
        <v>3.0879831903472277</v>
      </c>
      <c r="DK9" s="194">
        <f t="shared" si="14"/>
        <v>2.4703865522777835</v>
      </c>
      <c r="DL9" s="194">
        <f t="shared" si="14"/>
        <v>1.8527899142083388</v>
      </c>
      <c r="DM9" s="194">
        <f t="shared" si="14"/>
        <v>1.8527899142083388</v>
      </c>
      <c r="DN9" s="194">
        <f t="shared" si="14"/>
        <v>1.8527899142083388</v>
      </c>
      <c r="DO9" s="195">
        <f>SUM(DC9:DN9)</f>
        <v>50.025327683625065</v>
      </c>
    </row>
    <row r="10" spans="1:120" ht="12.75" hidden="1">
      <c r="A10" s="188" t="s">
        <v>14</v>
      </c>
      <c r="B10" s="193">
        <f>O10+AB10+AO10+BB10+BO10+CB10+CO10+DB10+DO10</f>
        <v>7622.907075600001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9"/>
      <c r="M10" s="199"/>
      <c r="N10" s="199"/>
      <c r="O10" s="195">
        <f>SUM(C10:N10)</f>
        <v>0</v>
      </c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5">
        <f>SUM(P10:AA10)</f>
        <v>0</v>
      </c>
      <c r="AC10" s="199"/>
      <c r="AD10" s="199"/>
      <c r="AE10" s="199"/>
      <c r="AF10" s="199"/>
      <c r="AG10" s="199"/>
      <c r="AH10" s="199"/>
      <c r="AI10" s="199"/>
      <c r="AJ10" s="199"/>
      <c r="AK10" s="199"/>
      <c r="AL10" s="194">
        <f>$AK$12/$B$13</f>
        <v>105.87370938333335</v>
      </c>
      <c r="AM10" s="194">
        <f aca="true" t="shared" si="15" ref="AM10:CY10">$AK$12/$B$13</f>
        <v>105.87370938333335</v>
      </c>
      <c r="AN10" s="194">
        <f t="shared" si="15"/>
        <v>105.87370938333335</v>
      </c>
      <c r="AO10" s="195">
        <f>SUM(AC10:AN10)</f>
        <v>317.62112815000006</v>
      </c>
      <c r="AP10" s="194">
        <f t="shared" si="15"/>
        <v>105.87370938333335</v>
      </c>
      <c r="AQ10" s="194">
        <f t="shared" si="15"/>
        <v>105.87370938333335</v>
      </c>
      <c r="AR10" s="194">
        <f t="shared" si="15"/>
        <v>105.87370938333335</v>
      </c>
      <c r="AS10" s="194">
        <f t="shared" si="15"/>
        <v>105.87370938333335</v>
      </c>
      <c r="AT10" s="194">
        <f t="shared" si="15"/>
        <v>105.87370938333335</v>
      </c>
      <c r="AU10" s="194">
        <f t="shared" si="15"/>
        <v>105.87370938333335</v>
      </c>
      <c r="AV10" s="194">
        <f t="shared" si="15"/>
        <v>105.87370938333335</v>
      </c>
      <c r="AW10" s="194">
        <f t="shared" si="15"/>
        <v>105.87370938333335</v>
      </c>
      <c r="AX10" s="194">
        <f t="shared" si="15"/>
        <v>105.87370938333335</v>
      </c>
      <c r="AY10" s="194">
        <f t="shared" si="15"/>
        <v>105.87370938333335</v>
      </c>
      <c r="AZ10" s="194">
        <f t="shared" si="15"/>
        <v>105.87370938333335</v>
      </c>
      <c r="BA10" s="194">
        <f t="shared" si="15"/>
        <v>105.87370938333335</v>
      </c>
      <c r="BB10" s="195">
        <f>SUM(AP10:BA10)</f>
        <v>1270.4845126000002</v>
      </c>
      <c r="BC10" s="194">
        <f t="shared" si="15"/>
        <v>105.87370938333335</v>
      </c>
      <c r="BD10" s="194">
        <f t="shared" si="15"/>
        <v>105.87370938333335</v>
      </c>
      <c r="BE10" s="194">
        <f t="shared" si="15"/>
        <v>105.87370938333335</v>
      </c>
      <c r="BF10" s="194">
        <f t="shared" si="15"/>
        <v>105.87370938333335</v>
      </c>
      <c r="BG10" s="194">
        <f t="shared" si="15"/>
        <v>105.87370938333335</v>
      </c>
      <c r="BH10" s="194">
        <f t="shared" si="15"/>
        <v>105.87370938333335</v>
      </c>
      <c r="BI10" s="194">
        <f t="shared" si="15"/>
        <v>105.87370938333335</v>
      </c>
      <c r="BJ10" s="194">
        <f t="shared" si="15"/>
        <v>105.87370938333335</v>
      </c>
      <c r="BK10" s="194">
        <f t="shared" si="15"/>
        <v>105.87370938333335</v>
      </c>
      <c r="BL10" s="194">
        <f t="shared" si="15"/>
        <v>105.87370938333335</v>
      </c>
      <c r="BM10" s="194">
        <f t="shared" si="15"/>
        <v>105.87370938333335</v>
      </c>
      <c r="BN10" s="194">
        <f t="shared" si="15"/>
        <v>105.87370938333335</v>
      </c>
      <c r="BO10" s="195">
        <f>SUM(BC10:BN10)</f>
        <v>1270.4845126000002</v>
      </c>
      <c r="BP10" s="194">
        <f t="shared" si="15"/>
        <v>105.87370938333335</v>
      </c>
      <c r="BQ10" s="194">
        <f t="shared" si="15"/>
        <v>105.87370938333335</v>
      </c>
      <c r="BR10" s="194">
        <f t="shared" si="15"/>
        <v>105.87370938333335</v>
      </c>
      <c r="BS10" s="194">
        <f t="shared" si="15"/>
        <v>105.87370938333335</v>
      </c>
      <c r="BT10" s="194">
        <f t="shared" si="15"/>
        <v>105.87370938333335</v>
      </c>
      <c r="BU10" s="194">
        <f t="shared" si="15"/>
        <v>105.87370938333335</v>
      </c>
      <c r="BV10" s="194">
        <f t="shared" si="15"/>
        <v>105.87370938333335</v>
      </c>
      <c r="BW10" s="194">
        <f t="shared" si="15"/>
        <v>105.87370938333335</v>
      </c>
      <c r="BX10" s="194">
        <f t="shared" si="15"/>
        <v>105.87370938333335</v>
      </c>
      <c r="BY10" s="194">
        <f t="shared" si="15"/>
        <v>105.87370938333335</v>
      </c>
      <c r="BZ10" s="194">
        <f t="shared" si="15"/>
        <v>105.87370938333335</v>
      </c>
      <c r="CA10" s="194">
        <f t="shared" si="15"/>
        <v>105.87370938333335</v>
      </c>
      <c r="CB10" s="195">
        <f>SUM(BP10:CA10)</f>
        <v>1270.4845126000002</v>
      </c>
      <c r="CC10" s="194">
        <f t="shared" si="15"/>
        <v>105.87370938333335</v>
      </c>
      <c r="CD10" s="194">
        <f t="shared" si="15"/>
        <v>105.87370938333335</v>
      </c>
      <c r="CE10" s="194">
        <f t="shared" si="15"/>
        <v>105.87370938333335</v>
      </c>
      <c r="CF10" s="194">
        <f t="shared" si="15"/>
        <v>105.87370938333335</v>
      </c>
      <c r="CG10" s="194">
        <f t="shared" si="15"/>
        <v>105.87370938333335</v>
      </c>
      <c r="CH10" s="194">
        <f t="shared" si="15"/>
        <v>105.87370938333335</v>
      </c>
      <c r="CI10" s="194">
        <f t="shared" si="15"/>
        <v>105.87370938333335</v>
      </c>
      <c r="CJ10" s="194">
        <f t="shared" si="15"/>
        <v>105.87370938333335</v>
      </c>
      <c r="CK10" s="194">
        <f t="shared" si="15"/>
        <v>105.87370938333335</v>
      </c>
      <c r="CL10" s="194">
        <f t="shared" si="15"/>
        <v>105.87370938333335</v>
      </c>
      <c r="CM10" s="194">
        <f t="shared" si="15"/>
        <v>105.87370938333335</v>
      </c>
      <c r="CN10" s="194">
        <f t="shared" si="15"/>
        <v>105.87370938333335</v>
      </c>
      <c r="CO10" s="195">
        <f>SUM(CC10:CN10)</f>
        <v>1270.4845126000002</v>
      </c>
      <c r="CP10" s="194">
        <f t="shared" si="15"/>
        <v>105.87370938333335</v>
      </c>
      <c r="CQ10" s="194">
        <f t="shared" si="15"/>
        <v>105.87370938333335</v>
      </c>
      <c r="CR10" s="194">
        <f t="shared" si="15"/>
        <v>105.87370938333335</v>
      </c>
      <c r="CS10" s="194">
        <f t="shared" si="15"/>
        <v>105.87370938333335</v>
      </c>
      <c r="CT10" s="194">
        <f t="shared" si="15"/>
        <v>105.87370938333335</v>
      </c>
      <c r="CU10" s="194">
        <f t="shared" si="15"/>
        <v>105.87370938333335</v>
      </c>
      <c r="CV10" s="194">
        <f t="shared" si="15"/>
        <v>105.87370938333335</v>
      </c>
      <c r="CW10" s="194">
        <f t="shared" si="15"/>
        <v>105.87370938333335</v>
      </c>
      <c r="CX10" s="194">
        <f t="shared" si="15"/>
        <v>105.87370938333335</v>
      </c>
      <c r="CY10" s="194">
        <f t="shared" si="15"/>
        <v>105.87370938333335</v>
      </c>
      <c r="CZ10" s="194">
        <f aca="true" t="shared" si="16" ref="CZ10:DK10">$AK$12/$B$13</f>
        <v>105.87370938333335</v>
      </c>
      <c r="DA10" s="194">
        <f t="shared" si="16"/>
        <v>105.87370938333335</v>
      </c>
      <c r="DB10" s="195">
        <f>SUM(CP10:DA10)</f>
        <v>1270.4845126000002</v>
      </c>
      <c r="DC10" s="194">
        <f t="shared" si="16"/>
        <v>105.87370938333335</v>
      </c>
      <c r="DD10" s="194">
        <f t="shared" si="16"/>
        <v>105.87370938333335</v>
      </c>
      <c r="DE10" s="194">
        <f t="shared" si="16"/>
        <v>105.87370938333335</v>
      </c>
      <c r="DF10" s="194">
        <f t="shared" si="16"/>
        <v>105.87370938333335</v>
      </c>
      <c r="DG10" s="194">
        <f t="shared" si="16"/>
        <v>105.87370938333335</v>
      </c>
      <c r="DH10" s="194">
        <f t="shared" si="16"/>
        <v>105.87370938333335</v>
      </c>
      <c r="DI10" s="194">
        <f t="shared" si="16"/>
        <v>105.87370938333335</v>
      </c>
      <c r="DJ10" s="194">
        <f t="shared" si="16"/>
        <v>105.87370938333335</v>
      </c>
      <c r="DK10" s="194">
        <f t="shared" si="16"/>
        <v>105.87370938333335</v>
      </c>
      <c r="DL10" s="194"/>
      <c r="DM10" s="194"/>
      <c r="DN10" s="194"/>
      <c r="DO10" s="195">
        <f>SUM(DC10:DN10)</f>
        <v>952.8633844500001</v>
      </c>
      <c r="DP10" s="196"/>
    </row>
    <row r="11" spans="1:120" ht="12.75" hidden="1">
      <c r="A11" s="188" t="s">
        <v>15</v>
      </c>
      <c r="B11" s="193">
        <f>O11+AB11+AO11+BB11+BO11+CB11+CO11+DB11+DO11</f>
        <v>1762.0032084121256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9"/>
      <c r="M11" s="199"/>
      <c r="N11" s="199"/>
      <c r="O11" s="195">
        <f>SUM(C11:N11)</f>
        <v>0</v>
      </c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5">
        <f>SUM(P11:AA11)</f>
        <v>0</v>
      </c>
      <c r="AC11" s="199"/>
      <c r="AD11" s="199"/>
      <c r="AE11" s="199"/>
      <c r="AF11" s="199"/>
      <c r="AG11" s="199"/>
      <c r="AH11" s="199"/>
      <c r="AI11" s="199"/>
      <c r="AJ11" s="199"/>
      <c r="AK11" s="199"/>
      <c r="AL11" s="194">
        <f aca="true" t="shared" si="17" ref="AL11:BN11">AL9</f>
        <v>46.31974785520834</v>
      </c>
      <c r="AM11" s="194">
        <f t="shared" si="17"/>
        <v>45.7021512171389</v>
      </c>
      <c r="AN11" s="194">
        <f t="shared" si="17"/>
        <v>45.084554579069454</v>
      </c>
      <c r="AO11" s="195">
        <f>SUM(AC11:AN11)</f>
        <v>137.1064536514167</v>
      </c>
      <c r="AP11" s="194">
        <f t="shared" si="17"/>
        <v>44.46695794100001</v>
      </c>
      <c r="AQ11" s="194">
        <f t="shared" si="17"/>
        <v>43.84936130293057</v>
      </c>
      <c r="AR11" s="194">
        <f t="shared" si="17"/>
        <v>43.23176466486112</v>
      </c>
      <c r="AS11" s="194">
        <f t="shared" si="17"/>
        <v>42.61416802679168</v>
      </c>
      <c r="AT11" s="194">
        <f t="shared" si="17"/>
        <v>41.99657138872223</v>
      </c>
      <c r="AU11" s="194">
        <f t="shared" si="17"/>
        <v>41.37897475065279</v>
      </c>
      <c r="AV11" s="194">
        <f t="shared" si="17"/>
        <v>40.761378112583344</v>
      </c>
      <c r="AW11" s="194">
        <f t="shared" si="17"/>
        <v>40.1437814745139</v>
      </c>
      <c r="AX11" s="194">
        <f t="shared" si="17"/>
        <v>39.52618483644445</v>
      </c>
      <c r="AY11" s="194">
        <f t="shared" si="17"/>
        <v>38.90858819837501</v>
      </c>
      <c r="AZ11" s="194">
        <f t="shared" si="17"/>
        <v>38.290991560305564</v>
      </c>
      <c r="BA11" s="194">
        <f t="shared" si="17"/>
        <v>37.67339492223612</v>
      </c>
      <c r="BB11" s="195">
        <f>SUM(AP11:BA11)</f>
        <v>492.8421171794167</v>
      </c>
      <c r="BC11" s="194">
        <f t="shared" si="17"/>
        <v>37.05579828416668</v>
      </c>
      <c r="BD11" s="194">
        <f t="shared" si="17"/>
        <v>36.438201646097234</v>
      </c>
      <c r="BE11" s="194">
        <f t="shared" si="17"/>
        <v>35.82060500802779</v>
      </c>
      <c r="BF11" s="194">
        <f t="shared" si="17"/>
        <v>35.20300836995835</v>
      </c>
      <c r="BG11" s="194">
        <f t="shared" si="17"/>
        <v>34.5854117318889</v>
      </c>
      <c r="BH11" s="194">
        <f t="shared" si="17"/>
        <v>33.96781509381945</v>
      </c>
      <c r="BI11" s="194">
        <f t="shared" si="17"/>
        <v>33.35021845575001</v>
      </c>
      <c r="BJ11" s="194">
        <f t="shared" si="17"/>
        <v>32.73262181768056</v>
      </c>
      <c r="BK11" s="194">
        <f t="shared" si="17"/>
        <v>32.115025179611116</v>
      </c>
      <c r="BL11" s="194">
        <f t="shared" si="17"/>
        <v>31.497428541541677</v>
      </c>
      <c r="BM11" s="194">
        <f t="shared" si="17"/>
        <v>30.879831903472233</v>
      </c>
      <c r="BN11" s="194">
        <f t="shared" si="17"/>
        <v>30.262235265402783</v>
      </c>
      <c r="BO11" s="195">
        <f>SUM(BC11:BN11)</f>
        <v>403.90820129741684</v>
      </c>
      <c r="BP11" s="194">
        <f aca="true" t="shared" si="18" ref="BP11:CA11">BP9</f>
        <v>29.64463862733334</v>
      </c>
      <c r="BQ11" s="194">
        <f t="shared" si="18"/>
        <v>29.027041989263896</v>
      </c>
      <c r="BR11" s="194">
        <f t="shared" si="18"/>
        <v>28.409445351194453</v>
      </c>
      <c r="BS11" s="194">
        <f t="shared" si="18"/>
        <v>27.791848713125006</v>
      </c>
      <c r="BT11" s="194">
        <f t="shared" si="18"/>
        <v>27.174252075055563</v>
      </c>
      <c r="BU11" s="194">
        <f t="shared" si="18"/>
        <v>26.55665543698612</v>
      </c>
      <c r="BV11" s="194">
        <f t="shared" si="18"/>
        <v>25.939058798916676</v>
      </c>
      <c r="BW11" s="194">
        <f t="shared" si="18"/>
        <v>25.32146216084723</v>
      </c>
      <c r="BX11" s="194">
        <f t="shared" si="18"/>
        <v>24.703865522777786</v>
      </c>
      <c r="BY11" s="194">
        <f t="shared" si="18"/>
        <v>24.086268884708343</v>
      </c>
      <c r="BZ11" s="194">
        <f t="shared" si="18"/>
        <v>23.4686722466389</v>
      </c>
      <c r="CA11" s="194">
        <f t="shared" si="18"/>
        <v>22.85107560856945</v>
      </c>
      <c r="CB11" s="195">
        <f>SUM(BP11:CA11)</f>
        <v>314.9742854154167</v>
      </c>
      <c r="CC11" s="194">
        <f aca="true" t="shared" si="19" ref="CC11:CN11">CC9</f>
        <v>22.233478970500006</v>
      </c>
      <c r="CD11" s="194">
        <f t="shared" si="19"/>
        <v>21.615882332430562</v>
      </c>
      <c r="CE11" s="194">
        <f t="shared" si="19"/>
        <v>20.99828569436112</v>
      </c>
      <c r="CF11" s="194">
        <f t="shared" si="19"/>
        <v>20.380689056291676</v>
      </c>
      <c r="CG11" s="194">
        <f t="shared" si="19"/>
        <v>19.76309241822223</v>
      </c>
      <c r="CH11" s="194">
        <f t="shared" si="19"/>
        <v>19.145495780152785</v>
      </c>
      <c r="CI11" s="194">
        <f t="shared" si="19"/>
        <v>18.52789914208334</v>
      </c>
      <c r="CJ11" s="194">
        <f t="shared" si="19"/>
        <v>17.910302504013895</v>
      </c>
      <c r="CK11" s="194">
        <f t="shared" si="19"/>
        <v>17.292705865944452</v>
      </c>
      <c r="CL11" s="194">
        <f t="shared" si="19"/>
        <v>16.67510922787501</v>
      </c>
      <c r="CM11" s="194">
        <f t="shared" si="19"/>
        <v>16.05751258980556</v>
      </c>
      <c r="CN11" s="194">
        <f t="shared" si="19"/>
        <v>15.439915951736118</v>
      </c>
      <c r="CO11" s="195">
        <f>SUM(CC11:CN11)</f>
        <v>226.0403695334167</v>
      </c>
      <c r="CP11" s="194">
        <f aca="true" t="shared" si="20" ref="CP11:DA11">CP9</f>
        <v>14.822319313666673</v>
      </c>
      <c r="CQ11" s="194">
        <f t="shared" si="20"/>
        <v>14.20472267559723</v>
      </c>
      <c r="CR11" s="194">
        <f t="shared" si="20"/>
        <v>13.587126037527783</v>
      </c>
      <c r="CS11" s="194">
        <f t="shared" si="20"/>
        <v>12.96952939945834</v>
      </c>
      <c r="CT11" s="194">
        <f t="shared" si="20"/>
        <v>12.351932761388895</v>
      </c>
      <c r="CU11" s="194">
        <f t="shared" si="20"/>
        <v>11.734336123319451</v>
      </c>
      <c r="CV11" s="194">
        <f t="shared" si="20"/>
        <v>11.116739485250006</v>
      </c>
      <c r="CW11" s="194">
        <f t="shared" si="20"/>
        <v>10.499142847180563</v>
      </c>
      <c r="CX11" s="194">
        <f t="shared" si="20"/>
        <v>9.881546209111118</v>
      </c>
      <c r="CY11" s="194">
        <f t="shared" si="20"/>
        <v>9.263949571041673</v>
      </c>
      <c r="CZ11" s="194">
        <f t="shared" si="20"/>
        <v>8.64635293297223</v>
      </c>
      <c r="DA11" s="194">
        <f t="shared" si="20"/>
        <v>8.028756294902784</v>
      </c>
      <c r="DB11" s="195">
        <f>SUM(CP11:DA11)</f>
        <v>137.10645365141676</v>
      </c>
      <c r="DC11" s="194">
        <f aca="true" t="shared" si="21" ref="DC11:DN11">DC9</f>
        <v>7.41115965683334</v>
      </c>
      <c r="DD11" s="194">
        <f t="shared" si="21"/>
        <v>6.793563018763895</v>
      </c>
      <c r="DE11" s="194">
        <f t="shared" si="21"/>
        <v>6.175966380694451</v>
      </c>
      <c r="DF11" s="194">
        <f t="shared" si="21"/>
        <v>5.558369742625007</v>
      </c>
      <c r="DG11" s="194">
        <f t="shared" si="21"/>
        <v>4.940773104555562</v>
      </c>
      <c r="DH11" s="194">
        <f t="shared" si="21"/>
        <v>4.3231764664861165</v>
      </c>
      <c r="DI11" s="194">
        <f t="shared" si="21"/>
        <v>3.7055798284166723</v>
      </c>
      <c r="DJ11" s="194">
        <f t="shared" si="21"/>
        <v>3.0879831903472277</v>
      </c>
      <c r="DK11" s="194">
        <f t="shared" si="21"/>
        <v>2.4703865522777835</v>
      </c>
      <c r="DL11" s="194">
        <f t="shared" si="21"/>
        <v>1.8527899142083388</v>
      </c>
      <c r="DM11" s="194">
        <f t="shared" si="21"/>
        <v>1.8527899142083388</v>
      </c>
      <c r="DN11" s="194">
        <f t="shared" si="21"/>
        <v>1.8527899142083388</v>
      </c>
      <c r="DO11" s="195">
        <f>SUM(DC11:DN11)</f>
        <v>50.025327683625065</v>
      </c>
      <c r="DP11" s="196" t="s">
        <v>58</v>
      </c>
    </row>
    <row r="12" spans="1:120" ht="12.75" hidden="1">
      <c r="A12" s="188" t="s">
        <v>16</v>
      </c>
      <c r="B12" s="193">
        <f>DO12</f>
        <v>317.6211281500009</v>
      </c>
      <c r="C12" s="194">
        <f>C7</f>
        <v>0</v>
      </c>
      <c r="D12" s="194">
        <f>C12+D7-D10+D8</f>
        <v>0</v>
      </c>
      <c r="E12" s="194">
        <f>D12+E7-E10+E8</f>
        <v>0</v>
      </c>
      <c r="F12" s="194">
        <f>E12+F7-F10+F8</f>
        <v>0</v>
      </c>
      <c r="G12" s="194">
        <f aca="true" t="shared" si="22" ref="G12:L12">F12+G7-G10+G8</f>
        <v>0</v>
      </c>
      <c r="H12" s="194">
        <f>G12+H7-H10+H8</f>
        <v>0</v>
      </c>
      <c r="I12" s="194">
        <f t="shared" si="22"/>
        <v>0</v>
      </c>
      <c r="J12" s="194">
        <f t="shared" si="22"/>
        <v>0</v>
      </c>
      <c r="K12" s="194">
        <f t="shared" si="22"/>
        <v>0</v>
      </c>
      <c r="L12" s="194">
        <f t="shared" si="22"/>
        <v>2518.6623000000004</v>
      </c>
      <c r="M12" s="194">
        <f>L12+M7-M10+M8</f>
        <v>7024.374600000001</v>
      </c>
      <c r="N12" s="194">
        <f>M12+N7-N10+N8</f>
        <v>7024.374600000001</v>
      </c>
      <c r="O12" s="195">
        <f>N12</f>
        <v>7024.374600000001</v>
      </c>
      <c r="P12" s="194">
        <f>O12+P7-P10+P8</f>
        <v>7024.374600000001</v>
      </c>
      <c r="Q12" s="194">
        <f aca="true" t="shared" si="23" ref="Q12:Z12">P12+Q7-Q10+Q8</f>
        <v>7024.374600000001</v>
      </c>
      <c r="R12" s="194">
        <f t="shared" si="23"/>
        <v>7024.374600000001</v>
      </c>
      <c r="S12" s="194">
        <f t="shared" si="23"/>
        <v>7024.374600000001</v>
      </c>
      <c r="T12" s="194">
        <f t="shared" si="23"/>
        <v>7024.374600000001</v>
      </c>
      <c r="U12" s="194">
        <f t="shared" si="23"/>
        <v>7024.374600000001</v>
      </c>
      <c r="V12" s="194">
        <f t="shared" si="23"/>
        <v>7024.374600000001</v>
      </c>
      <c r="W12" s="194">
        <f t="shared" si="23"/>
        <v>7024.374600000001</v>
      </c>
      <c r="X12" s="194">
        <f t="shared" si="23"/>
        <v>7024.374600000001</v>
      </c>
      <c r="Y12" s="194">
        <f t="shared" si="23"/>
        <v>7024.374600000001</v>
      </c>
      <c r="Z12" s="194">
        <f t="shared" si="23"/>
        <v>7024.374600000001</v>
      </c>
      <c r="AA12" s="194">
        <f>Z12+AA7-AA10+AA8</f>
        <v>7024.374600000001</v>
      </c>
      <c r="AB12" s="195">
        <f>AA12</f>
        <v>7024.374600000001</v>
      </c>
      <c r="AC12" s="194">
        <f>AB12+AC7-AC10+AC8</f>
        <v>7024.374600000001</v>
      </c>
      <c r="AD12" s="194">
        <f aca="true" t="shared" si="24" ref="AD12:AN12">AC12+AD7-AD10+AD8</f>
        <v>7024.374600000001</v>
      </c>
      <c r="AE12" s="194">
        <f t="shared" si="24"/>
        <v>7024.374600000001</v>
      </c>
      <c r="AF12" s="194">
        <f t="shared" si="24"/>
        <v>7024.374600000001</v>
      </c>
      <c r="AG12" s="194">
        <f t="shared" si="24"/>
        <v>7024.374600000001</v>
      </c>
      <c r="AH12" s="194">
        <f t="shared" si="24"/>
        <v>7024.374600000001</v>
      </c>
      <c r="AI12" s="194">
        <f t="shared" si="24"/>
        <v>7024.374600000001</v>
      </c>
      <c r="AJ12" s="194">
        <f t="shared" si="24"/>
        <v>7024.374600000001</v>
      </c>
      <c r="AK12" s="194">
        <f t="shared" si="24"/>
        <v>7940.528203750001</v>
      </c>
      <c r="AL12" s="194">
        <f t="shared" si="24"/>
        <v>7834.654494366668</v>
      </c>
      <c r="AM12" s="194">
        <f t="shared" si="24"/>
        <v>7728.780784983334</v>
      </c>
      <c r="AN12" s="194">
        <f t="shared" si="24"/>
        <v>7622.907075600001</v>
      </c>
      <c r="AO12" s="195">
        <f>AN12</f>
        <v>7622.907075600001</v>
      </c>
      <c r="AP12" s="194">
        <f>AO12+AP7-AP10+AP8</f>
        <v>7517.033366216668</v>
      </c>
      <c r="AQ12" s="194">
        <f aca="true" t="shared" si="25" ref="AQ12:BA12">AP12+AQ7-AQ10+AQ8</f>
        <v>7411.159656833334</v>
      </c>
      <c r="AR12" s="194">
        <f t="shared" si="25"/>
        <v>7305.285947450001</v>
      </c>
      <c r="AS12" s="194">
        <f t="shared" si="25"/>
        <v>7199.412238066668</v>
      </c>
      <c r="AT12" s="194">
        <f t="shared" si="25"/>
        <v>7093.538528683334</v>
      </c>
      <c r="AU12" s="194">
        <f t="shared" si="25"/>
        <v>6987.664819300001</v>
      </c>
      <c r="AV12" s="194">
        <f t="shared" si="25"/>
        <v>6881.791109916668</v>
      </c>
      <c r="AW12" s="194">
        <f t="shared" si="25"/>
        <v>6775.917400533334</v>
      </c>
      <c r="AX12" s="194">
        <f t="shared" si="25"/>
        <v>6670.043691150001</v>
      </c>
      <c r="AY12" s="194">
        <f t="shared" si="25"/>
        <v>6564.169981766668</v>
      </c>
      <c r="AZ12" s="194">
        <f t="shared" si="25"/>
        <v>6458.296272383334</v>
      </c>
      <c r="BA12" s="194">
        <f t="shared" si="25"/>
        <v>6352.422563000001</v>
      </c>
      <c r="BB12" s="195">
        <f>BA12</f>
        <v>6352.422563000001</v>
      </c>
      <c r="BC12" s="194">
        <f>BB12+BC7-BC10+BC8</f>
        <v>6246.548853616668</v>
      </c>
      <c r="BD12" s="194">
        <f aca="true" t="shared" si="26" ref="BD12:BN12">BC12+BD7-BD10+BD8</f>
        <v>6140.675144233334</v>
      </c>
      <c r="BE12" s="194">
        <f t="shared" si="26"/>
        <v>6034.801434850001</v>
      </c>
      <c r="BF12" s="194">
        <f t="shared" si="26"/>
        <v>5928.927725466668</v>
      </c>
      <c r="BG12" s="194">
        <f t="shared" si="26"/>
        <v>5823.054016083334</v>
      </c>
      <c r="BH12" s="194">
        <f t="shared" si="26"/>
        <v>5717.180306700001</v>
      </c>
      <c r="BI12" s="194">
        <f t="shared" si="26"/>
        <v>5611.306597316668</v>
      </c>
      <c r="BJ12" s="194">
        <f t="shared" si="26"/>
        <v>5505.432887933334</v>
      </c>
      <c r="BK12" s="194">
        <f t="shared" si="26"/>
        <v>5399.559178550001</v>
      </c>
      <c r="BL12" s="194">
        <f t="shared" si="26"/>
        <v>5293.685469166668</v>
      </c>
      <c r="BM12" s="194">
        <f t="shared" si="26"/>
        <v>5187.811759783334</v>
      </c>
      <c r="BN12" s="194">
        <f t="shared" si="26"/>
        <v>5081.938050400001</v>
      </c>
      <c r="BO12" s="195">
        <f>BN12</f>
        <v>5081.938050400001</v>
      </c>
      <c r="BP12" s="194">
        <f aca="true" t="shared" si="27" ref="BP12:CA12">BO12+BP7-BP10+BP8</f>
        <v>4976.064341016668</v>
      </c>
      <c r="BQ12" s="194">
        <f t="shared" si="27"/>
        <v>4870.190631633334</v>
      </c>
      <c r="BR12" s="194">
        <f t="shared" si="27"/>
        <v>4764.316922250001</v>
      </c>
      <c r="BS12" s="194">
        <f t="shared" si="27"/>
        <v>4658.443212866668</v>
      </c>
      <c r="BT12" s="194">
        <f t="shared" si="27"/>
        <v>4552.569503483334</v>
      </c>
      <c r="BU12" s="194">
        <f t="shared" si="27"/>
        <v>4446.695794100001</v>
      </c>
      <c r="BV12" s="194">
        <f t="shared" si="27"/>
        <v>4340.822084716668</v>
      </c>
      <c r="BW12" s="194">
        <f t="shared" si="27"/>
        <v>4234.948375333334</v>
      </c>
      <c r="BX12" s="194">
        <f t="shared" si="27"/>
        <v>4129.074665950001</v>
      </c>
      <c r="BY12" s="194">
        <f t="shared" si="27"/>
        <v>4023.2009565666676</v>
      </c>
      <c r="BZ12" s="194">
        <f t="shared" si="27"/>
        <v>3917.3272471833343</v>
      </c>
      <c r="CA12" s="194">
        <f t="shared" si="27"/>
        <v>3811.453537800001</v>
      </c>
      <c r="CB12" s="195">
        <f>CA12</f>
        <v>3811.453537800001</v>
      </c>
      <c r="CC12" s="194">
        <f aca="true" t="shared" si="28" ref="CC12:CN12">CB12+CC7-CC10+CC8</f>
        <v>3705.5798284166676</v>
      </c>
      <c r="CD12" s="194">
        <f t="shared" si="28"/>
        <v>3599.7061190333343</v>
      </c>
      <c r="CE12" s="194">
        <f t="shared" si="28"/>
        <v>3493.832409650001</v>
      </c>
      <c r="CF12" s="194">
        <f t="shared" si="28"/>
        <v>3387.9587002666676</v>
      </c>
      <c r="CG12" s="194">
        <f t="shared" si="28"/>
        <v>3282.0849908833343</v>
      </c>
      <c r="CH12" s="194">
        <f t="shared" si="28"/>
        <v>3176.211281500001</v>
      </c>
      <c r="CI12" s="194">
        <f t="shared" si="28"/>
        <v>3070.3375721166676</v>
      </c>
      <c r="CJ12" s="194">
        <f t="shared" si="28"/>
        <v>2964.4638627333343</v>
      </c>
      <c r="CK12" s="194">
        <f t="shared" si="28"/>
        <v>2858.590153350001</v>
      </c>
      <c r="CL12" s="194">
        <f t="shared" si="28"/>
        <v>2752.7164439666676</v>
      </c>
      <c r="CM12" s="194">
        <f t="shared" si="28"/>
        <v>2646.8427345833343</v>
      </c>
      <c r="CN12" s="194">
        <f t="shared" si="28"/>
        <v>2540.969025200001</v>
      </c>
      <c r="CO12" s="195">
        <f>CN12</f>
        <v>2540.969025200001</v>
      </c>
      <c r="CP12" s="194">
        <f aca="true" t="shared" si="29" ref="CP12:DA12">CO12+CP7-CP10+CP8</f>
        <v>2435.0953158166676</v>
      </c>
      <c r="CQ12" s="194">
        <f t="shared" si="29"/>
        <v>2329.2216064333343</v>
      </c>
      <c r="CR12" s="194">
        <f t="shared" si="29"/>
        <v>2223.347897050001</v>
      </c>
      <c r="CS12" s="194">
        <f t="shared" si="29"/>
        <v>2117.4741876666676</v>
      </c>
      <c r="CT12" s="194">
        <f t="shared" si="29"/>
        <v>2011.6004782833343</v>
      </c>
      <c r="CU12" s="194">
        <f t="shared" si="29"/>
        <v>1905.726768900001</v>
      </c>
      <c r="CV12" s="194">
        <f t="shared" si="29"/>
        <v>1799.8530595166676</v>
      </c>
      <c r="CW12" s="194">
        <f t="shared" si="29"/>
        <v>1693.9793501333343</v>
      </c>
      <c r="CX12" s="194">
        <f t="shared" si="29"/>
        <v>1588.105640750001</v>
      </c>
      <c r="CY12" s="194">
        <f t="shared" si="29"/>
        <v>1482.2319313666676</v>
      </c>
      <c r="CZ12" s="194">
        <f t="shared" si="29"/>
        <v>1376.3582219833343</v>
      </c>
      <c r="DA12" s="194">
        <f t="shared" si="29"/>
        <v>1270.484512600001</v>
      </c>
      <c r="DB12" s="195">
        <f>DA12</f>
        <v>1270.484512600001</v>
      </c>
      <c r="DC12" s="194">
        <f aca="true" t="shared" si="30" ref="DC12:DN12">DB12+DC7-DC10+DC8</f>
        <v>1164.6108032166676</v>
      </c>
      <c r="DD12" s="194">
        <f t="shared" si="30"/>
        <v>1058.7370938333343</v>
      </c>
      <c r="DE12" s="194">
        <f t="shared" si="30"/>
        <v>952.8633844500009</v>
      </c>
      <c r="DF12" s="194">
        <f t="shared" si="30"/>
        <v>846.9896750666676</v>
      </c>
      <c r="DG12" s="194">
        <f t="shared" si="30"/>
        <v>741.1159656833343</v>
      </c>
      <c r="DH12" s="194">
        <f t="shared" si="30"/>
        <v>635.2422563000009</v>
      </c>
      <c r="DI12" s="194">
        <f t="shared" si="30"/>
        <v>529.3685469166676</v>
      </c>
      <c r="DJ12" s="194">
        <f t="shared" si="30"/>
        <v>423.49483753333425</v>
      </c>
      <c r="DK12" s="194">
        <f t="shared" si="30"/>
        <v>317.6211281500009</v>
      </c>
      <c r="DL12" s="194">
        <f t="shared" si="30"/>
        <v>317.6211281500009</v>
      </c>
      <c r="DM12" s="194">
        <f t="shared" si="30"/>
        <v>317.6211281500009</v>
      </c>
      <c r="DN12" s="194">
        <f t="shared" si="30"/>
        <v>317.6211281500009</v>
      </c>
      <c r="DO12" s="195">
        <f>DN12</f>
        <v>317.6211281500009</v>
      </c>
      <c r="DP12" s="200">
        <f>MAX(C12:BO12)</f>
        <v>7940.528203750001</v>
      </c>
    </row>
    <row r="13" spans="1:120" ht="12.75" hidden="1">
      <c r="A13" s="177" t="s">
        <v>78</v>
      </c>
      <c r="B13" s="177">
        <f>Исх!C46*12-Исх!C47</f>
        <v>75</v>
      </c>
      <c r="DP13" s="180"/>
    </row>
    <row r="14" ht="12.75" hidden="1"/>
    <row r="15" ht="12.75" hidden="1">
      <c r="A15" s="270" t="s">
        <v>241</v>
      </c>
    </row>
    <row r="16" ht="12.75" hidden="1" outlineLevel="1">
      <c r="A16" s="271">
        <f>B7+B8-B10</f>
        <v>317.62112815</v>
      </c>
    </row>
    <row r="17" ht="12.75" hidden="1" outlineLevel="1">
      <c r="A17" s="271">
        <f>B9-B8-B11</f>
        <v>0</v>
      </c>
    </row>
    <row r="18" ht="12.75" hidden="1" collapsed="1"/>
    <row r="19" spans="1:119" ht="12.75">
      <c r="A19" s="296" t="s">
        <v>269</v>
      </c>
      <c r="B19" s="297"/>
      <c r="DB19" s="177"/>
      <c r="DO19" s="177"/>
    </row>
    <row r="20" spans="1:119" ht="15.75" customHeight="1">
      <c r="A20" s="186" t="s">
        <v>11</v>
      </c>
      <c r="B20" s="286">
        <f>Исх!C45</f>
        <v>0.07</v>
      </c>
      <c r="C20" s="367">
        <v>2013</v>
      </c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>
        <v>2014</v>
      </c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>
        <v>2015</v>
      </c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>
        <v>2016</v>
      </c>
      <c r="AQ20" s="367"/>
      <c r="AR20" s="367"/>
      <c r="AS20" s="367"/>
      <c r="AT20" s="367"/>
      <c r="AU20" s="367"/>
      <c r="AV20" s="367"/>
      <c r="AW20" s="367"/>
      <c r="AX20" s="367"/>
      <c r="AY20" s="367"/>
      <c r="AZ20" s="367"/>
      <c r="BA20" s="367"/>
      <c r="BB20" s="367"/>
      <c r="BC20" s="367">
        <v>2017</v>
      </c>
      <c r="BD20" s="367"/>
      <c r="BE20" s="367"/>
      <c r="BF20" s="367"/>
      <c r="BG20" s="367"/>
      <c r="BH20" s="367"/>
      <c r="BI20" s="367"/>
      <c r="BJ20" s="367"/>
      <c r="BK20" s="367"/>
      <c r="BL20" s="367"/>
      <c r="BM20" s="367"/>
      <c r="BN20" s="367"/>
      <c r="BO20" s="367"/>
      <c r="BP20" s="367">
        <v>2018</v>
      </c>
      <c r="BQ20" s="367"/>
      <c r="BR20" s="367"/>
      <c r="BS20" s="367"/>
      <c r="BT20" s="367"/>
      <c r="BU20" s="367"/>
      <c r="BV20" s="367"/>
      <c r="BW20" s="367"/>
      <c r="BX20" s="367"/>
      <c r="BY20" s="367"/>
      <c r="BZ20" s="367"/>
      <c r="CA20" s="367"/>
      <c r="CB20" s="367"/>
      <c r="CC20" s="367">
        <v>2019</v>
      </c>
      <c r="CD20" s="367"/>
      <c r="CE20" s="367"/>
      <c r="CF20" s="367"/>
      <c r="CG20" s="367"/>
      <c r="CH20" s="367"/>
      <c r="CI20" s="367"/>
      <c r="CJ20" s="367"/>
      <c r="CK20" s="367"/>
      <c r="CL20" s="367"/>
      <c r="CM20" s="367"/>
      <c r="CN20" s="367"/>
      <c r="CO20" s="367"/>
      <c r="CP20" s="367">
        <v>2020</v>
      </c>
      <c r="CQ20" s="367"/>
      <c r="CR20" s="367"/>
      <c r="CS20" s="367"/>
      <c r="CT20" s="367"/>
      <c r="CU20" s="367"/>
      <c r="CV20" s="367"/>
      <c r="CW20" s="367"/>
      <c r="CX20" s="367"/>
      <c r="CY20" s="367"/>
      <c r="CZ20" s="367"/>
      <c r="DA20" s="367"/>
      <c r="DB20" s="367"/>
      <c r="DC20" s="367">
        <v>2021</v>
      </c>
      <c r="DD20" s="367"/>
      <c r="DE20" s="367"/>
      <c r="DF20" s="367"/>
      <c r="DG20" s="367"/>
      <c r="DH20" s="367"/>
      <c r="DI20" s="367"/>
      <c r="DJ20" s="367"/>
      <c r="DK20" s="367"/>
      <c r="DL20" s="367"/>
      <c r="DM20" s="367"/>
      <c r="DN20" s="367"/>
      <c r="DO20" s="367"/>
    </row>
    <row r="21" spans="1:119" s="192" customFormat="1" ht="15" customHeight="1">
      <c r="A21" s="188" t="s">
        <v>9</v>
      </c>
      <c r="B21" s="189" t="s">
        <v>89</v>
      </c>
      <c r="C21" s="190">
        <v>1</v>
      </c>
      <c r="D21" s="190">
        <v>2</v>
      </c>
      <c r="E21" s="190">
        <f aca="true" t="shared" si="31" ref="E21:N21">D21+1</f>
        <v>3</v>
      </c>
      <c r="F21" s="190">
        <f t="shared" si="31"/>
        <v>4</v>
      </c>
      <c r="G21" s="190">
        <f t="shared" si="31"/>
        <v>5</v>
      </c>
      <c r="H21" s="190">
        <f t="shared" si="31"/>
        <v>6</v>
      </c>
      <c r="I21" s="190">
        <f t="shared" si="31"/>
        <v>7</v>
      </c>
      <c r="J21" s="190">
        <f t="shared" si="31"/>
        <v>8</v>
      </c>
      <c r="K21" s="190">
        <f t="shared" si="31"/>
        <v>9</v>
      </c>
      <c r="L21" s="190">
        <f t="shared" si="31"/>
        <v>10</v>
      </c>
      <c r="M21" s="190">
        <f t="shared" si="31"/>
        <v>11</v>
      </c>
      <c r="N21" s="190">
        <f t="shared" si="31"/>
        <v>12</v>
      </c>
      <c r="O21" s="191" t="s">
        <v>0</v>
      </c>
      <c r="P21" s="190">
        <v>1</v>
      </c>
      <c r="Q21" s="190">
        <v>2</v>
      </c>
      <c r="R21" s="190">
        <f aca="true" t="shared" si="32" ref="R21:AA21">Q21+1</f>
        <v>3</v>
      </c>
      <c r="S21" s="190">
        <f t="shared" si="32"/>
        <v>4</v>
      </c>
      <c r="T21" s="190">
        <f t="shared" si="32"/>
        <v>5</v>
      </c>
      <c r="U21" s="190">
        <f t="shared" si="32"/>
        <v>6</v>
      </c>
      <c r="V21" s="190">
        <f t="shared" si="32"/>
        <v>7</v>
      </c>
      <c r="W21" s="190">
        <f t="shared" si="32"/>
        <v>8</v>
      </c>
      <c r="X21" s="190">
        <f t="shared" si="32"/>
        <v>9</v>
      </c>
      <c r="Y21" s="190">
        <f t="shared" si="32"/>
        <v>10</v>
      </c>
      <c r="Z21" s="190">
        <f t="shared" si="32"/>
        <v>11</v>
      </c>
      <c r="AA21" s="190">
        <f t="shared" si="32"/>
        <v>12</v>
      </c>
      <c r="AB21" s="191" t="str">
        <f>AB6</f>
        <v>Итого</v>
      </c>
      <c r="AC21" s="190">
        <v>1</v>
      </c>
      <c r="AD21" s="190">
        <v>2</v>
      </c>
      <c r="AE21" s="190">
        <f aca="true" t="shared" si="33" ref="AE21:AN21">AD21+1</f>
        <v>3</v>
      </c>
      <c r="AF21" s="190">
        <f t="shared" si="33"/>
        <v>4</v>
      </c>
      <c r="AG21" s="190">
        <f t="shared" si="33"/>
        <v>5</v>
      </c>
      <c r="AH21" s="190">
        <f t="shared" si="33"/>
        <v>6</v>
      </c>
      <c r="AI21" s="190">
        <f t="shared" si="33"/>
        <v>7</v>
      </c>
      <c r="AJ21" s="190">
        <f t="shared" si="33"/>
        <v>8</v>
      </c>
      <c r="AK21" s="190">
        <f t="shared" si="33"/>
        <v>9</v>
      </c>
      <c r="AL21" s="190">
        <f t="shared" si="33"/>
        <v>10</v>
      </c>
      <c r="AM21" s="190">
        <f t="shared" si="33"/>
        <v>11</v>
      </c>
      <c r="AN21" s="190">
        <f t="shared" si="33"/>
        <v>12</v>
      </c>
      <c r="AO21" s="191" t="str">
        <f>AO6</f>
        <v>Итого</v>
      </c>
      <c r="AP21" s="190">
        <v>1</v>
      </c>
      <c r="AQ21" s="190">
        <v>2</v>
      </c>
      <c r="AR21" s="190">
        <f aca="true" t="shared" si="34" ref="AR21:BA21">AQ21+1</f>
        <v>3</v>
      </c>
      <c r="AS21" s="190">
        <f t="shared" si="34"/>
        <v>4</v>
      </c>
      <c r="AT21" s="190">
        <f t="shared" si="34"/>
        <v>5</v>
      </c>
      <c r="AU21" s="190">
        <f t="shared" si="34"/>
        <v>6</v>
      </c>
      <c r="AV21" s="190">
        <f t="shared" si="34"/>
        <v>7</v>
      </c>
      <c r="AW21" s="190">
        <f t="shared" si="34"/>
        <v>8</v>
      </c>
      <c r="AX21" s="190">
        <f t="shared" si="34"/>
        <v>9</v>
      </c>
      <c r="AY21" s="190">
        <f t="shared" si="34"/>
        <v>10</v>
      </c>
      <c r="AZ21" s="190">
        <f t="shared" si="34"/>
        <v>11</v>
      </c>
      <c r="BA21" s="190">
        <f t="shared" si="34"/>
        <v>12</v>
      </c>
      <c r="BB21" s="191" t="str">
        <f>BB6</f>
        <v>Итого</v>
      </c>
      <c r="BC21" s="190">
        <v>1</v>
      </c>
      <c r="BD21" s="190">
        <v>2</v>
      </c>
      <c r="BE21" s="190">
        <f aca="true" t="shared" si="35" ref="BE21:BN21">BD21+1</f>
        <v>3</v>
      </c>
      <c r="BF21" s="190">
        <f t="shared" si="35"/>
        <v>4</v>
      </c>
      <c r="BG21" s="190">
        <f t="shared" si="35"/>
        <v>5</v>
      </c>
      <c r="BH21" s="190">
        <f t="shared" si="35"/>
        <v>6</v>
      </c>
      <c r="BI21" s="190">
        <f t="shared" si="35"/>
        <v>7</v>
      </c>
      <c r="BJ21" s="190">
        <f t="shared" si="35"/>
        <v>8</v>
      </c>
      <c r="BK21" s="190">
        <f t="shared" si="35"/>
        <v>9</v>
      </c>
      <c r="BL21" s="190">
        <f t="shared" si="35"/>
        <v>10</v>
      </c>
      <c r="BM21" s="190">
        <f t="shared" si="35"/>
        <v>11</v>
      </c>
      <c r="BN21" s="190">
        <f t="shared" si="35"/>
        <v>12</v>
      </c>
      <c r="BO21" s="191" t="str">
        <f>BO6</f>
        <v>Итого</v>
      </c>
      <c r="BP21" s="190">
        <v>1</v>
      </c>
      <c r="BQ21" s="190">
        <v>2</v>
      </c>
      <c r="BR21" s="190">
        <f aca="true" t="shared" si="36" ref="BR21:CA21">BQ21+1</f>
        <v>3</v>
      </c>
      <c r="BS21" s="190">
        <f t="shared" si="36"/>
        <v>4</v>
      </c>
      <c r="BT21" s="190">
        <f t="shared" si="36"/>
        <v>5</v>
      </c>
      <c r="BU21" s="190">
        <f t="shared" si="36"/>
        <v>6</v>
      </c>
      <c r="BV21" s="190">
        <f t="shared" si="36"/>
        <v>7</v>
      </c>
      <c r="BW21" s="190">
        <f t="shared" si="36"/>
        <v>8</v>
      </c>
      <c r="BX21" s="190">
        <f t="shared" si="36"/>
        <v>9</v>
      </c>
      <c r="BY21" s="190">
        <f t="shared" si="36"/>
        <v>10</v>
      </c>
      <c r="BZ21" s="190">
        <f t="shared" si="36"/>
        <v>11</v>
      </c>
      <c r="CA21" s="190">
        <f t="shared" si="36"/>
        <v>12</v>
      </c>
      <c r="CB21" s="191" t="str">
        <f>CB6</f>
        <v>Итого</v>
      </c>
      <c r="CC21" s="190">
        <v>1</v>
      </c>
      <c r="CD21" s="190">
        <v>2</v>
      </c>
      <c r="CE21" s="190">
        <f aca="true" t="shared" si="37" ref="CE21:CN21">CD21+1</f>
        <v>3</v>
      </c>
      <c r="CF21" s="190">
        <f t="shared" si="37"/>
        <v>4</v>
      </c>
      <c r="CG21" s="190">
        <f t="shared" si="37"/>
        <v>5</v>
      </c>
      <c r="CH21" s="190">
        <f t="shared" si="37"/>
        <v>6</v>
      </c>
      <c r="CI21" s="190">
        <f t="shared" si="37"/>
        <v>7</v>
      </c>
      <c r="CJ21" s="190">
        <f t="shared" si="37"/>
        <v>8</v>
      </c>
      <c r="CK21" s="190">
        <f t="shared" si="37"/>
        <v>9</v>
      </c>
      <c r="CL21" s="190">
        <f t="shared" si="37"/>
        <v>10</v>
      </c>
      <c r="CM21" s="190">
        <f t="shared" si="37"/>
        <v>11</v>
      </c>
      <c r="CN21" s="190">
        <f t="shared" si="37"/>
        <v>12</v>
      </c>
      <c r="CO21" s="191" t="str">
        <f>CO6</f>
        <v>Итого</v>
      </c>
      <c r="CP21" s="190">
        <v>1</v>
      </c>
      <c r="CQ21" s="190">
        <f>CP21+1</f>
        <v>2</v>
      </c>
      <c r="CR21" s="190">
        <f aca="true" t="shared" si="38" ref="CR21:DA21">CQ21+1</f>
        <v>3</v>
      </c>
      <c r="CS21" s="190">
        <f t="shared" si="38"/>
        <v>4</v>
      </c>
      <c r="CT21" s="190">
        <f t="shared" si="38"/>
        <v>5</v>
      </c>
      <c r="CU21" s="190">
        <f t="shared" si="38"/>
        <v>6</v>
      </c>
      <c r="CV21" s="190">
        <f t="shared" si="38"/>
        <v>7</v>
      </c>
      <c r="CW21" s="190">
        <f t="shared" si="38"/>
        <v>8</v>
      </c>
      <c r="CX21" s="190">
        <f t="shared" si="38"/>
        <v>9</v>
      </c>
      <c r="CY21" s="190">
        <f t="shared" si="38"/>
        <v>10</v>
      </c>
      <c r="CZ21" s="190">
        <f t="shared" si="38"/>
        <v>11</v>
      </c>
      <c r="DA21" s="190">
        <f t="shared" si="38"/>
        <v>12</v>
      </c>
      <c r="DB21" s="191" t="str">
        <f>DB6</f>
        <v>Итого</v>
      </c>
      <c r="DC21" s="190">
        <v>1</v>
      </c>
      <c r="DD21" s="190">
        <f aca="true" t="shared" si="39" ref="DD21:DN21">DC21+1</f>
        <v>2</v>
      </c>
      <c r="DE21" s="190">
        <f t="shared" si="39"/>
        <v>3</v>
      </c>
      <c r="DF21" s="190">
        <f t="shared" si="39"/>
        <v>4</v>
      </c>
      <c r="DG21" s="190">
        <f t="shared" si="39"/>
        <v>5</v>
      </c>
      <c r="DH21" s="190">
        <f t="shared" si="39"/>
        <v>6</v>
      </c>
      <c r="DI21" s="190">
        <f t="shared" si="39"/>
        <v>7</v>
      </c>
      <c r="DJ21" s="190">
        <f t="shared" si="39"/>
        <v>8</v>
      </c>
      <c r="DK21" s="190">
        <f t="shared" si="39"/>
        <v>9</v>
      </c>
      <c r="DL21" s="190">
        <f t="shared" si="39"/>
        <v>10</v>
      </c>
      <c r="DM21" s="190">
        <f t="shared" si="39"/>
        <v>11</v>
      </c>
      <c r="DN21" s="190">
        <f t="shared" si="39"/>
        <v>12</v>
      </c>
      <c r="DO21" s="191" t="s">
        <v>0</v>
      </c>
    </row>
    <row r="22" spans="1:119" ht="12.75">
      <c r="A22" s="188" t="s">
        <v>106</v>
      </c>
      <c r="B22" s="193">
        <f>O22+AB22+AO22+BB22+BO22+CB22+CO22+DB22+DO22</f>
        <v>7024.374600000001</v>
      </c>
      <c r="C22" s="194">
        <f>C38+C54+C70+C86</f>
        <v>0</v>
      </c>
      <c r="D22" s="194">
        <f aca="true" t="shared" si="40" ref="D22:N22">D38+D54+D70+D86</f>
        <v>0</v>
      </c>
      <c r="E22" s="194">
        <f t="shared" si="40"/>
        <v>0</v>
      </c>
      <c r="F22" s="194">
        <f t="shared" si="40"/>
        <v>0</v>
      </c>
      <c r="G22" s="194">
        <f t="shared" si="40"/>
        <v>0</v>
      </c>
      <c r="H22" s="194">
        <f t="shared" si="40"/>
        <v>0</v>
      </c>
      <c r="I22" s="194">
        <f t="shared" si="40"/>
        <v>0</v>
      </c>
      <c r="J22" s="194">
        <f t="shared" si="40"/>
        <v>0</v>
      </c>
      <c r="K22" s="194">
        <f t="shared" si="40"/>
        <v>0</v>
      </c>
      <c r="L22" s="194">
        <f t="shared" si="40"/>
        <v>2518.6623000000004</v>
      </c>
      <c r="M22" s="194">
        <f t="shared" si="40"/>
        <v>4505.7123</v>
      </c>
      <c r="N22" s="194">
        <f t="shared" si="40"/>
        <v>0</v>
      </c>
      <c r="O22" s="195">
        <f>SUM(C22:N22)</f>
        <v>7024.374600000001</v>
      </c>
      <c r="P22" s="194">
        <f>P38+P54+P70+P86</f>
        <v>0</v>
      </c>
      <c r="Q22" s="194">
        <f aca="true" t="shared" si="41" ref="Q22:AA22">Q38+Q54+Q70+Q86</f>
        <v>0</v>
      </c>
      <c r="R22" s="194">
        <f t="shared" si="41"/>
        <v>0</v>
      </c>
      <c r="S22" s="194">
        <f t="shared" si="41"/>
        <v>0</v>
      </c>
      <c r="T22" s="194">
        <f t="shared" si="41"/>
        <v>0</v>
      </c>
      <c r="U22" s="194">
        <f t="shared" si="41"/>
        <v>0</v>
      </c>
      <c r="V22" s="194">
        <f t="shared" si="41"/>
        <v>0</v>
      </c>
      <c r="W22" s="194">
        <f t="shared" si="41"/>
        <v>0</v>
      </c>
      <c r="X22" s="194">
        <f t="shared" si="41"/>
        <v>0</v>
      </c>
      <c r="Y22" s="194">
        <f t="shared" si="41"/>
        <v>0</v>
      </c>
      <c r="Z22" s="194">
        <f t="shared" si="41"/>
        <v>0</v>
      </c>
      <c r="AA22" s="194">
        <f t="shared" si="41"/>
        <v>0</v>
      </c>
      <c r="AB22" s="195">
        <f>SUM(P22:AA22)</f>
        <v>0</v>
      </c>
      <c r="AC22" s="194">
        <f aca="true" t="shared" si="42" ref="AC22:AN22">AC38+AC54+AC70+AC86</f>
        <v>0</v>
      </c>
      <c r="AD22" s="194">
        <f t="shared" si="42"/>
        <v>0</v>
      </c>
      <c r="AE22" s="194">
        <f t="shared" si="42"/>
        <v>0</v>
      </c>
      <c r="AF22" s="194">
        <f t="shared" si="42"/>
        <v>0</v>
      </c>
      <c r="AG22" s="194">
        <f t="shared" si="42"/>
        <v>0</v>
      </c>
      <c r="AH22" s="194">
        <f t="shared" si="42"/>
        <v>0</v>
      </c>
      <c r="AI22" s="194">
        <f t="shared" si="42"/>
        <v>0</v>
      </c>
      <c r="AJ22" s="194">
        <f t="shared" si="42"/>
        <v>0</v>
      </c>
      <c r="AK22" s="194">
        <f t="shared" si="42"/>
        <v>0</v>
      </c>
      <c r="AL22" s="194">
        <f t="shared" si="42"/>
        <v>0</v>
      </c>
      <c r="AM22" s="194">
        <f t="shared" si="42"/>
        <v>0</v>
      </c>
      <c r="AN22" s="194">
        <f t="shared" si="42"/>
        <v>0</v>
      </c>
      <c r="AO22" s="195">
        <f>SUM(AC22:AN22)</f>
        <v>0</v>
      </c>
      <c r="AP22" s="194">
        <f aca="true" t="shared" si="43" ref="AP22:BA22">AP38+AP54+AP70+AP86</f>
        <v>0</v>
      </c>
      <c r="AQ22" s="194">
        <f t="shared" si="43"/>
        <v>0</v>
      </c>
      <c r="AR22" s="194">
        <f t="shared" si="43"/>
        <v>0</v>
      </c>
      <c r="AS22" s="194">
        <f t="shared" si="43"/>
        <v>0</v>
      </c>
      <c r="AT22" s="194">
        <f t="shared" si="43"/>
        <v>0</v>
      </c>
      <c r="AU22" s="194">
        <f t="shared" si="43"/>
        <v>0</v>
      </c>
      <c r="AV22" s="194">
        <f t="shared" si="43"/>
        <v>0</v>
      </c>
      <c r="AW22" s="194">
        <f t="shared" si="43"/>
        <v>0</v>
      </c>
      <c r="AX22" s="194">
        <f t="shared" si="43"/>
        <v>0</v>
      </c>
      <c r="AY22" s="194">
        <f t="shared" si="43"/>
        <v>0</v>
      </c>
      <c r="AZ22" s="194">
        <f t="shared" si="43"/>
        <v>0</v>
      </c>
      <c r="BA22" s="194">
        <f t="shared" si="43"/>
        <v>0</v>
      </c>
      <c r="BB22" s="195">
        <f>SUM(AP22:BA22)</f>
        <v>0</v>
      </c>
      <c r="BC22" s="194">
        <f aca="true" t="shared" si="44" ref="BC22:BN22">BC38+BC54+BC70+BC86</f>
        <v>0</v>
      </c>
      <c r="BD22" s="194">
        <f t="shared" si="44"/>
        <v>0</v>
      </c>
      <c r="BE22" s="194">
        <f t="shared" si="44"/>
        <v>0</v>
      </c>
      <c r="BF22" s="194">
        <f t="shared" si="44"/>
        <v>0</v>
      </c>
      <c r="BG22" s="194">
        <f t="shared" si="44"/>
        <v>0</v>
      </c>
      <c r="BH22" s="194">
        <f t="shared" si="44"/>
        <v>0</v>
      </c>
      <c r="BI22" s="194">
        <f t="shared" si="44"/>
        <v>0</v>
      </c>
      <c r="BJ22" s="194">
        <f t="shared" si="44"/>
        <v>0</v>
      </c>
      <c r="BK22" s="194">
        <f t="shared" si="44"/>
        <v>0</v>
      </c>
      <c r="BL22" s="194">
        <f t="shared" si="44"/>
        <v>0</v>
      </c>
      <c r="BM22" s="194">
        <f t="shared" si="44"/>
        <v>0</v>
      </c>
      <c r="BN22" s="194">
        <f t="shared" si="44"/>
        <v>0</v>
      </c>
      <c r="BO22" s="195">
        <f>SUM(BC22:BN22)</f>
        <v>0</v>
      </c>
      <c r="BP22" s="194">
        <f aca="true" t="shared" si="45" ref="BP22:CA22">BP38+BP54+BP70+BP86</f>
        <v>0</v>
      </c>
      <c r="BQ22" s="194">
        <f t="shared" si="45"/>
        <v>0</v>
      </c>
      <c r="BR22" s="194">
        <f t="shared" si="45"/>
        <v>0</v>
      </c>
      <c r="BS22" s="194">
        <f t="shared" si="45"/>
        <v>0</v>
      </c>
      <c r="BT22" s="194">
        <f t="shared" si="45"/>
        <v>0</v>
      </c>
      <c r="BU22" s="194">
        <f t="shared" si="45"/>
        <v>0</v>
      </c>
      <c r="BV22" s="194">
        <f t="shared" si="45"/>
        <v>0</v>
      </c>
      <c r="BW22" s="194">
        <f t="shared" si="45"/>
        <v>0</v>
      </c>
      <c r="BX22" s="194">
        <f t="shared" si="45"/>
        <v>0</v>
      </c>
      <c r="BY22" s="194">
        <f t="shared" si="45"/>
        <v>0</v>
      </c>
      <c r="BZ22" s="194">
        <f t="shared" si="45"/>
        <v>0</v>
      </c>
      <c r="CA22" s="194">
        <f t="shared" si="45"/>
        <v>0</v>
      </c>
      <c r="CB22" s="195">
        <f>SUM(BP22:CA22)</f>
        <v>0</v>
      </c>
      <c r="CC22" s="194">
        <f aca="true" t="shared" si="46" ref="CC22:CN22">CC38+CC54+CC70+CC86</f>
        <v>0</v>
      </c>
      <c r="CD22" s="194">
        <f t="shared" si="46"/>
        <v>0</v>
      </c>
      <c r="CE22" s="194">
        <f t="shared" si="46"/>
        <v>0</v>
      </c>
      <c r="CF22" s="194">
        <f t="shared" si="46"/>
        <v>0</v>
      </c>
      <c r="CG22" s="194">
        <f t="shared" si="46"/>
        <v>0</v>
      </c>
      <c r="CH22" s="194">
        <f t="shared" si="46"/>
        <v>0</v>
      </c>
      <c r="CI22" s="194">
        <f t="shared" si="46"/>
        <v>0</v>
      </c>
      <c r="CJ22" s="194">
        <f t="shared" si="46"/>
        <v>0</v>
      </c>
      <c r="CK22" s="194">
        <f t="shared" si="46"/>
        <v>0</v>
      </c>
      <c r="CL22" s="194">
        <f t="shared" si="46"/>
        <v>0</v>
      </c>
      <c r="CM22" s="194">
        <f t="shared" si="46"/>
        <v>0</v>
      </c>
      <c r="CN22" s="194">
        <f t="shared" si="46"/>
        <v>0</v>
      </c>
      <c r="CO22" s="195">
        <f>SUM(CC22:CN22)</f>
        <v>0</v>
      </c>
      <c r="CP22" s="194">
        <f aca="true" t="shared" si="47" ref="CP22:DA22">CP38+CP54+CP70+CP86</f>
        <v>0</v>
      </c>
      <c r="CQ22" s="194">
        <f t="shared" si="47"/>
        <v>0</v>
      </c>
      <c r="CR22" s="194">
        <f t="shared" si="47"/>
        <v>0</v>
      </c>
      <c r="CS22" s="194">
        <f t="shared" si="47"/>
        <v>0</v>
      </c>
      <c r="CT22" s="194">
        <f t="shared" si="47"/>
        <v>0</v>
      </c>
      <c r="CU22" s="194">
        <f t="shared" si="47"/>
        <v>0</v>
      </c>
      <c r="CV22" s="194">
        <f t="shared" si="47"/>
        <v>0</v>
      </c>
      <c r="CW22" s="194">
        <f t="shared" si="47"/>
        <v>0</v>
      </c>
      <c r="CX22" s="194">
        <f t="shared" si="47"/>
        <v>0</v>
      </c>
      <c r="CY22" s="194">
        <f t="shared" si="47"/>
        <v>0</v>
      </c>
      <c r="CZ22" s="194">
        <f t="shared" si="47"/>
        <v>0</v>
      </c>
      <c r="DA22" s="194">
        <f t="shared" si="47"/>
        <v>0</v>
      </c>
      <c r="DB22" s="195">
        <f>SUM(CP22:DA22)</f>
        <v>0</v>
      </c>
      <c r="DC22" s="194">
        <f aca="true" t="shared" si="48" ref="DC22:DN22">DC38+DC54+DC70+DC86</f>
        <v>0</v>
      </c>
      <c r="DD22" s="194">
        <f t="shared" si="48"/>
        <v>0</v>
      </c>
      <c r="DE22" s="194">
        <f t="shared" si="48"/>
        <v>0</v>
      </c>
      <c r="DF22" s="194">
        <f t="shared" si="48"/>
        <v>0</v>
      </c>
      <c r="DG22" s="194">
        <f t="shared" si="48"/>
        <v>0</v>
      </c>
      <c r="DH22" s="194">
        <f t="shared" si="48"/>
        <v>0</v>
      </c>
      <c r="DI22" s="194">
        <f t="shared" si="48"/>
        <v>0</v>
      </c>
      <c r="DJ22" s="194">
        <f t="shared" si="48"/>
        <v>0</v>
      </c>
      <c r="DK22" s="194">
        <f t="shared" si="48"/>
        <v>0</v>
      </c>
      <c r="DL22" s="194">
        <f t="shared" si="48"/>
        <v>0</v>
      </c>
      <c r="DM22" s="194">
        <f t="shared" si="48"/>
        <v>0</v>
      </c>
      <c r="DN22" s="194">
        <f t="shared" si="48"/>
        <v>0</v>
      </c>
      <c r="DO22" s="195">
        <f>SUM(DC22:DN22)</f>
        <v>0</v>
      </c>
    </row>
    <row r="23" spans="1:119" s="197" customFormat="1" ht="20.25" customHeight="1">
      <c r="A23" s="188" t="s">
        <v>31</v>
      </c>
      <c r="B23" s="193">
        <f>O23+AB23+AO23+BB23+BO23+CB23+CO23+DB23+DO23</f>
        <v>368.7796665000001</v>
      </c>
      <c r="C23" s="194">
        <f aca="true" t="shared" si="49" ref="C23:N27">C39+C55+C71+C87</f>
        <v>0</v>
      </c>
      <c r="D23" s="194">
        <f t="shared" si="49"/>
        <v>0</v>
      </c>
      <c r="E23" s="194">
        <f t="shared" si="49"/>
        <v>0</v>
      </c>
      <c r="F23" s="194">
        <f t="shared" si="49"/>
        <v>0</v>
      </c>
      <c r="G23" s="194">
        <f t="shared" si="49"/>
        <v>0</v>
      </c>
      <c r="H23" s="194">
        <f t="shared" si="49"/>
        <v>0</v>
      </c>
      <c r="I23" s="194">
        <f t="shared" si="49"/>
        <v>0</v>
      </c>
      <c r="J23" s="194">
        <f t="shared" si="49"/>
        <v>0</v>
      </c>
      <c r="K23" s="194">
        <f t="shared" si="49"/>
        <v>0</v>
      </c>
      <c r="L23" s="194">
        <f t="shared" si="49"/>
        <v>0</v>
      </c>
      <c r="M23" s="194">
        <f t="shared" si="49"/>
        <v>0</v>
      </c>
      <c r="N23" s="194">
        <f t="shared" si="49"/>
        <v>0</v>
      </c>
      <c r="O23" s="195">
        <f>SUM(C23:N23)</f>
        <v>0</v>
      </c>
      <c r="P23" s="194">
        <f aca="true" t="shared" si="50" ref="P23:AA23">P39+P55+P71+P87</f>
        <v>0</v>
      </c>
      <c r="Q23" s="194">
        <f t="shared" si="50"/>
        <v>0</v>
      </c>
      <c r="R23" s="194">
        <f t="shared" si="50"/>
        <v>0</v>
      </c>
      <c r="S23" s="194">
        <f t="shared" si="50"/>
        <v>0</v>
      </c>
      <c r="T23" s="194">
        <f t="shared" si="50"/>
        <v>0</v>
      </c>
      <c r="U23" s="194">
        <f t="shared" si="50"/>
        <v>0</v>
      </c>
      <c r="V23" s="194">
        <f t="shared" si="50"/>
        <v>132.22977075000003</v>
      </c>
      <c r="W23" s="194">
        <f t="shared" si="50"/>
        <v>236.54989575000002</v>
      </c>
      <c r="X23" s="194">
        <f t="shared" si="50"/>
        <v>0</v>
      </c>
      <c r="Y23" s="194">
        <f t="shared" si="50"/>
        <v>0</v>
      </c>
      <c r="Z23" s="194">
        <f t="shared" si="50"/>
        <v>0</v>
      </c>
      <c r="AA23" s="194">
        <f t="shared" si="50"/>
        <v>0</v>
      </c>
      <c r="AB23" s="195">
        <f>SUM(P23:AA23)</f>
        <v>368.7796665000001</v>
      </c>
      <c r="AC23" s="194">
        <f aca="true" t="shared" si="51" ref="AC23:AN23">AC39+AC55+AC71+AC87</f>
        <v>0</v>
      </c>
      <c r="AD23" s="194">
        <f t="shared" si="51"/>
        <v>0</v>
      </c>
      <c r="AE23" s="194">
        <f t="shared" si="51"/>
        <v>0</v>
      </c>
      <c r="AF23" s="194">
        <f t="shared" si="51"/>
        <v>0</v>
      </c>
      <c r="AG23" s="194">
        <f t="shared" si="51"/>
        <v>0</v>
      </c>
      <c r="AH23" s="194">
        <f t="shared" si="51"/>
        <v>0</v>
      </c>
      <c r="AI23" s="194">
        <f t="shared" si="51"/>
        <v>0</v>
      </c>
      <c r="AJ23" s="194">
        <f t="shared" si="51"/>
        <v>0</v>
      </c>
      <c r="AK23" s="194">
        <f t="shared" si="51"/>
        <v>0</v>
      </c>
      <c r="AL23" s="194">
        <f t="shared" si="51"/>
        <v>0</v>
      </c>
      <c r="AM23" s="194">
        <f t="shared" si="51"/>
        <v>0</v>
      </c>
      <c r="AN23" s="194">
        <f t="shared" si="51"/>
        <v>0</v>
      </c>
      <c r="AO23" s="195">
        <f>SUM(AC23:AN23)</f>
        <v>0</v>
      </c>
      <c r="AP23" s="194">
        <f aca="true" t="shared" si="52" ref="AP23:BA23">AP39+AP55+AP71+AP87</f>
        <v>0</v>
      </c>
      <c r="AQ23" s="194">
        <f t="shared" si="52"/>
        <v>0</v>
      </c>
      <c r="AR23" s="194">
        <f t="shared" si="52"/>
        <v>0</v>
      </c>
      <c r="AS23" s="194">
        <f t="shared" si="52"/>
        <v>0</v>
      </c>
      <c r="AT23" s="194">
        <f t="shared" si="52"/>
        <v>0</v>
      </c>
      <c r="AU23" s="194">
        <f t="shared" si="52"/>
        <v>0</v>
      </c>
      <c r="AV23" s="194">
        <f t="shared" si="52"/>
        <v>0</v>
      </c>
      <c r="AW23" s="194">
        <f t="shared" si="52"/>
        <v>0</v>
      </c>
      <c r="AX23" s="194">
        <f t="shared" si="52"/>
        <v>0</v>
      </c>
      <c r="AY23" s="194">
        <f t="shared" si="52"/>
        <v>0</v>
      </c>
      <c r="AZ23" s="194">
        <f t="shared" si="52"/>
        <v>0</v>
      </c>
      <c r="BA23" s="194">
        <f t="shared" si="52"/>
        <v>0</v>
      </c>
      <c r="BB23" s="195">
        <f>SUM(AP23:BA23)</f>
        <v>0</v>
      </c>
      <c r="BC23" s="194">
        <f aca="true" t="shared" si="53" ref="BC23:BN23">BC39+BC55+BC71+BC87</f>
        <v>0</v>
      </c>
      <c r="BD23" s="194">
        <f t="shared" si="53"/>
        <v>0</v>
      </c>
      <c r="BE23" s="194">
        <f t="shared" si="53"/>
        <v>0</v>
      </c>
      <c r="BF23" s="194">
        <f t="shared" si="53"/>
        <v>0</v>
      </c>
      <c r="BG23" s="194">
        <f t="shared" si="53"/>
        <v>0</v>
      </c>
      <c r="BH23" s="194">
        <f t="shared" si="53"/>
        <v>0</v>
      </c>
      <c r="BI23" s="194">
        <f t="shared" si="53"/>
        <v>0</v>
      </c>
      <c r="BJ23" s="194">
        <f t="shared" si="53"/>
        <v>0</v>
      </c>
      <c r="BK23" s="194">
        <f t="shared" si="53"/>
        <v>0</v>
      </c>
      <c r="BL23" s="194">
        <f t="shared" si="53"/>
        <v>0</v>
      </c>
      <c r="BM23" s="194">
        <f t="shared" si="53"/>
        <v>0</v>
      </c>
      <c r="BN23" s="194">
        <f t="shared" si="53"/>
        <v>0</v>
      </c>
      <c r="BO23" s="195">
        <f>SUM(BC23:BN23)</f>
        <v>0</v>
      </c>
      <c r="BP23" s="194">
        <f aca="true" t="shared" si="54" ref="BP23:CA23">BP39+BP55+BP71+BP87</f>
        <v>0</v>
      </c>
      <c r="BQ23" s="194">
        <f t="shared" si="54"/>
        <v>0</v>
      </c>
      <c r="BR23" s="194">
        <f t="shared" si="54"/>
        <v>0</v>
      </c>
      <c r="BS23" s="194">
        <f t="shared" si="54"/>
        <v>0</v>
      </c>
      <c r="BT23" s="194">
        <f t="shared" si="54"/>
        <v>0</v>
      </c>
      <c r="BU23" s="194">
        <f t="shared" si="54"/>
        <v>0</v>
      </c>
      <c r="BV23" s="194">
        <f t="shared" si="54"/>
        <v>0</v>
      </c>
      <c r="BW23" s="194">
        <f t="shared" si="54"/>
        <v>0</v>
      </c>
      <c r="BX23" s="194">
        <f t="shared" si="54"/>
        <v>0</v>
      </c>
      <c r="BY23" s="194">
        <f t="shared" si="54"/>
        <v>0</v>
      </c>
      <c r="BZ23" s="194">
        <f t="shared" si="54"/>
        <v>0</v>
      </c>
      <c r="CA23" s="194">
        <f t="shared" si="54"/>
        <v>0</v>
      </c>
      <c r="CB23" s="195">
        <f>SUM(BP23:CA23)</f>
        <v>0</v>
      </c>
      <c r="CC23" s="194">
        <f aca="true" t="shared" si="55" ref="CC23:CN23">CC39+CC55+CC71+CC87</f>
        <v>0</v>
      </c>
      <c r="CD23" s="194">
        <f t="shared" si="55"/>
        <v>0</v>
      </c>
      <c r="CE23" s="194">
        <f t="shared" si="55"/>
        <v>0</v>
      </c>
      <c r="CF23" s="194">
        <f t="shared" si="55"/>
        <v>0</v>
      </c>
      <c r="CG23" s="194">
        <f t="shared" si="55"/>
        <v>0</v>
      </c>
      <c r="CH23" s="194">
        <f t="shared" si="55"/>
        <v>0</v>
      </c>
      <c r="CI23" s="194">
        <f t="shared" si="55"/>
        <v>0</v>
      </c>
      <c r="CJ23" s="194">
        <f t="shared" si="55"/>
        <v>0</v>
      </c>
      <c r="CK23" s="194">
        <f t="shared" si="55"/>
        <v>0</v>
      </c>
      <c r="CL23" s="194">
        <f t="shared" si="55"/>
        <v>0</v>
      </c>
      <c r="CM23" s="194">
        <f t="shared" si="55"/>
        <v>0</v>
      </c>
      <c r="CN23" s="194">
        <f t="shared" si="55"/>
        <v>0</v>
      </c>
      <c r="CO23" s="195">
        <f>SUM(CC23:CN23)</f>
        <v>0</v>
      </c>
      <c r="CP23" s="194">
        <f aca="true" t="shared" si="56" ref="CP23:DA23">CP39+CP55+CP71+CP87</f>
        <v>0</v>
      </c>
      <c r="CQ23" s="194">
        <f t="shared" si="56"/>
        <v>0</v>
      </c>
      <c r="CR23" s="194">
        <f t="shared" si="56"/>
        <v>0</v>
      </c>
      <c r="CS23" s="194">
        <f t="shared" si="56"/>
        <v>0</v>
      </c>
      <c r="CT23" s="194">
        <f t="shared" si="56"/>
        <v>0</v>
      </c>
      <c r="CU23" s="194">
        <f t="shared" si="56"/>
        <v>0</v>
      </c>
      <c r="CV23" s="194">
        <f t="shared" si="56"/>
        <v>0</v>
      </c>
      <c r="CW23" s="194">
        <f t="shared" si="56"/>
        <v>0</v>
      </c>
      <c r="CX23" s="194">
        <f t="shared" si="56"/>
        <v>0</v>
      </c>
      <c r="CY23" s="194">
        <f t="shared" si="56"/>
        <v>0</v>
      </c>
      <c r="CZ23" s="194">
        <f t="shared" si="56"/>
        <v>0</v>
      </c>
      <c r="DA23" s="194">
        <f t="shared" si="56"/>
        <v>0</v>
      </c>
      <c r="DB23" s="195">
        <f>SUM(CP23:DA23)</f>
        <v>0</v>
      </c>
      <c r="DC23" s="194">
        <f aca="true" t="shared" si="57" ref="DC23:DN23">DC39+DC55+DC71+DC87</f>
        <v>0</v>
      </c>
      <c r="DD23" s="194">
        <f t="shared" si="57"/>
        <v>0</v>
      </c>
      <c r="DE23" s="194">
        <f t="shared" si="57"/>
        <v>0</v>
      </c>
      <c r="DF23" s="194">
        <f t="shared" si="57"/>
        <v>0</v>
      </c>
      <c r="DG23" s="194">
        <f t="shared" si="57"/>
        <v>0</v>
      </c>
      <c r="DH23" s="194">
        <f t="shared" si="57"/>
        <v>0</v>
      </c>
      <c r="DI23" s="194">
        <f t="shared" si="57"/>
        <v>0</v>
      </c>
      <c r="DJ23" s="194">
        <f t="shared" si="57"/>
        <v>0</v>
      </c>
      <c r="DK23" s="194">
        <f t="shared" si="57"/>
        <v>0</v>
      </c>
      <c r="DL23" s="194">
        <f t="shared" si="57"/>
        <v>0</v>
      </c>
      <c r="DM23" s="194">
        <f t="shared" si="57"/>
        <v>0</v>
      </c>
      <c r="DN23" s="194">
        <f t="shared" si="57"/>
        <v>0</v>
      </c>
      <c r="DO23" s="195">
        <f>SUM(DC23:DN23)</f>
        <v>0</v>
      </c>
    </row>
    <row r="24" spans="1:119" s="197" customFormat="1" ht="12.75">
      <c r="A24" s="198" t="s">
        <v>13</v>
      </c>
      <c r="B24" s="193">
        <f>O24+AB24+AO24+BB24+BO24+CB24+CO24+DB24+DO24</f>
        <v>2124.7854305345386</v>
      </c>
      <c r="C24" s="194">
        <f t="shared" si="49"/>
        <v>0</v>
      </c>
      <c r="D24" s="194">
        <f t="shared" si="49"/>
        <v>0</v>
      </c>
      <c r="E24" s="194">
        <f t="shared" si="49"/>
        <v>0</v>
      </c>
      <c r="F24" s="194">
        <f t="shared" si="49"/>
        <v>0</v>
      </c>
      <c r="G24" s="194">
        <f t="shared" si="49"/>
        <v>0</v>
      </c>
      <c r="H24" s="194">
        <f t="shared" si="49"/>
        <v>0</v>
      </c>
      <c r="I24" s="194">
        <f t="shared" si="49"/>
        <v>0</v>
      </c>
      <c r="J24" s="194">
        <f t="shared" si="49"/>
        <v>0</v>
      </c>
      <c r="K24" s="194">
        <f t="shared" si="49"/>
        <v>0</v>
      </c>
      <c r="L24" s="194">
        <f t="shared" si="49"/>
        <v>0</v>
      </c>
      <c r="M24" s="194">
        <f t="shared" si="49"/>
        <v>14.692196750000003</v>
      </c>
      <c r="N24" s="194">
        <f t="shared" si="49"/>
        <v>40.97551850000001</v>
      </c>
      <c r="O24" s="195">
        <f>SUM(C24:N24)</f>
        <v>55.66771525000001</v>
      </c>
      <c r="P24" s="194">
        <f aca="true" t="shared" si="58" ref="P24:AA24">P40+P56+P72+P88</f>
        <v>40.97551850000001</v>
      </c>
      <c r="Q24" s="194">
        <f t="shared" si="58"/>
        <v>40.97551850000001</v>
      </c>
      <c r="R24" s="194">
        <f t="shared" si="58"/>
        <v>40.97551850000001</v>
      </c>
      <c r="S24" s="194">
        <f t="shared" si="58"/>
        <v>40.97551850000001</v>
      </c>
      <c r="T24" s="194">
        <f t="shared" si="58"/>
        <v>40.97551850000001</v>
      </c>
      <c r="U24" s="194">
        <f t="shared" si="58"/>
        <v>40.97551850000001</v>
      </c>
      <c r="V24" s="194">
        <f t="shared" si="58"/>
        <v>40.97551850000001</v>
      </c>
      <c r="W24" s="194">
        <f t="shared" si="58"/>
        <v>41.74685882937501</v>
      </c>
      <c r="X24" s="194">
        <f t="shared" si="58"/>
        <v>42.96178515495431</v>
      </c>
      <c r="Y24" s="194">
        <f t="shared" si="58"/>
        <v>42.50079423264997</v>
      </c>
      <c r="Z24" s="194">
        <f t="shared" si="58"/>
        <v>42.03711419663219</v>
      </c>
      <c r="AA24" s="194">
        <f t="shared" si="58"/>
        <v>41.57072936040431</v>
      </c>
      <c r="AB24" s="195">
        <f>SUM(P24:AA24)</f>
        <v>497.6459112740159</v>
      </c>
      <c r="AC24" s="194">
        <f aca="true" t="shared" si="59" ref="AC24:AN24">AC40+AC56+AC72+AC88</f>
        <v>41.10162394596509</v>
      </c>
      <c r="AD24" s="194">
        <f t="shared" si="59"/>
        <v>40.629782083274975</v>
      </c>
      <c r="AE24" s="194">
        <f t="shared" si="59"/>
        <v>40.15518780971917</v>
      </c>
      <c r="AF24" s="194">
        <f t="shared" si="59"/>
        <v>39.677825069567625</v>
      </c>
      <c r="AG24" s="194">
        <f t="shared" si="59"/>
        <v>39.197677713431865</v>
      </c>
      <c r="AH24" s="194">
        <f t="shared" si="59"/>
        <v>38.71472949771865</v>
      </c>
      <c r="AI24" s="194">
        <f t="shared" si="59"/>
        <v>38.22896408408043</v>
      </c>
      <c r="AJ24" s="194">
        <f t="shared" si="59"/>
        <v>37.74036503886266</v>
      </c>
      <c r="AK24" s="194">
        <f t="shared" si="59"/>
        <v>37.24891583254779</v>
      </c>
      <c r="AL24" s="194">
        <f t="shared" si="59"/>
        <v>36.754599839196075</v>
      </c>
      <c r="AM24" s="194">
        <f t="shared" si="59"/>
        <v>36.25740033588315</v>
      </c>
      <c r="AN24" s="194">
        <f t="shared" si="59"/>
        <v>35.75730050213423</v>
      </c>
      <c r="AO24" s="195">
        <f>SUM(AC24:AN24)</f>
        <v>461.46437175238174</v>
      </c>
      <c r="AP24" s="194">
        <f aca="true" t="shared" si="60" ref="AP24:BA24">AP40+AP56+AP72+AP88</f>
        <v>35.254283419355104</v>
      </c>
      <c r="AQ24" s="194">
        <f t="shared" si="60"/>
        <v>34.74833207025977</v>
      </c>
      <c r="AR24" s="194">
        <f t="shared" si="60"/>
        <v>34.239429338294705</v>
      </c>
      <c r="AS24" s="194">
        <f t="shared" si="60"/>
        <v>33.727558007059855</v>
      </c>
      <c r="AT24" s="194">
        <f t="shared" si="60"/>
        <v>33.212700759726125</v>
      </c>
      <c r="AU24" s="194">
        <f t="shared" si="60"/>
        <v>32.694840178449624</v>
      </c>
      <c r="AV24" s="194">
        <f t="shared" si="60"/>
        <v>32.173958743782336</v>
      </c>
      <c r="AW24" s="194">
        <f t="shared" si="60"/>
        <v>31.650038834079496</v>
      </c>
      <c r="AX24" s="194">
        <f t="shared" si="60"/>
        <v>31.123062724903388</v>
      </c>
      <c r="AY24" s="194">
        <f t="shared" si="60"/>
        <v>30.593012588423754</v>
      </c>
      <c r="AZ24" s="194">
        <f t="shared" si="60"/>
        <v>30.05987049281465</v>
      </c>
      <c r="BA24" s="194">
        <f t="shared" si="60"/>
        <v>29.52361840164783</v>
      </c>
      <c r="BB24" s="195">
        <f>SUM(AP24:BA24)</f>
        <v>389.0007055587966</v>
      </c>
      <c r="BC24" s="194">
        <f aca="true" t="shared" si="61" ref="BC24:BN24">BC40+BC56+BC72+BC88</f>
        <v>28.984238173282534</v>
      </c>
      <c r="BD24" s="194">
        <f t="shared" si="61"/>
        <v>28.441711560251775</v>
      </c>
      <c r="BE24" s="194">
        <f t="shared" si="61"/>
        <v>27.89602020864501</v>
      </c>
      <c r="BF24" s="194">
        <f t="shared" si="61"/>
        <v>27.347145657487197</v>
      </c>
      <c r="BG24" s="194">
        <f t="shared" si="61"/>
        <v>26.795069338114303</v>
      </c>
      <c r="BH24" s="194">
        <f t="shared" si="61"/>
        <v>26.23977257354506</v>
      </c>
      <c r="BI24" s="194">
        <f t="shared" si="61"/>
        <v>25.68123657784917</v>
      </c>
      <c r="BJ24" s="194">
        <f t="shared" si="61"/>
        <v>25.119442455511717</v>
      </c>
      <c r="BK24" s="194">
        <f t="shared" si="61"/>
        <v>24.55437120079396</v>
      </c>
      <c r="BL24" s="194">
        <f t="shared" si="61"/>
        <v>23.98600369709035</v>
      </c>
      <c r="BM24" s="194">
        <f t="shared" si="61"/>
        <v>23.4143207162818</v>
      </c>
      <c r="BN24" s="194">
        <f t="shared" si="61"/>
        <v>22.83930291808521</v>
      </c>
      <c r="BO24" s="195">
        <f>SUM(BC24:BN24)</f>
        <v>311.29863507693807</v>
      </c>
      <c r="BP24" s="194">
        <f aca="true" t="shared" si="62" ref="BP24:CA24">BP40+BP56+BP72+BP88</f>
        <v>22.26093084939913</v>
      </c>
      <c r="BQ24" s="194">
        <f t="shared" si="62"/>
        <v>21.679184943645716</v>
      </c>
      <c r="BR24" s="194">
        <f t="shared" si="62"/>
        <v>21.094045520108743</v>
      </c>
      <c r="BS24" s="194">
        <f t="shared" si="62"/>
        <v>20.505492783267805</v>
      </c>
      <c r="BT24" s="194">
        <f t="shared" si="62"/>
        <v>19.913506822128628</v>
      </c>
      <c r="BU24" s="194">
        <f t="shared" si="62"/>
        <v>19.318067609549473</v>
      </c>
      <c r="BV24" s="194">
        <f t="shared" si="62"/>
        <v>18.719155001563603</v>
      </c>
      <c r="BW24" s="194">
        <f t="shared" si="62"/>
        <v>18.11674873669782</v>
      </c>
      <c r="BX24" s="194">
        <f t="shared" si="62"/>
        <v>17.51082843528698</v>
      </c>
      <c r="BY24" s="194">
        <f t="shared" si="62"/>
        <v>16.901373598784584</v>
      </c>
      <c r="BZ24" s="194">
        <f t="shared" si="62"/>
        <v>16.288363609069254</v>
      </c>
      <c r="CA24" s="194">
        <f t="shared" si="62"/>
        <v>15.671777727747253</v>
      </c>
      <c r="CB24" s="195">
        <f>SUM(BP24:CA24)</f>
        <v>227.97947563724895</v>
      </c>
      <c r="CC24" s="194">
        <f aca="true" t="shared" si="63" ref="CC24:CN24">CC40+CC56+CC72+CC88</f>
        <v>15.051595095450871</v>
      </c>
      <c r="CD24" s="194">
        <f t="shared" si="63"/>
        <v>14.42779473113276</v>
      </c>
      <c r="CE24" s="194">
        <f t="shared" si="63"/>
        <v>13.800355531356132</v>
      </c>
      <c r="CF24" s="194">
        <f t="shared" si="63"/>
        <v>13.169256269580801</v>
      </c>
      <c r="CG24" s="194">
        <f t="shared" si="63"/>
        <v>12.534475595445114</v>
      </c>
      <c r="CH24" s="194">
        <f t="shared" si="63"/>
        <v>11.895992034043639</v>
      </c>
      <c r="CI24" s="194">
        <f t="shared" si="63"/>
        <v>11.253783985200654</v>
      </c>
      <c r="CJ24" s="194">
        <f t="shared" si="63"/>
        <v>10.607829722739417</v>
      </c>
      <c r="CK24" s="194">
        <f t="shared" si="63"/>
        <v>9.958107393747158</v>
      </c>
      <c r="CL24" s="194">
        <f t="shared" si="63"/>
        <v>9.304595017835776</v>
      </c>
      <c r="CM24" s="194">
        <f t="shared" si="63"/>
        <v>8.647270486398245</v>
      </c>
      <c r="CN24" s="194">
        <f t="shared" si="63"/>
        <v>7.986111561860662</v>
      </c>
      <c r="CO24" s="195">
        <f>SUM(CC24:CN24)</f>
        <v>138.63716742479124</v>
      </c>
      <c r="CP24" s="194">
        <f aca="true" t="shared" si="64" ref="CP24:DA24">CP40+CP56+CP72+CP88</f>
        <v>7.3210958769299435</v>
      </c>
      <c r="CQ24" s="194">
        <f t="shared" si="64"/>
        <v>6.652200933837127</v>
      </c>
      <c r="CR24" s="194">
        <f t="shared" si="64"/>
        <v>5.979404103576272</v>
      </c>
      <c r="CS24" s="194">
        <f t="shared" si="64"/>
        <v>5.302682625138893</v>
      </c>
      <c r="CT24" s="194">
        <f t="shared" si="64"/>
        <v>4.622013604743963</v>
      </c>
      <c r="CU24" s="194">
        <f t="shared" si="64"/>
        <v>3.9373740150633973</v>
      </c>
      <c r="CV24" s="194">
        <f t="shared" si="64"/>
        <v>3.2487406944430273</v>
      </c>
      <c r="CW24" s="194">
        <f t="shared" si="64"/>
        <v>2.5560903461190385</v>
      </c>
      <c r="CX24" s="194">
        <f t="shared" si="64"/>
        <v>1.8593995374298267</v>
      </c>
      <c r="CY24" s="194">
        <f t="shared" si="64"/>
        <v>1.158644699023261</v>
      </c>
      <c r="CZ24" s="194">
        <f t="shared" si="64"/>
        <v>0.4538021240593236</v>
      </c>
      <c r="DA24" s="194">
        <f t="shared" si="64"/>
        <v>1.4913107785711572E-13</v>
      </c>
      <c r="DB24" s="195">
        <f>SUM(CP24:DA24)</f>
        <v>43.09144856036421</v>
      </c>
      <c r="DC24" s="194">
        <f aca="true" t="shared" si="65" ref="DC24:DN24">DC40+DC56+DC72+DC88</f>
        <v>1.4913107785711572E-13</v>
      </c>
      <c r="DD24" s="194">
        <f t="shared" si="65"/>
        <v>1.4913107785711572E-13</v>
      </c>
      <c r="DE24" s="194">
        <f t="shared" si="65"/>
        <v>1.4913107785711572E-13</v>
      </c>
      <c r="DF24" s="194">
        <f t="shared" si="65"/>
        <v>1.4913107785711572E-13</v>
      </c>
      <c r="DG24" s="194">
        <f t="shared" si="65"/>
        <v>1.4913107785711572E-13</v>
      </c>
      <c r="DH24" s="194">
        <f t="shared" si="65"/>
        <v>1.4913107785711572E-13</v>
      </c>
      <c r="DI24" s="194">
        <f t="shared" si="65"/>
        <v>1.4913107785711572E-13</v>
      </c>
      <c r="DJ24" s="194">
        <f t="shared" si="65"/>
        <v>1.4913107785711572E-13</v>
      </c>
      <c r="DK24" s="194">
        <f t="shared" si="65"/>
        <v>1.4913107785711572E-13</v>
      </c>
      <c r="DL24" s="194">
        <f t="shared" si="65"/>
        <v>1.4913107785711572E-13</v>
      </c>
      <c r="DM24" s="194">
        <f t="shared" si="65"/>
        <v>1.4913107785711572E-13</v>
      </c>
      <c r="DN24" s="194">
        <f t="shared" si="65"/>
        <v>1.4913107785711572E-13</v>
      </c>
      <c r="DO24" s="195">
        <f>SUM(DC24:DN24)</f>
        <v>1.789572934285389E-12</v>
      </c>
    </row>
    <row r="25" spans="1:119" ht="12.75">
      <c r="A25" s="188" t="s">
        <v>14</v>
      </c>
      <c r="B25" s="193">
        <f>O25+AB25+AO25+BB25+BO25+CB25+CO25+DB25+DO25</f>
        <v>7393.154266499973</v>
      </c>
      <c r="C25" s="194">
        <f t="shared" si="49"/>
        <v>0</v>
      </c>
      <c r="D25" s="194">
        <f t="shared" si="49"/>
        <v>0</v>
      </c>
      <c r="E25" s="194">
        <f t="shared" si="49"/>
        <v>0</v>
      </c>
      <c r="F25" s="194">
        <f t="shared" si="49"/>
        <v>0</v>
      </c>
      <c r="G25" s="194">
        <f t="shared" si="49"/>
        <v>0</v>
      </c>
      <c r="H25" s="194">
        <f t="shared" si="49"/>
        <v>0</v>
      </c>
      <c r="I25" s="194">
        <f t="shared" si="49"/>
        <v>0</v>
      </c>
      <c r="J25" s="194">
        <f t="shared" si="49"/>
        <v>0</v>
      </c>
      <c r="K25" s="194">
        <f t="shared" si="49"/>
        <v>0</v>
      </c>
      <c r="L25" s="194">
        <f t="shared" si="49"/>
        <v>0</v>
      </c>
      <c r="M25" s="194">
        <f t="shared" si="49"/>
        <v>0</v>
      </c>
      <c r="N25" s="194">
        <f t="shared" si="49"/>
        <v>0</v>
      </c>
      <c r="O25" s="195">
        <f>SUM(C25:N25)</f>
        <v>0</v>
      </c>
      <c r="P25" s="194">
        <f aca="true" t="shared" si="66" ref="P25:AA25">P41+P57+P73+P89</f>
        <v>0</v>
      </c>
      <c r="Q25" s="194">
        <f t="shared" si="66"/>
        <v>0</v>
      </c>
      <c r="R25" s="194">
        <f t="shared" si="66"/>
        <v>0</v>
      </c>
      <c r="S25" s="194">
        <f t="shared" si="66"/>
        <v>0</v>
      </c>
      <c r="T25" s="194">
        <f t="shared" si="66"/>
        <v>0</v>
      </c>
      <c r="U25" s="194">
        <f t="shared" si="66"/>
        <v>0</v>
      </c>
      <c r="V25" s="194">
        <f t="shared" si="66"/>
        <v>0</v>
      </c>
      <c r="W25" s="194">
        <f t="shared" si="66"/>
        <v>28.276811364976886</v>
      </c>
      <c r="X25" s="194">
        <f t="shared" si="66"/>
        <v>79.02701525217248</v>
      </c>
      <c r="Y25" s="194">
        <f t="shared" si="66"/>
        <v>79.48800617447681</v>
      </c>
      <c r="Z25" s="194">
        <f t="shared" si="66"/>
        <v>79.9516862104946</v>
      </c>
      <c r="AA25" s="194">
        <f t="shared" si="66"/>
        <v>80.41807104672247</v>
      </c>
      <c r="AB25" s="195">
        <f>SUM(P25:AA25)</f>
        <v>347.1615900488432</v>
      </c>
      <c r="AC25" s="194">
        <f aca="true" t="shared" si="67" ref="AC25:AN25">AC41+AC57+AC73+AC89</f>
        <v>80.88717646116172</v>
      </c>
      <c r="AD25" s="194">
        <f t="shared" si="67"/>
        <v>81.35901832385181</v>
      </c>
      <c r="AE25" s="194">
        <f t="shared" si="67"/>
        <v>81.83361259740761</v>
      </c>
      <c r="AF25" s="194">
        <f t="shared" si="67"/>
        <v>82.31097533755917</v>
      </c>
      <c r="AG25" s="194">
        <f t="shared" si="67"/>
        <v>82.79112269369492</v>
      </c>
      <c r="AH25" s="194">
        <f t="shared" si="67"/>
        <v>83.27407090940815</v>
      </c>
      <c r="AI25" s="194">
        <f t="shared" si="67"/>
        <v>83.75983632304636</v>
      </c>
      <c r="AJ25" s="194">
        <f t="shared" si="67"/>
        <v>84.24843536826413</v>
      </c>
      <c r="AK25" s="194">
        <f t="shared" si="67"/>
        <v>84.73988457457901</v>
      </c>
      <c r="AL25" s="194">
        <f t="shared" si="67"/>
        <v>85.23420056793071</v>
      </c>
      <c r="AM25" s="194">
        <f t="shared" si="67"/>
        <v>85.73140007124363</v>
      </c>
      <c r="AN25" s="194">
        <f t="shared" si="67"/>
        <v>86.23149990499256</v>
      </c>
      <c r="AO25" s="195">
        <f>SUM(AC25:AN25)</f>
        <v>1002.4012331331397</v>
      </c>
      <c r="AP25" s="194">
        <f aca="true" t="shared" si="68" ref="AP25:BA25">AP41+AP57+AP73+AP89</f>
        <v>86.73451698777168</v>
      </c>
      <c r="AQ25" s="194">
        <f t="shared" si="68"/>
        <v>87.24046833686702</v>
      </c>
      <c r="AR25" s="194">
        <f t="shared" si="68"/>
        <v>87.74937106883209</v>
      </c>
      <c r="AS25" s="194">
        <f t="shared" si="68"/>
        <v>88.26124240006692</v>
      </c>
      <c r="AT25" s="194">
        <f t="shared" si="68"/>
        <v>88.77609964740066</v>
      </c>
      <c r="AU25" s="194">
        <f t="shared" si="68"/>
        <v>89.29396022867718</v>
      </c>
      <c r="AV25" s="194">
        <f t="shared" si="68"/>
        <v>89.81484166334445</v>
      </c>
      <c r="AW25" s="194">
        <f t="shared" si="68"/>
        <v>90.3387615730473</v>
      </c>
      <c r="AX25" s="194">
        <f t="shared" si="68"/>
        <v>90.8657376822234</v>
      </c>
      <c r="AY25" s="194">
        <f t="shared" si="68"/>
        <v>91.39578781870304</v>
      </c>
      <c r="AZ25" s="194">
        <f t="shared" si="68"/>
        <v>91.92892991431214</v>
      </c>
      <c r="BA25" s="194">
        <f t="shared" si="68"/>
        <v>92.46518200547897</v>
      </c>
      <c r="BB25" s="195">
        <f>SUM(AP25:BA25)</f>
        <v>1074.8648993267248</v>
      </c>
      <c r="BC25" s="194">
        <f aca="true" t="shared" si="69" ref="BC25:BN25">BC41+BC57+BC73+BC89</f>
        <v>93.00456223384425</v>
      </c>
      <c r="BD25" s="194">
        <f t="shared" si="69"/>
        <v>93.547088846875</v>
      </c>
      <c r="BE25" s="194">
        <f t="shared" si="69"/>
        <v>94.09278019848179</v>
      </c>
      <c r="BF25" s="194">
        <f t="shared" si="69"/>
        <v>94.6416547496396</v>
      </c>
      <c r="BG25" s="194">
        <f t="shared" si="69"/>
        <v>95.1937310690125</v>
      </c>
      <c r="BH25" s="194">
        <f t="shared" si="69"/>
        <v>95.74902783358172</v>
      </c>
      <c r="BI25" s="194">
        <f t="shared" si="69"/>
        <v>96.30756382927763</v>
      </c>
      <c r="BJ25" s="194">
        <f t="shared" si="69"/>
        <v>96.86935795161507</v>
      </c>
      <c r="BK25" s="194">
        <f t="shared" si="69"/>
        <v>97.43442920633282</v>
      </c>
      <c r="BL25" s="194">
        <f t="shared" si="69"/>
        <v>98.00279671003644</v>
      </c>
      <c r="BM25" s="194">
        <f t="shared" si="69"/>
        <v>98.57447969084498</v>
      </c>
      <c r="BN25" s="194">
        <f t="shared" si="69"/>
        <v>99.14949748904158</v>
      </c>
      <c r="BO25" s="195">
        <f>SUM(BC25:BN25)</f>
        <v>1152.5669698085833</v>
      </c>
      <c r="BP25" s="194">
        <f aca="true" t="shared" si="70" ref="BP25:CA25">BP41+BP57+BP73+BP89</f>
        <v>99.72786955772766</v>
      </c>
      <c r="BQ25" s="194">
        <f t="shared" si="70"/>
        <v>100.30961546348107</v>
      </c>
      <c r="BR25" s="194">
        <f t="shared" si="70"/>
        <v>100.89475488701805</v>
      </c>
      <c r="BS25" s="194">
        <f t="shared" si="70"/>
        <v>101.48330762385899</v>
      </c>
      <c r="BT25" s="194">
        <f t="shared" si="70"/>
        <v>102.07529358499815</v>
      </c>
      <c r="BU25" s="194">
        <f t="shared" si="70"/>
        <v>102.67073279757732</v>
      </c>
      <c r="BV25" s="194">
        <f t="shared" si="70"/>
        <v>103.26964540556318</v>
      </c>
      <c r="BW25" s="194">
        <f t="shared" si="70"/>
        <v>103.87205167042896</v>
      </c>
      <c r="BX25" s="194">
        <f t="shared" si="70"/>
        <v>104.4779719718398</v>
      </c>
      <c r="BY25" s="194">
        <f t="shared" si="70"/>
        <v>105.0874268083422</v>
      </c>
      <c r="BZ25" s="194">
        <f t="shared" si="70"/>
        <v>105.70043679805752</v>
      </c>
      <c r="CA25" s="194">
        <f t="shared" si="70"/>
        <v>106.31702267937953</v>
      </c>
      <c r="CB25" s="195">
        <f>SUM(BP25:CA25)</f>
        <v>1235.8861292482725</v>
      </c>
      <c r="CC25" s="194">
        <f aca="true" t="shared" si="71" ref="CC25:CN25">CC41+CC57+CC73+CC89</f>
        <v>106.93720531167591</v>
      </c>
      <c r="CD25" s="194">
        <f t="shared" si="71"/>
        <v>107.56100567599402</v>
      </c>
      <c r="CE25" s="194">
        <f t="shared" si="71"/>
        <v>108.18844487577066</v>
      </c>
      <c r="CF25" s="194">
        <f t="shared" si="71"/>
        <v>108.81954413754599</v>
      </c>
      <c r="CG25" s="194">
        <f t="shared" si="71"/>
        <v>109.45432481168166</v>
      </c>
      <c r="CH25" s="194">
        <f t="shared" si="71"/>
        <v>110.09280837308314</v>
      </c>
      <c r="CI25" s="194">
        <f t="shared" si="71"/>
        <v>110.73501642192613</v>
      </c>
      <c r="CJ25" s="194">
        <f t="shared" si="71"/>
        <v>111.38097068438736</v>
      </c>
      <c r="CK25" s="194">
        <f t="shared" si="71"/>
        <v>112.03069301337963</v>
      </c>
      <c r="CL25" s="194">
        <f t="shared" si="71"/>
        <v>112.68420538929101</v>
      </c>
      <c r="CM25" s="194">
        <f t="shared" si="71"/>
        <v>113.34152992072853</v>
      </c>
      <c r="CN25" s="194">
        <f t="shared" si="71"/>
        <v>114.00268884526614</v>
      </c>
      <c r="CO25" s="195">
        <f>SUM(CC25:CN25)</f>
        <v>1325.2284374607302</v>
      </c>
      <c r="CP25" s="194">
        <f aca="true" t="shared" si="72" ref="CP25:DA25">CP41+CP57+CP73+CP89</f>
        <v>114.66770453019684</v>
      </c>
      <c r="CQ25" s="194">
        <f t="shared" si="72"/>
        <v>115.33659947328967</v>
      </c>
      <c r="CR25" s="194">
        <f t="shared" si="72"/>
        <v>116.00939630355052</v>
      </c>
      <c r="CS25" s="194">
        <f t="shared" si="72"/>
        <v>116.68611778198789</v>
      </c>
      <c r="CT25" s="194">
        <f t="shared" si="72"/>
        <v>117.36678680238282</v>
      </c>
      <c r="CU25" s="194">
        <f t="shared" si="72"/>
        <v>118.0514263920634</v>
      </c>
      <c r="CV25" s="194">
        <f t="shared" si="72"/>
        <v>118.74005971268376</v>
      </c>
      <c r="CW25" s="194">
        <f t="shared" si="72"/>
        <v>119.43271006100774</v>
      </c>
      <c r="CX25" s="194">
        <f t="shared" si="72"/>
        <v>120.12940086969697</v>
      </c>
      <c r="CY25" s="194">
        <f t="shared" si="72"/>
        <v>120.83015570810353</v>
      </c>
      <c r="CZ25" s="194">
        <f t="shared" si="72"/>
        <v>77.79464983871561</v>
      </c>
      <c r="DA25" s="194">
        <f t="shared" si="72"/>
        <v>0</v>
      </c>
      <c r="DB25" s="195">
        <f>SUM(CP25:DA25)</f>
        <v>1255.0450074736789</v>
      </c>
      <c r="DC25" s="194">
        <f aca="true" t="shared" si="73" ref="DC25:DN25">DC41+DC57+DC73+DC89</f>
        <v>0</v>
      </c>
      <c r="DD25" s="194">
        <f t="shared" si="73"/>
        <v>0</v>
      </c>
      <c r="DE25" s="194">
        <f t="shared" si="73"/>
        <v>0</v>
      </c>
      <c r="DF25" s="194">
        <f t="shared" si="73"/>
        <v>0</v>
      </c>
      <c r="DG25" s="194">
        <f t="shared" si="73"/>
        <v>0</v>
      </c>
      <c r="DH25" s="194">
        <f t="shared" si="73"/>
        <v>0</v>
      </c>
      <c r="DI25" s="194">
        <f t="shared" si="73"/>
        <v>0</v>
      </c>
      <c r="DJ25" s="194">
        <f t="shared" si="73"/>
        <v>0</v>
      </c>
      <c r="DK25" s="194">
        <f t="shared" si="73"/>
        <v>0</v>
      </c>
      <c r="DL25" s="194">
        <f t="shared" si="73"/>
        <v>0</v>
      </c>
      <c r="DM25" s="194">
        <f t="shared" si="73"/>
        <v>0</v>
      </c>
      <c r="DN25" s="194">
        <f t="shared" si="73"/>
        <v>0</v>
      </c>
      <c r="DO25" s="195">
        <f>SUM(DC25:DN25)</f>
        <v>0</v>
      </c>
    </row>
    <row r="26" spans="1:119" ht="12.75">
      <c r="A26" s="188" t="s">
        <v>15</v>
      </c>
      <c r="B26" s="193">
        <f>O26+AB26+AO26+BB26+BO26+CB26+CO26+DB26+DO26</f>
        <v>1756.0057640345383</v>
      </c>
      <c r="C26" s="194">
        <f t="shared" si="49"/>
        <v>0</v>
      </c>
      <c r="D26" s="194">
        <f t="shared" si="49"/>
        <v>0</v>
      </c>
      <c r="E26" s="194">
        <f t="shared" si="49"/>
        <v>0</v>
      </c>
      <c r="F26" s="194">
        <f t="shared" si="49"/>
        <v>0</v>
      </c>
      <c r="G26" s="194">
        <f t="shared" si="49"/>
        <v>0</v>
      </c>
      <c r="H26" s="194">
        <f t="shared" si="49"/>
        <v>0</v>
      </c>
      <c r="I26" s="194">
        <f t="shared" si="49"/>
        <v>0</v>
      </c>
      <c r="J26" s="194">
        <f t="shared" si="49"/>
        <v>0</v>
      </c>
      <c r="K26" s="194">
        <f t="shared" si="49"/>
        <v>0</v>
      </c>
      <c r="L26" s="194">
        <f t="shared" si="49"/>
        <v>0</v>
      </c>
      <c r="M26" s="194">
        <f t="shared" si="49"/>
        <v>0</v>
      </c>
      <c r="N26" s="194">
        <f t="shared" si="49"/>
        <v>0</v>
      </c>
      <c r="O26" s="195">
        <f>SUM(C26:N26)</f>
        <v>0</v>
      </c>
      <c r="P26" s="194">
        <f aca="true" t="shared" si="74" ref="P26:AA26">P42+P58+P74+P90</f>
        <v>0</v>
      </c>
      <c r="Q26" s="194">
        <f t="shared" si="74"/>
        <v>0</v>
      </c>
      <c r="R26" s="194">
        <f t="shared" si="74"/>
        <v>0</v>
      </c>
      <c r="S26" s="194">
        <f t="shared" si="74"/>
        <v>0</v>
      </c>
      <c r="T26" s="194">
        <f t="shared" si="74"/>
        <v>0</v>
      </c>
      <c r="U26" s="194">
        <f t="shared" si="74"/>
        <v>0</v>
      </c>
      <c r="V26" s="194">
        <f t="shared" si="74"/>
        <v>0</v>
      </c>
      <c r="W26" s="194">
        <f t="shared" si="74"/>
        <v>15.463537079375007</v>
      </c>
      <c r="X26" s="194">
        <f t="shared" si="74"/>
        <v>42.96178515495431</v>
      </c>
      <c r="Y26" s="194">
        <f t="shared" si="74"/>
        <v>42.50079423264997</v>
      </c>
      <c r="Z26" s="194">
        <f t="shared" si="74"/>
        <v>42.03711419663219</v>
      </c>
      <c r="AA26" s="194">
        <f t="shared" si="74"/>
        <v>41.57072936040431</v>
      </c>
      <c r="AB26" s="195">
        <f>SUM(P26:AA26)</f>
        <v>184.53396002401578</v>
      </c>
      <c r="AC26" s="194">
        <f aca="true" t="shared" si="75" ref="AC26:AN26">AC42+AC58+AC74+AC90</f>
        <v>41.10162394596509</v>
      </c>
      <c r="AD26" s="194">
        <f t="shared" si="75"/>
        <v>40.629782083274975</v>
      </c>
      <c r="AE26" s="194">
        <f t="shared" si="75"/>
        <v>40.15518780971917</v>
      </c>
      <c r="AF26" s="194">
        <f t="shared" si="75"/>
        <v>39.677825069567625</v>
      </c>
      <c r="AG26" s="194">
        <f t="shared" si="75"/>
        <v>39.197677713431865</v>
      </c>
      <c r="AH26" s="194">
        <f t="shared" si="75"/>
        <v>38.71472949771865</v>
      </c>
      <c r="AI26" s="194">
        <f t="shared" si="75"/>
        <v>38.22896408408043</v>
      </c>
      <c r="AJ26" s="194">
        <f t="shared" si="75"/>
        <v>37.74036503886266</v>
      </c>
      <c r="AK26" s="194">
        <f t="shared" si="75"/>
        <v>37.24891583254779</v>
      </c>
      <c r="AL26" s="194">
        <f t="shared" si="75"/>
        <v>36.754599839196075</v>
      </c>
      <c r="AM26" s="194">
        <f t="shared" si="75"/>
        <v>36.25740033588315</v>
      </c>
      <c r="AN26" s="194">
        <f t="shared" si="75"/>
        <v>35.75730050213423</v>
      </c>
      <c r="AO26" s="195">
        <f>SUM(AC26:AN26)</f>
        <v>461.46437175238174</v>
      </c>
      <c r="AP26" s="194">
        <f aca="true" t="shared" si="76" ref="AP26:BA26">AP42+AP58+AP74+AP90</f>
        <v>35.254283419355104</v>
      </c>
      <c r="AQ26" s="194">
        <f t="shared" si="76"/>
        <v>34.74833207025977</v>
      </c>
      <c r="AR26" s="194">
        <f t="shared" si="76"/>
        <v>34.239429338294705</v>
      </c>
      <c r="AS26" s="194">
        <f t="shared" si="76"/>
        <v>33.727558007059855</v>
      </c>
      <c r="AT26" s="194">
        <f t="shared" si="76"/>
        <v>33.212700759726125</v>
      </c>
      <c r="AU26" s="194">
        <f t="shared" si="76"/>
        <v>32.694840178449624</v>
      </c>
      <c r="AV26" s="194">
        <f t="shared" si="76"/>
        <v>32.173958743782336</v>
      </c>
      <c r="AW26" s="194">
        <f t="shared" si="76"/>
        <v>31.650038834079496</v>
      </c>
      <c r="AX26" s="194">
        <f t="shared" si="76"/>
        <v>31.123062724903388</v>
      </c>
      <c r="AY26" s="194">
        <f t="shared" si="76"/>
        <v>30.593012588423754</v>
      </c>
      <c r="AZ26" s="194">
        <f t="shared" si="76"/>
        <v>30.05987049281465</v>
      </c>
      <c r="BA26" s="194">
        <f t="shared" si="76"/>
        <v>29.52361840164783</v>
      </c>
      <c r="BB26" s="195">
        <f>SUM(AP26:BA26)</f>
        <v>389.0007055587966</v>
      </c>
      <c r="BC26" s="194">
        <f aca="true" t="shared" si="77" ref="BC26:BN26">BC42+BC58+BC74+BC90</f>
        <v>28.984238173282534</v>
      </c>
      <c r="BD26" s="194">
        <f t="shared" si="77"/>
        <v>28.441711560251775</v>
      </c>
      <c r="BE26" s="194">
        <f t="shared" si="77"/>
        <v>27.89602020864501</v>
      </c>
      <c r="BF26" s="194">
        <f t="shared" si="77"/>
        <v>27.347145657487197</v>
      </c>
      <c r="BG26" s="194">
        <f t="shared" si="77"/>
        <v>26.795069338114303</v>
      </c>
      <c r="BH26" s="194">
        <f t="shared" si="77"/>
        <v>26.23977257354506</v>
      </c>
      <c r="BI26" s="194">
        <f t="shared" si="77"/>
        <v>25.68123657784917</v>
      </c>
      <c r="BJ26" s="194">
        <f t="shared" si="77"/>
        <v>25.119442455511717</v>
      </c>
      <c r="BK26" s="194">
        <f t="shared" si="77"/>
        <v>24.55437120079396</v>
      </c>
      <c r="BL26" s="194">
        <f t="shared" si="77"/>
        <v>23.98600369709035</v>
      </c>
      <c r="BM26" s="194">
        <f t="shared" si="77"/>
        <v>23.4143207162818</v>
      </c>
      <c r="BN26" s="194">
        <f t="shared" si="77"/>
        <v>22.83930291808521</v>
      </c>
      <c r="BO26" s="195">
        <f>SUM(BC26:BN26)</f>
        <v>311.29863507693807</v>
      </c>
      <c r="BP26" s="194">
        <f aca="true" t="shared" si="78" ref="BP26:CA26">BP42+BP58+BP74+BP90</f>
        <v>22.26093084939913</v>
      </c>
      <c r="BQ26" s="194">
        <f t="shared" si="78"/>
        <v>21.679184943645716</v>
      </c>
      <c r="BR26" s="194">
        <f t="shared" si="78"/>
        <v>21.094045520108743</v>
      </c>
      <c r="BS26" s="194">
        <f t="shared" si="78"/>
        <v>20.505492783267805</v>
      </c>
      <c r="BT26" s="194">
        <f t="shared" si="78"/>
        <v>19.913506822128628</v>
      </c>
      <c r="BU26" s="194">
        <f t="shared" si="78"/>
        <v>19.318067609549473</v>
      </c>
      <c r="BV26" s="194">
        <f t="shared" si="78"/>
        <v>18.719155001563603</v>
      </c>
      <c r="BW26" s="194">
        <f t="shared" si="78"/>
        <v>18.11674873669782</v>
      </c>
      <c r="BX26" s="194">
        <f t="shared" si="78"/>
        <v>17.51082843528698</v>
      </c>
      <c r="BY26" s="194">
        <f t="shared" si="78"/>
        <v>16.901373598784584</v>
      </c>
      <c r="BZ26" s="194">
        <f t="shared" si="78"/>
        <v>16.288363609069254</v>
      </c>
      <c r="CA26" s="194">
        <f t="shared" si="78"/>
        <v>15.671777727747253</v>
      </c>
      <c r="CB26" s="195">
        <f>SUM(BP26:CA26)</f>
        <v>227.97947563724895</v>
      </c>
      <c r="CC26" s="194">
        <f aca="true" t="shared" si="79" ref="CC26:CN26">CC42+CC58+CC74+CC90</f>
        <v>15.051595095450871</v>
      </c>
      <c r="CD26" s="194">
        <f t="shared" si="79"/>
        <v>14.42779473113276</v>
      </c>
      <c r="CE26" s="194">
        <f t="shared" si="79"/>
        <v>13.800355531356132</v>
      </c>
      <c r="CF26" s="194">
        <f t="shared" si="79"/>
        <v>13.169256269580801</v>
      </c>
      <c r="CG26" s="194">
        <f t="shared" si="79"/>
        <v>12.534475595445114</v>
      </c>
      <c r="CH26" s="194">
        <f t="shared" si="79"/>
        <v>11.895992034043639</v>
      </c>
      <c r="CI26" s="194">
        <f t="shared" si="79"/>
        <v>11.253783985200654</v>
      </c>
      <c r="CJ26" s="194">
        <f t="shared" si="79"/>
        <v>10.607829722739417</v>
      </c>
      <c r="CK26" s="194">
        <f t="shared" si="79"/>
        <v>9.958107393747158</v>
      </c>
      <c r="CL26" s="194">
        <f t="shared" si="79"/>
        <v>9.304595017835776</v>
      </c>
      <c r="CM26" s="194">
        <f t="shared" si="79"/>
        <v>8.647270486398245</v>
      </c>
      <c r="CN26" s="194">
        <f t="shared" si="79"/>
        <v>7.986111561860662</v>
      </c>
      <c r="CO26" s="195">
        <f>SUM(CC26:CN26)</f>
        <v>138.63716742479124</v>
      </c>
      <c r="CP26" s="194">
        <f aca="true" t="shared" si="80" ref="CP26:DA26">CP42+CP58+CP74+CP90</f>
        <v>7.3210958769299435</v>
      </c>
      <c r="CQ26" s="194">
        <f t="shared" si="80"/>
        <v>6.652200933837127</v>
      </c>
      <c r="CR26" s="194">
        <f t="shared" si="80"/>
        <v>5.979404103576272</v>
      </c>
      <c r="CS26" s="194">
        <f t="shared" si="80"/>
        <v>5.302682625138893</v>
      </c>
      <c r="CT26" s="194">
        <f t="shared" si="80"/>
        <v>4.622013604743963</v>
      </c>
      <c r="CU26" s="194">
        <f t="shared" si="80"/>
        <v>3.9373740150633973</v>
      </c>
      <c r="CV26" s="194">
        <f t="shared" si="80"/>
        <v>3.2487406944430273</v>
      </c>
      <c r="CW26" s="194">
        <f t="shared" si="80"/>
        <v>2.5560903461190385</v>
      </c>
      <c r="CX26" s="194">
        <f t="shared" si="80"/>
        <v>1.8593995374298267</v>
      </c>
      <c r="CY26" s="194">
        <f t="shared" si="80"/>
        <v>1.158644699023261</v>
      </c>
      <c r="CZ26" s="194">
        <f t="shared" si="80"/>
        <v>0.4538021240593236</v>
      </c>
      <c r="DA26" s="194">
        <f t="shared" si="80"/>
        <v>1.4913107785711572E-13</v>
      </c>
      <c r="DB26" s="195">
        <f>SUM(CP26:DA26)</f>
        <v>43.09144856036421</v>
      </c>
      <c r="DC26" s="194">
        <f aca="true" t="shared" si="81" ref="DC26:DN26">DC42+DC58+DC74+DC90</f>
        <v>1.4913107785711572E-13</v>
      </c>
      <c r="DD26" s="194">
        <f t="shared" si="81"/>
        <v>1.4913107785711572E-13</v>
      </c>
      <c r="DE26" s="194">
        <f t="shared" si="81"/>
        <v>1.4913107785711572E-13</v>
      </c>
      <c r="DF26" s="194">
        <f t="shared" si="81"/>
        <v>1.4913107785711572E-13</v>
      </c>
      <c r="DG26" s="194">
        <f t="shared" si="81"/>
        <v>1.4913107785711572E-13</v>
      </c>
      <c r="DH26" s="194">
        <f t="shared" si="81"/>
        <v>1.4913107785711572E-13</v>
      </c>
      <c r="DI26" s="194">
        <f t="shared" si="81"/>
        <v>1.4913107785711572E-13</v>
      </c>
      <c r="DJ26" s="194">
        <f t="shared" si="81"/>
        <v>1.4913107785711572E-13</v>
      </c>
      <c r="DK26" s="194">
        <f t="shared" si="81"/>
        <v>1.4913107785711572E-13</v>
      </c>
      <c r="DL26" s="194">
        <f t="shared" si="81"/>
        <v>1.4913107785711572E-13</v>
      </c>
      <c r="DM26" s="194">
        <f t="shared" si="81"/>
        <v>1.4913107785711572E-13</v>
      </c>
      <c r="DN26" s="194">
        <f t="shared" si="81"/>
        <v>1.4913107785711572E-13</v>
      </c>
      <c r="DO26" s="195">
        <f>SUM(DC26:DN26)</f>
        <v>1.789572934285389E-12</v>
      </c>
    </row>
    <row r="27" spans="1:119" ht="12.75">
      <c r="A27" s="188" t="s">
        <v>16</v>
      </c>
      <c r="B27" s="193">
        <f>DO27</f>
        <v>2.5565327632648405E-11</v>
      </c>
      <c r="C27" s="194">
        <f t="shared" si="49"/>
        <v>0</v>
      </c>
      <c r="D27" s="194">
        <f t="shared" si="49"/>
        <v>0</v>
      </c>
      <c r="E27" s="194">
        <f t="shared" si="49"/>
        <v>0</v>
      </c>
      <c r="F27" s="194">
        <f t="shared" si="49"/>
        <v>0</v>
      </c>
      <c r="G27" s="194">
        <f t="shared" si="49"/>
        <v>0</v>
      </c>
      <c r="H27" s="194">
        <f t="shared" si="49"/>
        <v>0</v>
      </c>
      <c r="I27" s="194">
        <f t="shared" si="49"/>
        <v>0</v>
      </c>
      <c r="J27" s="194">
        <f t="shared" si="49"/>
        <v>0</v>
      </c>
      <c r="K27" s="194">
        <f t="shared" si="49"/>
        <v>0</v>
      </c>
      <c r="L27" s="194">
        <f t="shared" si="49"/>
        <v>2518.6623000000004</v>
      </c>
      <c r="M27" s="194">
        <f t="shared" si="49"/>
        <v>7024.374600000001</v>
      </c>
      <c r="N27" s="194">
        <f t="shared" si="49"/>
        <v>7024.374600000001</v>
      </c>
      <c r="O27" s="195">
        <f>N27</f>
        <v>7024.374600000001</v>
      </c>
      <c r="P27" s="194">
        <f aca="true" t="shared" si="82" ref="P27:AA27">P43+P59+P75+P91</f>
        <v>7024.374600000001</v>
      </c>
      <c r="Q27" s="194">
        <f t="shared" si="82"/>
        <v>7024.374600000001</v>
      </c>
      <c r="R27" s="194">
        <f t="shared" si="82"/>
        <v>7024.374600000001</v>
      </c>
      <c r="S27" s="194">
        <f t="shared" si="82"/>
        <v>7024.374600000001</v>
      </c>
      <c r="T27" s="194">
        <f t="shared" si="82"/>
        <v>7024.374600000001</v>
      </c>
      <c r="U27" s="194">
        <f t="shared" si="82"/>
        <v>7024.374600000001</v>
      </c>
      <c r="V27" s="194">
        <f t="shared" si="82"/>
        <v>7156.604370750001</v>
      </c>
      <c r="W27" s="194">
        <f t="shared" si="82"/>
        <v>7364.877455135024</v>
      </c>
      <c r="X27" s="194">
        <f t="shared" si="82"/>
        <v>7285.850439882852</v>
      </c>
      <c r="Y27" s="194">
        <f t="shared" si="82"/>
        <v>7206.362433708375</v>
      </c>
      <c r="Z27" s="194">
        <f t="shared" si="82"/>
        <v>7126.41074749788</v>
      </c>
      <c r="AA27" s="194">
        <f t="shared" si="82"/>
        <v>7045.9926764511565</v>
      </c>
      <c r="AB27" s="195">
        <f>AA27</f>
        <v>7045.9926764511565</v>
      </c>
      <c r="AC27" s="194">
        <f aca="true" t="shared" si="83" ref="AC27:AN27">AC43+AC59+AC75+AC91</f>
        <v>6965.105499989995</v>
      </c>
      <c r="AD27" s="194">
        <f t="shared" si="83"/>
        <v>6883.746481666143</v>
      </c>
      <c r="AE27" s="194">
        <f t="shared" si="83"/>
        <v>6801.912869068736</v>
      </c>
      <c r="AF27" s="194">
        <f t="shared" si="83"/>
        <v>6719.6018937311765</v>
      </c>
      <c r="AG27" s="194">
        <f t="shared" si="83"/>
        <v>6636.810771037482</v>
      </c>
      <c r="AH27" s="194">
        <f t="shared" si="83"/>
        <v>6553.536700128074</v>
      </c>
      <c r="AI27" s="194">
        <f t="shared" si="83"/>
        <v>6469.7768638050275</v>
      </c>
      <c r="AJ27" s="194">
        <f t="shared" si="83"/>
        <v>6385.528428436763</v>
      </c>
      <c r="AK27" s="194">
        <f t="shared" si="83"/>
        <v>6300.788543862184</v>
      </c>
      <c r="AL27" s="194">
        <f t="shared" si="83"/>
        <v>6215.554343294254</v>
      </c>
      <c r="AM27" s="194">
        <f t="shared" si="83"/>
        <v>6129.822943223009</v>
      </c>
      <c r="AN27" s="194">
        <f t="shared" si="83"/>
        <v>6043.591443318017</v>
      </c>
      <c r="AO27" s="195">
        <f>AN27</f>
        <v>6043.591443318017</v>
      </c>
      <c r="AP27" s="194">
        <f aca="true" t="shared" si="84" ref="AP27:BA27">AP43+AP59+AP75+AP91</f>
        <v>5956.856926330245</v>
      </c>
      <c r="AQ27" s="194">
        <f t="shared" si="84"/>
        <v>5869.6164579933775</v>
      </c>
      <c r="AR27" s="194">
        <f t="shared" si="84"/>
        <v>5781.867086924545</v>
      </c>
      <c r="AS27" s="194">
        <f t="shared" si="84"/>
        <v>5693.605844524478</v>
      </c>
      <c r="AT27" s="194">
        <f t="shared" si="84"/>
        <v>5604.829744877077</v>
      </c>
      <c r="AU27" s="194">
        <f t="shared" si="84"/>
        <v>5515.5357846484</v>
      </c>
      <c r="AV27" s="194">
        <f t="shared" si="84"/>
        <v>5425.720942985056</v>
      </c>
      <c r="AW27" s="194">
        <f t="shared" si="84"/>
        <v>5335.382181412009</v>
      </c>
      <c r="AX27" s="194">
        <f t="shared" si="84"/>
        <v>5244.516443729785</v>
      </c>
      <c r="AY27" s="194">
        <f t="shared" si="84"/>
        <v>5153.120655911082</v>
      </c>
      <c r="AZ27" s="194">
        <f t="shared" si="84"/>
        <v>5061.19172599677</v>
      </c>
      <c r="BA27" s="194">
        <f t="shared" si="84"/>
        <v>4968.726543991292</v>
      </c>
      <c r="BB27" s="195">
        <f>BA27</f>
        <v>4968.726543991292</v>
      </c>
      <c r="BC27" s="194">
        <f aca="true" t="shared" si="85" ref="BC27:BN27">BC43+BC59+BC75+BC91</f>
        <v>4875.721981757447</v>
      </c>
      <c r="BD27" s="194">
        <f t="shared" si="85"/>
        <v>4782.174892910572</v>
      </c>
      <c r="BE27" s="194">
        <f t="shared" si="85"/>
        <v>4688.082112712091</v>
      </c>
      <c r="BF27" s="194">
        <f t="shared" si="85"/>
        <v>4593.440457962452</v>
      </c>
      <c r="BG27" s="194">
        <f t="shared" si="85"/>
        <v>4498.246726893439</v>
      </c>
      <c r="BH27" s="194">
        <f t="shared" si="85"/>
        <v>4402.497699059857</v>
      </c>
      <c r="BI27" s="194">
        <f t="shared" si="85"/>
        <v>4306.1901352305795</v>
      </c>
      <c r="BJ27" s="194">
        <f t="shared" si="85"/>
        <v>4209.320777278964</v>
      </c>
      <c r="BK27" s="194">
        <f t="shared" si="85"/>
        <v>4111.88634807263</v>
      </c>
      <c r="BL27" s="194">
        <f t="shared" si="85"/>
        <v>4013.8835513625945</v>
      </c>
      <c r="BM27" s="194">
        <f t="shared" si="85"/>
        <v>3915.3090716717493</v>
      </c>
      <c r="BN27" s="194">
        <f t="shared" si="85"/>
        <v>3816.1595741827077</v>
      </c>
      <c r="BO27" s="195">
        <f>BN27</f>
        <v>3816.1595741827077</v>
      </c>
      <c r="BP27" s="194">
        <f aca="true" t="shared" si="86" ref="BP27:CA27">BP43+BP59+BP75+BP91</f>
        <v>3716.43170462498</v>
      </c>
      <c r="BQ27" s="194">
        <f t="shared" si="86"/>
        <v>3616.1220891614985</v>
      </c>
      <c r="BR27" s="194">
        <f t="shared" si="86"/>
        <v>3515.22733427448</v>
      </c>
      <c r="BS27" s="194">
        <f t="shared" si="86"/>
        <v>3413.744026650622</v>
      </c>
      <c r="BT27" s="194">
        <f t="shared" si="86"/>
        <v>3311.6687330656237</v>
      </c>
      <c r="BU27" s="194">
        <f t="shared" si="86"/>
        <v>3208.9980002680463</v>
      </c>
      <c r="BV27" s="194">
        <f t="shared" si="86"/>
        <v>3105.728354862483</v>
      </c>
      <c r="BW27" s="194">
        <f t="shared" si="86"/>
        <v>3001.856303192054</v>
      </c>
      <c r="BX27" s="194">
        <f t="shared" si="86"/>
        <v>2897.378331220214</v>
      </c>
      <c r="BY27" s="194">
        <f t="shared" si="86"/>
        <v>2792.290904411872</v>
      </c>
      <c r="BZ27" s="194">
        <f t="shared" si="86"/>
        <v>2686.5904676138143</v>
      </c>
      <c r="CA27" s="194">
        <f t="shared" si="86"/>
        <v>2580.273444934435</v>
      </c>
      <c r="CB27" s="195">
        <f>CA27</f>
        <v>2580.273444934435</v>
      </c>
      <c r="CC27" s="194">
        <f aca="true" t="shared" si="87" ref="CC27:CN27">CC43+CC59+CC75+CC91</f>
        <v>2473.336239622759</v>
      </c>
      <c r="CD27" s="194">
        <f t="shared" si="87"/>
        <v>2365.775233946765</v>
      </c>
      <c r="CE27" s="194">
        <f t="shared" si="87"/>
        <v>2257.586789070994</v>
      </c>
      <c r="CF27" s="194">
        <f t="shared" si="87"/>
        <v>2148.767244933448</v>
      </c>
      <c r="CG27" s="194">
        <f t="shared" si="87"/>
        <v>2039.3129201217664</v>
      </c>
      <c r="CH27" s="194">
        <f t="shared" si="87"/>
        <v>1929.2201117486834</v>
      </c>
      <c r="CI27" s="194">
        <f t="shared" si="87"/>
        <v>1818.4850953267571</v>
      </c>
      <c r="CJ27" s="194">
        <f t="shared" si="87"/>
        <v>1707.1041246423697</v>
      </c>
      <c r="CK27" s="194">
        <f t="shared" si="87"/>
        <v>1595.07343162899</v>
      </c>
      <c r="CL27" s="194">
        <f t="shared" si="87"/>
        <v>1482.3892262396992</v>
      </c>
      <c r="CM27" s="194">
        <f t="shared" si="87"/>
        <v>1369.0476963189706</v>
      </c>
      <c r="CN27" s="194">
        <f t="shared" si="87"/>
        <v>1255.0450074737043</v>
      </c>
      <c r="CO27" s="195">
        <f>CN27</f>
        <v>1255.0450074737043</v>
      </c>
      <c r="CP27" s="194">
        <f aca="true" t="shared" si="88" ref="CP27:DA27">CP43+CP59+CP75+CP91</f>
        <v>1140.3773029435074</v>
      </c>
      <c r="CQ27" s="194">
        <f t="shared" si="88"/>
        <v>1025.040703470218</v>
      </c>
      <c r="CR27" s="194">
        <f t="shared" si="88"/>
        <v>909.0313071666674</v>
      </c>
      <c r="CS27" s="194">
        <f t="shared" si="88"/>
        <v>792.3451893846794</v>
      </c>
      <c r="CT27" s="194">
        <f t="shared" si="88"/>
        <v>674.9784025822967</v>
      </c>
      <c r="CU27" s="194">
        <f t="shared" si="88"/>
        <v>556.9269761902332</v>
      </c>
      <c r="CV27" s="194">
        <f t="shared" si="88"/>
        <v>438.1869164775494</v>
      </c>
      <c r="CW27" s="194">
        <f t="shared" si="88"/>
        <v>318.7542064165417</v>
      </c>
      <c r="CX27" s="194">
        <f t="shared" si="88"/>
        <v>198.6248055468447</v>
      </c>
      <c r="CY27" s="194">
        <f t="shared" si="88"/>
        <v>77.79464983874118</v>
      </c>
      <c r="CZ27" s="194">
        <f t="shared" si="88"/>
        <v>2.5565327632648405E-11</v>
      </c>
      <c r="DA27" s="194">
        <f t="shared" si="88"/>
        <v>2.5565327632648405E-11</v>
      </c>
      <c r="DB27" s="195">
        <f>DA27</f>
        <v>2.5565327632648405E-11</v>
      </c>
      <c r="DC27" s="194">
        <f aca="true" t="shared" si="89" ref="DC27:DN27">DC43+DC59+DC75+DC91</f>
        <v>2.5565327632648405E-11</v>
      </c>
      <c r="DD27" s="194">
        <f t="shared" si="89"/>
        <v>2.5565327632648405E-11</v>
      </c>
      <c r="DE27" s="194">
        <f t="shared" si="89"/>
        <v>2.5565327632648405E-11</v>
      </c>
      <c r="DF27" s="194">
        <f t="shared" si="89"/>
        <v>2.5565327632648405E-11</v>
      </c>
      <c r="DG27" s="194">
        <f t="shared" si="89"/>
        <v>2.5565327632648405E-11</v>
      </c>
      <c r="DH27" s="194">
        <f t="shared" si="89"/>
        <v>2.5565327632648405E-11</v>
      </c>
      <c r="DI27" s="194">
        <f t="shared" si="89"/>
        <v>2.5565327632648405E-11</v>
      </c>
      <c r="DJ27" s="194">
        <f t="shared" si="89"/>
        <v>2.5565327632648405E-11</v>
      </c>
      <c r="DK27" s="194">
        <f t="shared" si="89"/>
        <v>2.5565327632648405E-11</v>
      </c>
      <c r="DL27" s="194">
        <f t="shared" si="89"/>
        <v>2.5565327632648405E-11</v>
      </c>
      <c r="DM27" s="194">
        <f t="shared" si="89"/>
        <v>2.5565327632648405E-11</v>
      </c>
      <c r="DN27" s="194">
        <f t="shared" si="89"/>
        <v>2.5565327632648405E-11</v>
      </c>
      <c r="DO27" s="195">
        <f>DN27</f>
        <v>2.5565327632648405E-11</v>
      </c>
    </row>
    <row r="28" spans="1:119" ht="12.75">
      <c r="A28" s="177" t="s">
        <v>78</v>
      </c>
      <c r="B28" s="284">
        <f>Исх!C46*12-Исх!C47</f>
        <v>75</v>
      </c>
      <c r="CP28" s="180"/>
      <c r="DB28" s="177"/>
      <c r="DO28" s="177"/>
    </row>
    <row r="29" spans="1:119" ht="12.75">
      <c r="A29" s="287" t="s">
        <v>253</v>
      </c>
      <c r="B29" s="288">
        <f>$AK$27*$B$20/12/((1-(1+$B$20/12)^-$B$28))</f>
        <v>103.96450667444151</v>
      </c>
      <c r="DB29" s="177"/>
      <c r="DO29" s="177"/>
    </row>
    <row r="30" spans="1:119" ht="6.75" customHeight="1">
      <c r="A30" s="285"/>
      <c r="B30" s="282"/>
      <c r="DB30" s="177"/>
      <c r="DO30" s="177"/>
    </row>
    <row r="31" spans="1:119" ht="12.75">
      <c r="A31" s="270" t="s">
        <v>241</v>
      </c>
      <c r="DB31" s="177"/>
      <c r="DO31" s="177"/>
    </row>
    <row r="32" spans="1:119" ht="12.75" hidden="1" outlineLevel="1">
      <c r="A32" s="271">
        <f>B22+B23-B25</f>
        <v>2.8194335754960775E-11</v>
      </c>
      <c r="DB32" s="177"/>
      <c r="DO32" s="177"/>
    </row>
    <row r="33" spans="1:119" ht="12.75" hidden="1" outlineLevel="1">
      <c r="A33" s="271">
        <f>B24-B23-B26</f>
        <v>0</v>
      </c>
      <c r="DB33" s="177"/>
      <c r="DO33" s="177"/>
    </row>
    <row r="34" spans="106:119" ht="12.75" hidden="1" collapsed="1">
      <c r="DB34" s="177"/>
      <c r="DO34" s="177"/>
    </row>
    <row r="35" spans="1:119" ht="12.75" hidden="1">
      <c r="A35" s="296" t="s">
        <v>270</v>
      </c>
      <c r="B35" s="297"/>
      <c r="DB35" s="177"/>
      <c r="DO35" s="177"/>
    </row>
    <row r="36" spans="1:119" ht="15.75" customHeight="1" hidden="1">
      <c r="A36" s="186" t="s">
        <v>11</v>
      </c>
      <c r="B36" s="286">
        <f>Исх!$C$45</f>
        <v>0.07</v>
      </c>
      <c r="C36" s="367">
        <v>2013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>
        <v>2014</v>
      </c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>
        <v>2015</v>
      </c>
      <c r="AD36" s="367"/>
      <c r="AE36" s="367"/>
      <c r="AF36" s="367"/>
      <c r="AG36" s="367"/>
      <c r="AH36" s="367"/>
      <c r="AI36" s="367"/>
      <c r="AJ36" s="367"/>
      <c r="AK36" s="367"/>
      <c r="AL36" s="367"/>
      <c r="AM36" s="367"/>
      <c r="AN36" s="367"/>
      <c r="AO36" s="367"/>
      <c r="AP36" s="367">
        <v>2016</v>
      </c>
      <c r="AQ36" s="367"/>
      <c r="AR36" s="367"/>
      <c r="AS36" s="367"/>
      <c r="AT36" s="367"/>
      <c r="AU36" s="367"/>
      <c r="AV36" s="367"/>
      <c r="AW36" s="367"/>
      <c r="AX36" s="367"/>
      <c r="AY36" s="367"/>
      <c r="AZ36" s="367"/>
      <c r="BA36" s="367"/>
      <c r="BB36" s="367"/>
      <c r="BC36" s="367">
        <v>2017</v>
      </c>
      <c r="BD36" s="367"/>
      <c r="BE36" s="367"/>
      <c r="BF36" s="367"/>
      <c r="BG36" s="367"/>
      <c r="BH36" s="367"/>
      <c r="BI36" s="367"/>
      <c r="BJ36" s="367"/>
      <c r="BK36" s="367"/>
      <c r="BL36" s="367"/>
      <c r="BM36" s="367"/>
      <c r="BN36" s="367"/>
      <c r="BO36" s="367"/>
      <c r="BP36" s="367">
        <v>2018</v>
      </c>
      <c r="BQ36" s="367"/>
      <c r="BR36" s="367"/>
      <c r="BS36" s="367"/>
      <c r="BT36" s="367"/>
      <c r="BU36" s="367"/>
      <c r="BV36" s="367"/>
      <c r="BW36" s="367"/>
      <c r="BX36" s="367"/>
      <c r="BY36" s="367"/>
      <c r="BZ36" s="367"/>
      <c r="CA36" s="367"/>
      <c r="CB36" s="367"/>
      <c r="CC36" s="367">
        <v>2019</v>
      </c>
      <c r="CD36" s="367"/>
      <c r="CE36" s="367"/>
      <c r="CF36" s="367"/>
      <c r="CG36" s="367"/>
      <c r="CH36" s="367"/>
      <c r="CI36" s="367"/>
      <c r="CJ36" s="367"/>
      <c r="CK36" s="367"/>
      <c r="CL36" s="367"/>
      <c r="CM36" s="367"/>
      <c r="CN36" s="367"/>
      <c r="CO36" s="367"/>
      <c r="CP36" s="367">
        <v>2020</v>
      </c>
      <c r="CQ36" s="367"/>
      <c r="CR36" s="367"/>
      <c r="CS36" s="367"/>
      <c r="CT36" s="367"/>
      <c r="CU36" s="367"/>
      <c r="CV36" s="367"/>
      <c r="CW36" s="367"/>
      <c r="CX36" s="367"/>
      <c r="CY36" s="367"/>
      <c r="CZ36" s="367"/>
      <c r="DA36" s="367"/>
      <c r="DB36" s="367"/>
      <c r="DC36" s="367">
        <v>2021</v>
      </c>
      <c r="DD36" s="367"/>
      <c r="DE36" s="367"/>
      <c r="DF36" s="367"/>
      <c r="DG36" s="367"/>
      <c r="DH36" s="367"/>
      <c r="DI36" s="367"/>
      <c r="DJ36" s="367"/>
      <c r="DK36" s="367"/>
      <c r="DL36" s="367"/>
      <c r="DM36" s="367"/>
      <c r="DN36" s="367"/>
      <c r="DO36" s="367"/>
    </row>
    <row r="37" spans="1:119" s="192" customFormat="1" ht="15" customHeight="1" hidden="1">
      <c r="A37" s="188" t="s">
        <v>9</v>
      </c>
      <c r="B37" s="189" t="s">
        <v>89</v>
      </c>
      <c r="C37" s="190">
        <v>1</v>
      </c>
      <c r="D37" s="190">
        <v>2</v>
      </c>
      <c r="E37" s="190">
        <f aca="true" t="shared" si="90" ref="E37:N37">D37+1</f>
        <v>3</v>
      </c>
      <c r="F37" s="190">
        <f t="shared" si="90"/>
        <v>4</v>
      </c>
      <c r="G37" s="190">
        <f t="shared" si="90"/>
        <v>5</v>
      </c>
      <c r="H37" s="190">
        <f t="shared" si="90"/>
        <v>6</v>
      </c>
      <c r="I37" s="190">
        <f t="shared" si="90"/>
        <v>7</v>
      </c>
      <c r="J37" s="190">
        <f t="shared" si="90"/>
        <v>8</v>
      </c>
      <c r="K37" s="190">
        <f t="shared" si="90"/>
        <v>9</v>
      </c>
      <c r="L37" s="190">
        <f t="shared" si="90"/>
        <v>10</v>
      </c>
      <c r="M37" s="190">
        <f t="shared" si="90"/>
        <v>11</v>
      </c>
      <c r="N37" s="190">
        <f t="shared" si="90"/>
        <v>12</v>
      </c>
      <c r="O37" s="191" t="str">
        <f>O21</f>
        <v>Итого</v>
      </c>
      <c r="P37" s="190">
        <v>1</v>
      </c>
      <c r="Q37" s="190">
        <v>2</v>
      </c>
      <c r="R37" s="190">
        <f aca="true" t="shared" si="91" ref="R37:AA37">Q37+1</f>
        <v>3</v>
      </c>
      <c r="S37" s="190">
        <f t="shared" si="91"/>
        <v>4</v>
      </c>
      <c r="T37" s="190">
        <f t="shared" si="91"/>
        <v>5</v>
      </c>
      <c r="U37" s="190">
        <f t="shared" si="91"/>
        <v>6</v>
      </c>
      <c r="V37" s="190">
        <f t="shared" si="91"/>
        <v>7</v>
      </c>
      <c r="W37" s="190">
        <f t="shared" si="91"/>
        <v>8</v>
      </c>
      <c r="X37" s="190">
        <f t="shared" si="91"/>
        <v>9</v>
      </c>
      <c r="Y37" s="190">
        <f t="shared" si="91"/>
        <v>10</v>
      </c>
      <c r="Z37" s="190">
        <f t="shared" si="91"/>
        <v>11</v>
      </c>
      <c r="AA37" s="190">
        <f t="shared" si="91"/>
        <v>12</v>
      </c>
      <c r="AB37" s="191" t="str">
        <f>AB21</f>
        <v>Итого</v>
      </c>
      <c r="AC37" s="190">
        <v>1</v>
      </c>
      <c r="AD37" s="190">
        <v>2</v>
      </c>
      <c r="AE37" s="190">
        <f aca="true" t="shared" si="92" ref="AE37:AN37">AD37+1</f>
        <v>3</v>
      </c>
      <c r="AF37" s="190">
        <f t="shared" si="92"/>
        <v>4</v>
      </c>
      <c r="AG37" s="190">
        <f t="shared" si="92"/>
        <v>5</v>
      </c>
      <c r="AH37" s="190">
        <f t="shared" si="92"/>
        <v>6</v>
      </c>
      <c r="AI37" s="190">
        <f t="shared" si="92"/>
        <v>7</v>
      </c>
      <c r="AJ37" s="190">
        <f t="shared" si="92"/>
        <v>8</v>
      </c>
      <c r="AK37" s="190">
        <f t="shared" si="92"/>
        <v>9</v>
      </c>
      <c r="AL37" s="190">
        <f t="shared" si="92"/>
        <v>10</v>
      </c>
      <c r="AM37" s="190">
        <f t="shared" si="92"/>
        <v>11</v>
      </c>
      <c r="AN37" s="190">
        <f t="shared" si="92"/>
        <v>12</v>
      </c>
      <c r="AO37" s="191" t="str">
        <f>AO21</f>
        <v>Итого</v>
      </c>
      <c r="AP37" s="190">
        <v>1</v>
      </c>
      <c r="AQ37" s="190">
        <v>2</v>
      </c>
      <c r="AR37" s="190">
        <f aca="true" t="shared" si="93" ref="AR37:BA37">AQ37+1</f>
        <v>3</v>
      </c>
      <c r="AS37" s="190">
        <f t="shared" si="93"/>
        <v>4</v>
      </c>
      <c r="AT37" s="190">
        <f t="shared" si="93"/>
        <v>5</v>
      </c>
      <c r="AU37" s="190">
        <f t="shared" si="93"/>
        <v>6</v>
      </c>
      <c r="AV37" s="190">
        <f t="shared" si="93"/>
        <v>7</v>
      </c>
      <c r="AW37" s="190">
        <f t="shared" si="93"/>
        <v>8</v>
      </c>
      <c r="AX37" s="190">
        <f t="shared" si="93"/>
        <v>9</v>
      </c>
      <c r="AY37" s="190">
        <f t="shared" si="93"/>
        <v>10</v>
      </c>
      <c r="AZ37" s="190">
        <f t="shared" si="93"/>
        <v>11</v>
      </c>
      <c r="BA37" s="190">
        <f t="shared" si="93"/>
        <v>12</v>
      </c>
      <c r="BB37" s="191" t="str">
        <f>BB21</f>
        <v>Итого</v>
      </c>
      <c r="BC37" s="190">
        <v>1</v>
      </c>
      <c r="BD37" s="190">
        <v>2</v>
      </c>
      <c r="BE37" s="190">
        <f aca="true" t="shared" si="94" ref="BE37:BN37">BD37+1</f>
        <v>3</v>
      </c>
      <c r="BF37" s="190">
        <f t="shared" si="94"/>
        <v>4</v>
      </c>
      <c r="BG37" s="190">
        <f t="shared" si="94"/>
        <v>5</v>
      </c>
      <c r="BH37" s="190">
        <f t="shared" si="94"/>
        <v>6</v>
      </c>
      <c r="BI37" s="190">
        <f t="shared" si="94"/>
        <v>7</v>
      </c>
      <c r="BJ37" s="190">
        <f t="shared" si="94"/>
        <v>8</v>
      </c>
      <c r="BK37" s="190">
        <f t="shared" si="94"/>
        <v>9</v>
      </c>
      <c r="BL37" s="190">
        <f t="shared" si="94"/>
        <v>10</v>
      </c>
      <c r="BM37" s="190">
        <f t="shared" si="94"/>
        <v>11</v>
      </c>
      <c r="BN37" s="190">
        <f t="shared" si="94"/>
        <v>12</v>
      </c>
      <c r="BO37" s="191" t="str">
        <f>BO21</f>
        <v>Итого</v>
      </c>
      <c r="BP37" s="190">
        <v>1</v>
      </c>
      <c r="BQ37" s="190">
        <v>2</v>
      </c>
      <c r="BR37" s="190">
        <f aca="true" t="shared" si="95" ref="BR37:CA37">BQ37+1</f>
        <v>3</v>
      </c>
      <c r="BS37" s="190">
        <f t="shared" si="95"/>
        <v>4</v>
      </c>
      <c r="BT37" s="190">
        <f t="shared" si="95"/>
        <v>5</v>
      </c>
      <c r="BU37" s="190">
        <f t="shared" si="95"/>
        <v>6</v>
      </c>
      <c r="BV37" s="190">
        <f t="shared" si="95"/>
        <v>7</v>
      </c>
      <c r="BW37" s="190">
        <f t="shared" si="95"/>
        <v>8</v>
      </c>
      <c r="BX37" s="190">
        <f t="shared" si="95"/>
        <v>9</v>
      </c>
      <c r="BY37" s="190">
        <f t="shared" si="95"/>
        <v>10</v>
      </c>
      <c r="BZ37" s="190">
        <f t="shared" si="95"/>
        <v>11</v>
      </c>
      <c r="CA37" s="190">
        <f t="shared" si="95"/>
        <v>12</v>
      </c>
      <c r="CB37" s="191" t="str">
        <f>CB21</f>
        <v>Итого</v>
      </c>
      <c r="CC37" s="190">
        <v>1</v>
      </c>
      <c r="CD37" s="190">
        <v>2</v>
      </c>
      <c r="CE37" s="190">
        <f aca="true" t="shared" si="96" ref="CE37:CN37">CD37+1</f>
        <v>3</v>
      </c>
      <c r="CF37" s="190">
        <f t="shared" si="96"/>
        <v>4</v>
      </c>
      <c r="CG37" s="190">
        <f t="shared" si="96"/>
        <v>5</v>
      </c>
      <c r="CH37" s="190">
        <f t="shared" si="96"/>
        <v>6</v>
      </c>
      <c r="CI37" s="190">
        <f t="shared" si="96"/>
        <v>7</v>
      </c>
      <c r="CJ37" s="190">
        <f t="shared" si="96"/>
        <v>8</v>
      </c>
      <c r="CK37" s="190">
        <f t="shared" si="96"/>
        <v>9</v>
      </c>
      <c r="CL37" s="190">
        <f t="shared" si="96"/>
        <v>10</v>
      </c>
      <c r="CM37" s="190">
        <f t="shared" si="96"/>
        <v>11</v>
      </c>
      <c r="CN37" s="190">
        <f t="shared" si="96"/>
        <v>12</v>
      </c>
      <c r="CO37" s="191" t="str">
        <f>CO21</f>
        <v>Итого</v>
      </c>
      <c r="CP37" s="190">
        <v>1</v>
      </c>
      <c r="CQ37" s="190">
        <f aca="true" t="shared" si="97" ref="CQ37:DA37">CP37+1</f>
        <v>2</v>
      </c>
      <c r="CR37" s="190">
        <f t="shared" si="97"/>
        <v>3</v>
      </c>
      <c r="CS37" s="190">
        <f t="shared" si="97"/>
        <v>4</v>
      </c>
      <c r="CT37" s="190">
        <f t="shared" si="97"/>
        <v>5</v>
      </c>
      <c r="CU37" s="190">
        <f t="shared" si="97"/>
        <v>6</v>
      </c>
      <c r="CV37" s="190">
        <f t="shared" si="97"/>
        <v>7</v>
      </c>
      <c r="CW37" s="190">
        <f t="shared" si="97"/>
        <v>8</v>
      </c>
      <c r="CX37" s="190">
        <f t="shared" si="97"/>
        <v>9</v>
      </c>
      <c r="CY37" s="190">
        <f t="shared" si="97"/>
        <v>10</v>
      </c>
      <c r="CZ37" s="190">
        <f t="shared" si="97"/>
        <v>11</v>
      </c>
      <c r="DA37" s="190">
        <f t="shared" si="97"/>
        <v>12</v>
      </c>
      <c r="DB37" s="191" t="str">
        <f>DB21</f>
        <v>Итого</v>
      </c>
      <c r="DC37" s="190">
        <v>1</v>
      </c>
      <c r="DD37" s="190">
        <f aca="true" t="shared" si="98" ref="DD37:DN37">DC37+1</f>
        <v>2</v>
      </c>
      <c r="DE37" s="190">
        <f t="shared" si="98"/>
        <v>3</v>
      </c>
      <c r="DF37" s="190">
        <f t="shared" si="98"/>
        <v>4</v>
      </c>
      <c r="DG37" s="190">
        <f t="shared" si="98"/>
        <v>5</v>
      </c>
      <c r="DH37" s="190">
        <f t="shared" si="98"/>
        <v>6</v>
      </c>
      <c r="DI37" s="190">
        <f t="shared" si="98"/>
        <v>7</v>
      </c>
      <c r="DJ37" s="190">
        <f t="shared" si="98"/>
        <v>8</v>
      </c>
      <c r="DK37" s="190">
        <f t="shared" si="98"/>
        <v>9</v>
      </c>
      <c r="DL37" s="190">
        <f t="shared" si="98"/>
        <v>10</v>
      </c>
      <c r="DM37" s="190">
        <f t="shared" si="98"/>
        <v>11</v>
      </c>
      <c r="DN37" s="190">
        <f t="shared" si="98"/>
        <v>12</v>
      </c>
      <c r="DO37" s="191" t="s">
        <v>0</v>
      </c>
    </row>
    <row r="38" spans="1:119" ht="12.75" hidden="1">
      <c r="A38" s="188" t="s">
        <v>106</v>
      </c>
      <c r="B38" s="193">
        <f>O38+AB38+AO38+BB38+BO38+CB38+CO38+DB38+DO38</f>
        <v>0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>
        <f>SUM(C38:N38)</f>
        <v>0</v>
      </c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>
        <f>SUM(P38:AA38)</f>
        <v>0</v>
      </c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>
        <f>SUM(AC38:AN38)</f>
        <v>0</v>
      </c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</row>
    <row r="39" spans="1:119" s="197" customFormat="1" ht="20.25" customHeight="1" hidden="1">
      <c r="A39" s="188" t="s">
        <v>31</v>
      </c>
      <c r="B39" s="193">
        <f>O39+AB39+AO39+BB39+BO39+CB39+CO39+DB39+DO39</f>
        <v>0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>
        <f>SUM(C39:N39)</f>
        <v>0</v>
      </c>
      <c r="P39" s="194"/>
      <c r="Q39" s="194"/>
      <c r="R39" s="194"/>
      <c r="S39" s="194"/>
      <c r="T39" s="194">
        <f>SUM(O40:T40)</f>
        <v>0</v>
      </c>
      <c r="U39" s="194"/>
      <c r="V39" s="194"/>
      <c r="W39" s="194"/>
      <c r="X39" s="194"/>
      <c r="Y39" s="194"/>
      <c r="Z39" s="194"/>
      <c r="AA39" s="194"/>
      <c r="AB39" s="195">
        <f>SUM(P39:AA39)</f>
        <v>0</v>
      </c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5">
        <f>SUM(AC39:AN39)</f>
        <v>0</v>
      </c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5">
        <f>SUM(AP39:BA39)</f>
        <v>0</v>
      </c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5">
        <f>SUM(BC39:BN39)</f>
        <v>0</v>
      </c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5">
        <f>SUM(BP39:CA39)</f>
        <v>0</v>
      </c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5">
        <f>SUM(CC39:CN39)</f>
        <v>0</v>
      </c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5">
        <f>SUM(CP39:DA39)</f>
        <v>0</v>
      </c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5">
        <f>SUM(DC39:DN39)</f>
        <v>0</v>
      </c>
    </row>
    <row r="40" spans="1:119" s="197" customFormat="1" ht="12.75" hidden="1">
      <c r="A40" s="198" t="s">
        <v>13</v>
      </c>
      <c r="B40" s="193">
        <f>O40+AB40+AO40+BB40+BO40+CB40+CO40+DB40+DO40</f>
        <v>0</v>
      </c>
      <c r="C40" s="194"/>
      <c r="D40" s="194">
        <f aca="true" t="shared" si="99" ref="D40:N40">C43*$B36/12</f>
        <v>0</v>
      </c>
      <c r="E40" s="194">
        <f t="shared" si="99"/>
        <v>0</v>
      </c>
      <c r="F40" s="194">
        <f t="shared" si="99"/>
        <v>0</v>
      </c>
      <c r="G40" s="194">
        <f t="shared" si="99"/>
        <v>0</v>
      </c>
      <c r="H40" s="194">
        <f t="shared" si="99"/>
        <v>0</v>
      </c>
      <c r="I40" s="194">
        <f t="shared" si="99"/>
        <v>0</v>
      </c>
      <c r="J40" s="194">
        <f t="shared" si="99"/>
        <v>0</v>
      </c>
      <c r="K40" s="194">
        <f t="shared" si="99"/>
        <v>0</v>
      </c>
      <c r="L40" s="194">
        <f t="shared" si="99"/>
        <v>0</v>
      </c>
      <c r="M40" s="194">
        <f t="shared" si="99"/>
        <v>0</v>
      </c>
      <c r="N40" s="194">
        <f t="shared" si="99"/>
        <v>0</v>
      </c>
      <c r="O40" s="195">
        <f>SUM(C40:N40)</f>
        <v>0</v>
      </c>
      <c r="P40" s="194">
        <f aca="true" t="shared" si="100" ref="P40:AA40">O43*$B36/12</f>
        <v>0</v>
      </c>
      <c r="Q40" s="194">
        <f t="shared" si="100"/>
        <v>0</v>
      </c>
      <c r="R40" s="194">
        <f t="shared" si="100"/>
        <v>0</v>
      </c>
      <c r="S40" s="194">
        <f t="shared" si="100"/>
        <v>0</v>
      </c>
      <c r="T40" s="194">
        <f t="shared" si="100"/>
        <v>0</v>
      </c>
      <c r="U40" s="194">
        <f t="shared" si="100"/>
        <v>0</v>
      </c>
      <c r="V40" s="194">
        <f t="shared" si="100"/>
        <v>0</v>
      </c>
      <c r="W40" s="194">
        <f t="shared" si="100"/>
        <v>0</v>
      </c>
      <c r="X40" s="194">
        <f t="shared" si="100"/>
        <v>0</v>
      </c>
      <c r="Y40" s="194">
        <f t="shared" si="100"/>
        <v>0</v>
      </c>
      <c r="Z40" s="194">
        <f t="shared" si="100"/>
        <v>0</v>
      </c>
      <c r="AA40" s="194">
        <f t="shared" si="100"/>
        <v>0</v>
      </c>
      <c r="AB40" s="195">
        <f>SUM(P40:AA40)</f>
        <v>0</v>
      </c>
      <c r="AC40" s="194">
        <f aca="true" t="shared" si="101" ref="AC40:AN40">AB43*$B36/12</f>
        <v>0</v>
      </c>
      <c r="AD40" s="194">
        <f t="shared" si="101"/>
        <v>0</v>
      </c>
      <c r="AE40" s="194">
        <f t="shared" si="101"/>
        <v>0</v>
      </c>
      <c r="AF40" s="194">
        <f t="shared" si="101"/>
        <v>0</v>
      </c>
      <c r="AG40" s="194">
        <f t="shared" si="101"/>
        <v>0</v>
      </c>
      <c r="AH40" s="194">
        <f t="shared" si="101"/>
        <v>0</v>
      </c>
      <c r="AI40" s="194">
        <f t="shared" si="101"/>
        <v>0</v>
      </c>
      <c r="AJ40" s="194">
        <f t="shared" si="101"/>
        <v>0</v>
      </c>
      <c r="AK40" s="194">
        <f t="shared" si="101"/>
        <v>0</v>
      </c>
      <c r="AL40" s="194">
        <f t="shared" si="101"/>
        <v>0</v>
      </c>
      <c r="AM40" s="194">
        <f t="shared" si="101"/>
        <v>0</v>
      </c>
      <c r="AN40" s="194">
        <f t="shared" si="101"/>
        <v>0</v>
      </c>
      <c r="AO40" s="195">
        <f>SUM(AC40:AN40)</f>
        <v>0</v>
      </c>
      <c r="AP40" s="194">
        <f aca="true" t="shared" si="102" ref="AP40:BA40">AO43*$B36/12</f>
        <v>0</v>
      </c>
      <c r="AQ40" s="194">
        <f t="shared" si="102"/>
        <v>0</v>
      </c>
      <c r="AR40" s="194">
        <f t="shared" si="102"/>
        <v>0</v>
      </c>
      <c r="AS40" s="194">
        <f t="shared" si="102"/>
        <v>0</v>
      </c>
      <c r="AT40" s="194">
        <f t="shared" si="102"/>
        <v>0</v>
      </c>
      <c r="AU40" s="194">
        <f t="shared" si="102"/>
        <v>0</v>
      </c>
      <c r="AV40" s="194">
        <f t="shared" si="102"/>
        <v>0</v>
      </c>
      <c r="AW40" s="194">
        <f t="shared" si="102"/>
        <v>0</v>
      </c>
      <c r="AX40" s="194">
        <f t="shared" si="102"/>
        <v>0</v>
      </c>
      <c r="AY40" s="194">
        <f t="shared" si="102"/>
        <v>0</v>
      </c>
      <c r="AZ40" s="194">
        <f t="shared" si="102"/>
        <v>0</v>
      </c>
      <c r="BA40" s="194">
        <f t="shared" si="102"/>
        <v>0</v>
      </c>
      <c r="BB40" s="195">
        <f>SUM(AP40:BA40)</f>
        <v>0</v>
      </c>
      <c r="BC40" s="194">
        <f aca="true" t="shared" si="103" ref="BC40:BN40">BB43*$B36/12</f>
        <v>0</v>
      </c>
      <c r="BD40" s="194">
        <f t="shared" si="103"/>
        <v>0</v>
      </c>
      <c r="BE40" s="194">
        <f t="shared" si="103"/>
        <v>0</v>
      </c>
      <c r="BF40" s="194">
        <f t="shared" si="103"/>
        <v>0</v>
      </c>
      <c r="BG40" s="194">
        <f t="shared" si="103"/>
        <v>0</v>
      </c>
      <c r="BH40" s="194">
        <f t="shared" si="103"/>
        <v>0</v>
      </c>
      <c r="BI40" s="194">
        <f t="shared" si="103"/>
        <v>0</v>
      </c>
      <c r="BJ40" s="194">
        <f t="shared" si="103"/>
        <v>0</v>
      </c>
      <c r="BK40" s="194">
        <f t="shared" si="103"/>
        <v>0</v>
      </c>
      <c r="BL40" s="194">
        <f t="shared" si="103"/>
        <v>0</v>
      </c>
      <c r="BM40" s="194">
        <f t="shared" si="103"/>
        <v>0</v>
      </c>
      <c r="BN40" s="194">
        <f t="shared" si="103"/>
        <v>0</v>
      </c>
      <c r="BO40" s="195">
        <f>SUM(BC40:BN40)</f>
        <v>0</v>
      </c>
      <c r="BP40" s="194">
        <f aca="true" t="shared" si="104" ref="BP40:CA40">BO43*$B36/12</f>
        <v>0</v>
      </c>
      <c r="BQ40" s="194">
        <f t="shared" si="104"/>
        <v>0</v>
      </c>
      <c r="BR40" s="194">
        <f t="shared" si="104"/>
        <v>0</v>
      </c>
      <c r="BS40" s="194">
        <f t="shared" si="104"/>
        <v>0</v>
      </c>
      <c r="BT40" s="194">
        <f t="shared" si="104"/>
        <v>0</v>
      </c>
      <c r="BU40" s="194">
        <f t="shared" si="104"/>
        <v>0</v>
      </c>
      <c r="BV40" s="194">
        <f t="shared" si="104"/>
        <v>0</v>
      </c>
      <c r="BW40" s="194">
        <f t="shared" si="104"/>
        <v>0</v>
      </c>
      <c r="BX40" s="194">
        <f t="shared" si="104"/>
        <v>0</v>
      </c>
      <c r="BY40" s="194">
        <f t="shared" si="104"/>
        <v>0</v>
      </c>
      <c r="BZ40" s="194">
        <f t="shared" si="104"/>
        <v>0</v>
      </c>
      <c r="CA40" s="194">
        <f t="shared" si="104"/>
        <v>0</v>
      </c>
      <c r="CB40" s="195">
        <f>SUM(BP40:CA40)</f>
        <v>0</v>
      </c>
      <c r="CC40" s="194">
        <f aca="true" t="shared" si="105" ref="CC40:CN40">CB43*$B36/12</f>
        <v>0</v>
      </c>
      <c r="CD40" s="194">
        <f t="shared" si="105"/>
        <v>0</v>
      </c>
      <c r="CE40" s="194">
        <f t="shared" si="105"/>
        <v>0</v>
      </c>
      <c r="CF40" s="194">
        <f t="shared" si="105"/>
        <v>0</v>
      </c>
      <c r="CG40" s="194">
        <f t="shared" si="105"/>
        <v>0</v>
      </c>
      <c r="CH40" s="194">
        <f t="shared" si="105"/>
        <v>0</v>
      </c>
      <c r="CI40" s="194">
        <f t="shared" si="105"/>
        <v>0</v>
      </c>
      <c r="CJ40" s="194">
        <f t="shared" si="105"/>
        <v>0</v>
      </c>
      <c r="CK40" s="194">
        <f t="shared" si="105"/>
        <v>0</v>
      </c>
      <c r="CL40" s="194">
        <f t="shared" si="105"/>
        <v>0</v>
      </c>
      <c r="CM40" s="194">
        <f t="shared" si="105"/>
        <v>0</v>
      </c>
      <c r="CN40" s="194">
        <f t="shared" si="105"/>
        <v>0</v>
      </c>
      <c r="CO40" s="195">
        <f>SUM(CC40:CN40)</f>
        <v>0</v>
      </c>
      <c r="CP40" s="194">
        <f aca="true" t="shared" si="106" ref="CP40:DA40">CO43*$B36/12</f>
        <v>0</v>
      </c>
      <c r="CQ40" s="194">
        <f t="shared" si="106"/>
        <v>0</v>
      </c>
      <c r="CR40" s="194">
        <f t="shared" si="106"/>
        <v>0</v>
      </c>
      <c r="CS40" s="194">
        <f t="shared" si="106"/>
        <v>0</v>
      </c>
      <c r="CT40" s="194">
        <f t="shared" si="106"/>
        <v>0</v>
      </c>
      <c r="CU40" s="194">
        <f t="shared" si="106"/>
        <v>0</v>
      </c>
      <c r="CV40" s="194">
        <f t="shared" si="106"/>
        <v>0</v>
      </c>
      <c r="CW40" s="194">
        <f t="shared" si="106"/>
        <v>0</v>
      </c>
      <c r="CX40" s="194">
        <f t="shared" si="106"/>
        <v>0</v>
      </c>
      <c r="CY40" s="194">
        <f t="shared" si="106"/>
        <v>0</v>
      </c>
      <c r="CZ40" s="194">
        <f t="shared" si="106"/>
        <v>0</v>
      </c>
      <c r="DA40" s="194">
        <f t="shared" si="106"/>
        <v>0</v>
      </c>
      <c r="DB40" s="195">
        <f>SUM(CP40:DA40)</f>
        <v>0</v>
      </c>
      <c r="DC40" s="194">
        <f aca="true" t="shared" si="107" ref="DC40:DN40">DB43*$B36/12</f>
        <v>0</v>
      </c>
      <c r="DD40" s="194">
        <f t="shared" si="107"/>
        <v>0</v>
      </c>
      <c r="DE40" s="194">
        <f t="shared" si="107"/>
        <v>0</v>
      </c>
      <c r="DF40" s="194">
        <f t="shared" si="107"/>
        <v>0</v>
      </c>
      <c r="DG40" s="194">
        <f t="shared" si="107"/>
        <v>0</v>
      </c>
      <c r="DH40" s="194">
        <f t="shared" si="107"/>
        <v>0</v>
      </c>
      <c r="DI40" s="194">
        <f t="shared" si="107"/>
        <v>0</v>
      </c>
      <c r="DJ40" s="194">
        <f t="shared" si="107"/>
        <v>0</v>
      </c>
      <c r="DK40" s="194">
        <f t="shared" si="107"/>
        <v>0</v>
      </c>
      <c r="DL40" s="194">
        <f t="shared" si="107"/>
        <v>0</v>
      </c>
      <c r="DM40" s="194">
        <f t="shared" si="107"/>
        <v>0</v>
      </c>
      <c r="DN40" s="194">
        <f t="shared" si="107"/>
        <v>0</v>
      </c>
      <c r="DO40" s="195">
        <f>SUM(DC40:DN40)</f>
        <v>0</v>
      </c>
    </row>
    <row r="41" spans="1:119" ht="12.75" hidden="1">
      <c r="A41" s="188" t="s">
        <v>14</v>
      </c>
      <c r="B41" s="193">
        <f>O41+AB41+AO41+BB41+BO41+CB41+CO41+DB41+DO41</f>
        <v>0</v>
      </c>
      <c r="C41" s="194"/>
      <c r="D41" s="194"/>
      <c r="E41" s="194"/>
      <c r="F41" s="194"/>
      <c r="G41" s="194"/>
      <c r="H41" s="194"/>
      <c r="I41" s="194"/>
      <c r="J41" s="194"/>
      <c r="K41" s="199"/>
      <c r="L41" s="199"/>
      <c r="M41" s="199"/>
      <c r="N41" s="199"/>
      <c r="O41" s="195">
        <f>SUM(C41:N41)</f>
        <v>0</v>
      </c>
      <c r="P41" s="199"/>
      <c r="Q41" s="199"/>
      <c r="R41" s="199"/>
      <c r="S41" s="199"/>
      <c r="T41" s="199"/>
      <c r="U41" s="194">
        <f>$B45-U40</f>
        <v>0</v>
      </c>
      <c r="V41" s="194">
        <f aca="true" t="shared" si="108" ref="V41:AA41">$B45-V40</f>
        <v>0</v>
      </c>
      <c r="W41" s="194">
        <f t="shared" si="108"/>
        <v>0</v>
      </c>
      <c r="X41" s="194">
        <f t="shared" si="108"/>
        <v>0</v>
      </c>
      <c r="Y41" s="194">
        <f t="shared" si="108"/>
        <v>0</v>
      </c>
      <c r="Z41" s="194">
        <f t="shared" si="108"/>
        <v>0</v>
      </c>
      <c r="AA41" s="194">
        <f t="shared" si="108"/>
        <v>0</v>
      </c>
      <c r="AB41" s="195">
        <f>SUM(P41:AA41)</f>
        <v>0</v>
      </c>
      <c r="AC41" s="194">
        <f aca="true" t="shared" si="109" ref="AC41:AN41">$B45-AC40</f>
        <v>0</v>
      </c>
      <c r="AD41" s="194">
        <f t="shared" si="109"/>
        <v>0</v>
      </c>
      <c r="AE41" s="194">
        <f t="shared" si="109"/>
        <v>0</v>
      </c>
      <c r="AF41" s="194">
        <f t="shared" si="109"/>
        <v>0</v>
      </c>
      <c r="AG41" s="194">
        <f t="shared" si="109"/>
        <v>0</v>
      </c>
      <c r="AH41" s="194">
        <f t="shared" si="109"/>
        <v>0</v>
      </c>
      <c r="AI41" s="194">
        <f t="shared" si="109"/>
        <v>0</v>
      </c>
      <c r="AJ41" s="194">
        <f t="shared" si="109"/>
        <v>0</v>
      </c>
      <c r="AK41" s="194">
        <f t="shared" si="109"/>
        <v>0</v>
      </c>
      <c r="AL41" s="194">
        <f t="shared" si="109"/>
        <v>0</v>
      </c>
      <c r="AM41" s="194">
        <f t="shared" si="109"/>
        <v>0</v>
      </c>
      <c r="AN41" s="194">
        <f t="shared" si="109"/>
        <v>0</v>
      </c>
      <c r="AO41" s="195">
        <f>SUM(AC41:AN41)</f>
        <v>0</v>
      </c>
      <c r="AP41" s="194">
        <f aca="true" t="shared" si="110" ref="AP41:BA41">$B45-AP40</f>
        <v>0</v>
      </c>
      <c r="AQ41" s="194">
        <f t="shared" si="110"/>
        <v>0</v>
      </c>
      <c r="AR41" s="194">
        <f t="shared" si="110"/>
        <v>0</v>
      </c>
      <c r="AS41" s="194">
        <f t="shared" si="110"/>
        <v>0</v>
      </c>
      <c r="AT41" s="194">
        <f t="shared" si="110"/>
        <v>0</v>
      </c>
      <c r="AU41" s="194">
        <f t="shared" si="110"/>
        <v>0</v>
      </c>
      <c r="AV41" s="194">
        <f t="shared" si="110"/>
        <v>0</v>
      </c>
      <c r="AW41" s="194">
        <f t="shared" si="110"/>
        <v>0</v>
      </c>
      <c r="AX41" s="194">
        <f t="shared" si="110"/>
        <v>0</v>
      </c>
      <c r="AY41" s="194">
        <f t="shared" si="110"/>
        <v>0</v>
      </c>
      <c r="AZ41" s="194">
        <f t="shared" si="110"/>
        <v>0</v>
      </c>
      <c r="BA41" s="194">
        <f t="shared" si="110"/>
        <v>0</v>
      </c>
      <c r="BB41" s="195">
        <f>SUM(AP41:BA41)</f>
        <v>0</v>
      </c>
      <c r="BC41" s="194">
        <f aca="true" t="shared" si="111" ref="BC41:BN41">$B45-BC40</f>
        <v>0</v>
      </c>
      <c r="BD41" s="194">
        <f t="shared" si="111"/>
        <v>0</v>
      </c>
      <c r="BE41" s="194">
        <f t="shared" si="111"/>
        <v>0</v>
      </c>
      <c r="BF41" s="194">
        <f t="shared" si="111"/>
        <v>0</v>
      </c>
      <c r="BG41" s="194">
        <f t="shared" si="111"/>
        <v>0</v>
      </c>
      <c r="BH41" s="194">
        <f t="shared" si="111"/>
        <v>0</v>
      </c>
      <c r="BI41" s="194">
        <f t="shared" si="111"/>
        <v>0</v>
      </c>
      <c r="BJ41" s="194">
        <f t="shared" si="111"/>
        <v>0</v>
      </c>
      <c r="BK41" s="194">
        <f t="shared" si="111"/>
        <v>0</v>
      </c>
      <c r="BL41" s="194">
        <f t="shared" si="111"/>
        <v>0</v>
      </c>
      <c r="BM41" s="194">
        <f t="shared" si="111"/>
        <v>0</v>
      </c>
      <c r="BN41" s="194">
        <f t="shared" si="111"/>
        <v>0</v>
      </c>
      <c r="BO41" s="195">
        <f>SUM(BC41:BN41)</f>
        <v>0</v>
      </c>
      <c r="BP41" s="194">
        <f aca="true" t="shared" si="112" ref="BP41:CA41">$B45-BP40</f>
        <v>0</v>
      </c>
      <c r="BQ41" s="194">
        <f t="shared" si="112"/>
        <v>0</v>
      </c>
      <c r="BR41" s="194">
        <f t="shared" si="112"/>
        <v>0</v>
      </c>
      <c r="BS41" s="194">
        <f t="shared" si="112"/>
        <v>0</v>
      </c>
      <c r="BT41" s="194">
        <f t="shared" si="112"/>
        <v>0</v>
      </c>
      <c r="BU41" s="194">
        <f t="shared" si="112"/>
        <v>0</v>
      </c>
      <c r="BV41" s="194">
        <f t="shared" si="112"/>
        <v>0</v>
      </c>
      <c r="BW41" s="194">
        <f t="shared" si="112"/>
        <v>0</v>
      </c>
      <c r="BX41" s="194">
        <f t="shared" si="112"/>
        <v>0</v>
      </c>
      <c r="BY41" s="194">
        <f t="shared" si="112"/>
        <v>0</v>
      </c>
      <c r="BZ41" s="194">
        <f t="shared" si="112"/>
        <v>0</v>
      </c>
      <c r="CA41" s="194">
        <f t="shared" si="112"/>
        <v>0</v>
      </c>
      <c r="CB41" s="195">
        <f>SUM(BP41:CA41)</f>
        <v>0</v>
      </c>
      <c r="CC41" s="194">
        <f aca="true" t="shared" si="113" ref="CC41:CN41">$B45-CC40</f>
        <v>0</v>
      </c>
      <c r="CD41" s="194">
        <f t="shared" si="113"/>
        <v>0</v>
      </c>
      <c r="CE41" s="194">
        <f t="shared" si="113"/>
        <v>0</v>
      </c>
      <c r="CF41" s="194">
        <f t="shared" si="113"/>
        <v>0</v>
      </c>
      <c r="CG41" s="194">
        <f t="shared" si="113"/>
        <v>0</v>
      </c>
      <c r="CH41" s="194">
        <f t="shared" si="113"/>
        <v>0</v>
      </c>
      <c r="CI41" s="194">
        <f t="shared" si="113"/>
        <v>0</v>
      </c>
      <c r="CJ41" s="194">
        <f t="shared" si="113"/>
        <v>0</v>
      </c>
      <c r="CK41" s="194">
        <f t="shared" si="113"/>
        <v>0</v>
      </c>
      <c r="CL41" s="194">
        <f t="shared" si="113"/>
        <v>0</v>
      </c>
      <c r="CM41" s="194">
        <f t="shared" si="113"/>
        <v>0</v>
      </c>
      <c r="CN41" s="194">
        <f t="shared" si="113"/>
        <v>0</v>
      </c>
      <c r="CO41" s="195">
        <f>SUM(CC41:CN41)</f>
        <v>0</v>
      </c>
      <c r="CP41" s="194">
        <f aca="true" t="shared" si="114" ref="CP41:CW41">$B45-CP40</f>
        <v>0</v>
      </c>
      <c r="CQ41" s="194">
        <f t="shared" si="114"/>
        <v>0</v>
      </c>
      <c r="CR41" s="194">
        <f t="shared" si="114"/>
        <v>0</v>
      </c>
      <c r="CS41" s="194">
        <f t="shared" si="114"/>
        <v>0</v>
      </c>
      <c r="CT41" s="194">
        <f t="shared" si="114"/>
        <v>0</v>
      </c>
      <c r="CU41" s="194">
        <f t="shared" si="114"/>
        <v>0</v>
      </c>
      <c r="CV41" s="194">
        <f t="shared" si="114"/>
        <v>0</v>
      </c>
      <c r="CW41" s="194">
        <f t="shared" si="114"/>
        <v>0</v>
      </c>
      <c r="CX41" s="194"/>
      <c r="CY41" s="194"/>
      <c r="CZ41" s="194"/>
      <c r="DA41" s="194"/>
      <c r="DB41" s="195">
        <f>SUM(CP41:DA41)</f>
        <v>0</v>
      </c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5">
        <f>SUM(DC41:DN41)</f>
        <v>0</v>
      </c>
    </row>
    <row r="42" spans="1:119" ht="12.75" hidden="1">
      <c r="A42" s="188" t="s">
        <v>15</v>
      </c>
      <c r="B42" s="193">
        <f>O42+AB42+AO42+BB42+BO42+CB42+CO42+DB42+DO42</f>
        <v>0</v>
      </c>
      <c r="C42" s="194"/>
      <c r="D42" s="194"/>
      <c r="E42" s="194"/>
      <c r="F42" s="194"/>
      <c r="G42" s="194"/>
      <c r="H42" s="194"/>
      <c r="I42" s="194"/>
      <c r="J42" s="194"/>
      <c r="K42" s="199"/>
      <c r="L42" s="199"/>
      <c r="M42" s="199"/>
      <c r="N42" s="199"/>
      <c r="O42" s="195">
        <f>SUM(C42:N42)</f>
        <v>0</v>
      </c>
      <c r="P42" s="199"/>
      <c r="Q42" s="199"/>
      <c r="R42" s="199"/>
      <c r="S42" s="199"/>
      <c r="T42" s="199"/>
      <c r="U42" s="194">
        <f>U40</f>
        <v>0</v>
      </c>
      <c r="V42" s="194">
        <f aca="true" t="shared" si="115" ref="V42:AA42">V40</f>
        <v>0</v>
      </c>
      <c r="W42" s="194">
        <f t="shared" si="115"/>
        <v>0</v>
      </c>
      <c r="X42" s="194">
        <f t="shared" si="115"/>
        <v>0</v>
      </c>
      <c r="Y42" s="194">
        <f t="shared" si="115"/>
        <v>0</v>
      </c>
      <c r="Z42" s="194">
        <f t="shared" si="115"/>
        <v>0</v>
      </c>
      <c r="AA42" s="194">
        <f t="shared" si="115"/>
        <v>0</v>
      </c>
      <c r="AB42" s="195">
        <f>SUM(P42:AA42)</f>
        <v>0</v>
      </c>
      <c r="AC42" s="194">
        <f aca="true" t="shared" si="116" ref="AC42:AK42">AC40</f>
        <v>0</v>
      </c>
      <c r="AD42" s="194">
        <f t="shared" si="116"/>
        <v>0</v>
      </c>
      <c r="AE42" s="194">
        <f t="shared" si="116"/>
        <v>0</v>
      </c>
      <c r="AF42" s="194">
        <f t="shared" si="116"/>
        <v>0</v>
      </c>
      <c r="AG42" s="194">
        <f t="shared" si="116"/>
        <v>0</v>
      </c>
      <c r="AH42" s="194">
        <f t="shared" si="116"/>
        <v>0</v>
      </c>
      <c r="AI42" s="194">
        <f t="shared" si="116"/>
        <v>0</v>
      </c>
      <c r="AJ42" s="194">
        <f t="shared" si="116"/>
        <v>0</v>
      </c>
      <c r="AK42" s="194">
        <f t="shared" si="116"/>
        <v>0</v>
      </c>
      <c r="AL42" s="194">
        <f>AL40</f>
        <v>0</v>
      </c>
      <c r="AM42" s="194">
        <f>AM40</f>
        <v>0</v>
      </c>
      <c r="AN42" s="194">
        <f>AN40</f>
        <v>0</v>
      </c>
      <c r="AO42" s="195">
        <f>SUM(AC42:AN42)</f>
        <v>0</v>
      </c>
      <c r="AP42" s="194">
        <f aca="true" t="shared" si="117" ref="AP42:BA42">AP40</f>
        <v>0</v>
      </c>
      <c r="AQ42" s="194">
        <f t="shared" si="117"/>
        <v>0</v>
      </c>
      <c r="AR42" s="194">
        <f t="shared" si="117"/>
        <v>0</v>
      </c>
      <c r="AS42" s="194">
        <f t="shared" si="117"/>
        <v>0</v>
      </c>
      <c r="AT42" s="194">
        <f t="shared" si="117"/>
        <v>0</v>
      </c>
      <c r="AU42" s="194">
        <f t="shared" si="117"/>
        <v>0</v>
      </c>
      <c r="AV42" s="194">
        <f t="shared" si="117"/>
        <v>0</v>
      </c>
      <c r="AW42" s="194">
        <f t="shared" si="117"/>
        <v>0</v>
      </c>
      <c r="AX42" s="194">
        <f t="shared" si="117"/>
        <v>0</v>
      </c>
      <c r="AY42" s="194">
        <f t="shared" si="117"/>
        <v>0</v>
      </c>
      <c r="AZ42" s="194">
        <f t="shared" si="117"/>
        <v>0</v>
      </c>
      <c r="BA42" s="194">
        <f t="shared" si="117"/>
        <v>0</v>
      </c>
      <c r="BB42" s="195">
        <f>SUM(AP42:BA42)</f>
        <v>0</v>
      </c>
      <c r="BC42" s="194">
        <f aca="true" t="shared" si="118" ref="BC42:BN42">BC40</f>
        <v>0</v>
      </c>
      <c r="BD42" s="194">
        <f t="shared" si="118"/>
        <v>0</v>
      </c>
      <c r="BE42" s="194">
        <f t="shared" si="118"/>
        <v>0</v>
      </c>
      <c r="BF42" s="194">
        <f t="shared" si="118"/>
        <v>0</v>
      </c>
      <c r="BG42" s="194">
        <f t="shared" si="118"/>
        <v>0</v>
      </c>
      <c r="BH42" s="194">
        <f t="shared" si="118"/>
        <v>0</v>
      </c>
      <c r="BI42" s="194">
        <f t="shared" si="118"/>
        <v>0</v>
      </c>
      <c r="BJ42" s="194">
        <f t="shared" si="118"/>
        <v>0</v>
      </c>
      <c r="BK42" s="194">
        <f t="shared" si="118"/>
        <v>0</v>
      </c>
      <c r="BL42" s="194">
        <f t="shared" si="118"/>
        <v>0</v>
      </c>
      <c r="BM42" s="194">
        <f t="shared" si="118"/>
        <v>0</v>
      </c>
      <c r="BN42" s="194">
        <f t="shared" si="118"/>
        <v>0</v>
      </c>
      <c r="BO42" s="195">
        <f>SUM(BC42:BN42)</f>
        <v>0</v>
      </c>
      <c r="BP42" s="194">
        <f aca="true" t="shared" si="119" ref="BP42:CA42">BP40</f>
        <v>0</v>
      </c>
      <c r="BQ42" s="194">
        <f t="shared" si="119"/>
        <v>0</v>
      </c>
      <c r="BR42" s="194">
        <f t="shared" si="119"/>
        <v>0</v>
      </c>
      <c r="BS42" s="194">
        <f t="shared" si="119"/>
        <v>0</v>
      </c>
      <c r="BT42" s="194">
        <f t="shared" si="119"/>
        <v>0</v>
      </c>
      <c r="BU42" s="194">
        <f t="shared" si="119"/>
        <v>0</v>
      </c>
      <c r="BV42" s="194">
        <f t="shared" si="119"/>
        <v>0</v>
      </c>
      <c r="BW42" s="194">
        <f t="shared" si="119"/>
        <v>0</v>
      </c>
      <c r="BX42" s="194">
        <f t="shared" si="119"/>
        <v>0</v>
      </c>
      <c r="BY42" s="194">
        <f t="shared" si="119"/>
        <v>0</v>
      </c>
      <c r="BZ42" s="194">
        <f t="shared" si="119"/>
        <v>0</v>
      </c>
      <c r="CA42" s="194">
        <f t="shared" si="119"/>
        <v>0</v>
      </c>
      <c r="CB42" s="195">
        <f>SUM(BP42:CA42)</f>
        <v>0</v>
      </c>
      <c r="CC42" s="194">
        <f aca="true" t="shared" si="120" ref="CC42:CN42">CC40</f>
        <v>0</v>
      </c>
      <c r="CD42" s="194">
        <f t="shared" si="120"/>
        <v>0</v>
      </c>
      <c r="CE42" s="194">
        <f t="shared" si="120"/>
        <v>0</v>
      </c>
      <c r="CF42" s="194">
        <f t="shared" si="120"/>
        <v>0</v>
      </c>
      <c r="CG42" s="194">
        <f t="shared" si="120"/>
        <v>0</v>
      </c>
      <c r="CH42" s="194">
        <f t="shared" si="120"/>
        <v>0</v>
      </c>
      <c r="CI42" s="194">
        <f t="shared" si="120"/>
        <v>0</v>
      </c>
      <c r="CJ42" s="194">
        <f t="shared" si="120"/>
        <v>0</v>
      </c>
      <c r="CK42" s="194">
        <f t="shared" si="120"/>
        <v>0</v>
      </c>
      <c r="CL42" s="194">
        <f t="shared" si="120"/>
        <v>0</v>
      </c>
      <c r="CM42" s="194">
        <f t="shared" si="120"/>
        <v>0</v>
      </c>
      <c r="CN42" s="194">
        <f t="shared" si="120"/>
        <v>0</v>
      </c>
      <c r="CO42" s="195">
        <f>SUM(CC42:CN42)</f>
        <v>0</v>
      </c>
      <c r="CP42" s="194">
        <f aca="true" t="shared" si="121" ref="CP42:DA42">CP40</f>
        <v>0</v>
      </c>
      <c r="CQ42" s="194">
        <f t="shared" si="121"/>
        <v>0</v>
      </c>
      <c r="CR42" s="194">
        <f t="shared" si="121"/>
        <v>0</v>
      </c>
      <c r="CS42" s="194">
        <f t="shared" si="121"/>
        <v>0</v>
      </c>
      <c r="CT42" s="194">
        <f t="shared" si="121"/>
        <v>0</v>
      </c>
      <c r="CU42" s="194">
        <f t="shared" si="121"/>
        <v>0</v>
      </c>
      <c r="CV42" s="194">
        <f t="shared" si="121"/>
        <v>0</v>
      </c>
      <c r="CW42" s="194">
        <f t="shared" si="121"/>
        <v>0</v>
      </c>
      <c r="CX42" s="194">
        <f t="shared" si="121"/>
        <v>0</v>
      </c>
      <c r="CY42" s="194">
        <f t="shared" si="121"/>
        <v>0</v>
      </c>
      <c r="CZ42" s="194">
        <f t="shared" si="121"/>
        <v>0</v>
      </c>
      <c r="DA42" s="194">
        <f t="shared" si="121"/>
        <v>0</v>
      </c>
      <c r="DB42" s="195">
        <f>SUM(CP42:DA42)</f>
        <v>0</v>
      </c>
      <c r="DC42" s="194">
        <f aca="true" t="shared" si="122" ref="DC42:DN42">DC40</f>
        <v>0</v>
      </c>
      <c r="DD42" s="194">
        <f t="shared" si="122"/>
        <v>0</v>
      </c>
      <c r="DE42" s="194">
        <f t="shared" si="122"/>
        <v>0</v>
      </c>
      <c r="DF42" s="194">
        <f t="shared" si="122"/>
        <v>0</v>
      </c>
      <c r="DG42" s="194">
        <f t="shared" si="122"/>
        <v>0</v>
      </c>
      <c r="DH42" s="194">
        <f t="shared" si="122"/>
        <v>0</v>
      </c>
      <c r="DI42" s="194">
        <f t="shared" si="122"/>
        <v>0</v>
      </c>
      <c r="DJ42" s="194">
        <f t="shared" si="122"/>
        <v>0</v>
      </c>
      <c r="DK42" s="194">
        <f t="shared" si="122"/>
        <v>0</v>
      </c>
      <c r="DL42" s="194">
        <f t="shared" si="122"/>
        <v>0</v>
      </c>
      <c r="DM42" s="194">
        <f t="shared" si="122"/>
        <v>0</v>
      </c>
      <c r="DN42" s="194">
        <f t="shared" si="122"/>
        <v>0</v>
      </c>
      <c r="DO42" s="195">
        <f>SUM(DC42:DN42)</f>
        <v>0</v>
      </c>
    </row>
    <row r="43" spans="1:119" ht="12.75" hidden="1">
      <c r="A43" s="188" t="s">
        <v>16</v>
      </c>
      <c r="B43" s="193">
        <f>DO43</f>
        <v>0</v>
      </c>
      <c r="C43" s="194">
        <f>C38</f>
        <v>0</v>
      </c>
      <c r="D43" s="194">
        <f aca="true" t="shared" si="123" ref="D43:N43">C43+D38-D41+D39</f>
        <v>0</v>
      </c>
      <c r="E43" s="194">
        <f t="shared" si="123"/>
        <v>0</v>
      </c>
      <c r="F43" s="194">
        <f t="shared" si="123"/>
        <v>0</v>
      </c>
      <c r="G43" s="194">
        <f t="shared" si="123"/>
        <v>0</v>
      </c>
      <c r="H43" s="194">
        <f t="shared" si="123"/>
        <v>0</v>
      </c>
      <c r="I43" s="194">
        <f t="shared" si="123"/>
        <v>0</v>
      </c>
      <c r="J43" s="194">
        <f t="shared" si="123"/>
        <v>0</v>
      </c>
      <c r="K43" s="194">
        <f t="shared" si="123"/>
        <v>0</v>
      </c>
      <c r="L43" s="194">
        <f t="shared" si="123"/>
        <v>0</v>
      </c>
      <c r="M43" s="194">
        <f t="shared" si="123"/>
        <v>0</v>
      </c>
      <c r="N43" s="194">
        <f t="shared" si="123"/>
        <v>0</v>
      </c>
      <c r="O43" s="195">
        <f>N43</f>
        <v>0</v>
      </c>
      <c r="P43" s="194">
        <f aca="true" t="shared" si="124" ref="P43:AA43">O43+P38-P41+P39</f>
        <v>0</v>
      </c>
      <c r="Q43" s="194">
        <f t="shared" si="124"/>
        <v>0</v>
      </c>
      <c r="R43" s="194">
        <f t="shared" si="124"/>
        <v>0</v>
      </c>
      <c r="S43" s="194">
        <f t="shared" si="124"/>
        <v>0</v>
      </c>
      <c r="T43" s="194">
        <f t="shared" si="124"/>
        <v>0</v>
      </c>
      <c r="U43" s="194">
        <f t="shared" si="124"/>
        <v>0</v>
      </c>
      <c r="V43" s="194">
        <f t="shared" si="124"/>
        <v>0</v>
      </c>
      <c r="W43" s="194">
        <f t="shared" si="124"/>
        <v>0</v>
      </c>
      <c r="X43" s="194">
        <f t="shared" si="124"/>
        <v>0</v>
      </c>
      <c r="Y43" s="194">
        <f t="shared" si="124"/>
        <v>0</v>
      </c>
      <c r="Z43" s="194">
        <f t="shared" si="124"/>
        <v>0</v>
      </c>
      <c r="AA43" s="194">
        <f t="shared" si="124"/>
        <v>0</v>
      </c>
      <c r="AB43" s="195">
        <f>AA43</f>
        <v>0</v>
      </c>
      <c r="AC43" s="194">
        <f aca="true" t="shared" si="125" ref="AC43:AN43">AB43+AC38-AC41+AC39</f>
        <v>0</v>
      </c>
      <c r="AD43" s="194">
        <f t="shared" si="125"/>
        <v>0</v>
      </c>
      <c r="AE43" s="194">
        <f t="shared" si="125"/>
        <v>0</v>
      </c>
      <c r="AF43" s="194">
        <f t="shared" si="125"/>
        <v>0</v>
      </c>
      <c r="AG43" s="194">
        <f t="shared" si="125"/>
        <v>0</v>
      </c>
      <c r="AH43" s="194">
        <f t="shared" si="125"/>
        <v>0</v>
      </c>
      <c r="AI43" s="194">
        <f t="shared" si="125"/>
        <v>0</v>
      </c>
      <c r="AJ43" s="194">
        <f t="shared" si="125"/>
        <v>0</v>
      </c>
      <c r="AK43" s="194">
        <f t="shared" si="125"/>
        <v>0</v>
      </c>
      <c r="AL43" s="194">
        <f t="shared" si="125"/>
        <v>0</v>
      </c>
      <c r="AM43" s="194">
        <f t="shared" si="125"/>
        <v>0</v>
      </c>
      <c r="AN43" s="194">
        <f t="shared" si="125"/>
        <v>0</v>
      </c>
      <c r="AO43" s="195">
        <f>AN43</f>
        <v>0</v>
      </c>
      <c r="AP43" s="194">
        <f aca="true" t="shared" si="126" ref="AP43:BA43">AO43+AP38-AP41+AP39</f>
        <v>0</v>
      </c>
      <c r="AQ43" s="194">
        <f t="shared" si="126"/>
        <v>0</v>
      </c>
      <c r="AR43" s="194">
        <f t="shared" si="126"/>
        <v>0</v>
      </c>
      <c r="AS43" s="194">
        <f t="shared" si="126"/>
        <v>0</v>
      </c>
      <c r="AT43" s="194">
        <f t="shared" si="126"/>
        <v>0</v>
      </c>
      <c r="AU43" s="194">
        <f t="shared" si="126"/>
        <v>0</v>
      </c>
      <c r="AV43" s="194">
        <f t="shared" si="126"/>
        <v>0</v>
      </c>
      <c r="AW43" s="194">
        <f t="shared" si="126"/>
        <v>0</v>
      </c>
      <c r="AX43" s="194">
        <f t="shared" si="126"/>
        <v>0</v>
      </c>
      <c r="AY43" s="194">
        <f t="shared" si="126"/>
        <v>0</v>
      </c>
      <c r="AZ43" s="194">
        <f t="shared" si="126"/>
        <v>0</v>
      </c>
      <c r="BA43" s="194">
        <f t="shared" si="126"/>
        <v>0</v>
      </c>
      <c r="BB43" s="195">
        <f>BA43</f>
        <v>0</v>
      </c>
      <c r="BC43" s="194">
        <f aca="true" t="shared" si="127" ref="BC43:BN43">BB43+BC38-BC41+BC39</f>
        <v>0</v>
      </c>
      <c r="BD43" s="194">
        <f t="shared" si="127"/>
        <v>0</v>
      </c>
      <c r="BE43" s="194">
        <f t="shared" si="127"/>
        <v>0</v>
      </c>
      <c r="BF43" s="194">
        <f t="shared" si="127"/>
        <v>0</v>
      </c>
      <c r="BG43" s="194">
        <f t="shared" si="127"/>
        <v>0</v>
      </c>
      <c r="BH43" s="194">
        <f t="shared" si="127"/>
        <v>0</v>
      </c>
      <c r="BI43" s="194">
        <f t="shared" si="127"/>
        <v>0</v>
      </c>
      <c r="BJ43" s="194">
        <f t="shared" si="127"/>
        <v>0</v>
      </c>
      <c r="BK43" s="194">
        <f t="shared" si="127"/>
        <v>0</v>
      </c>
      <c r="BL43" s="194">
        <f t="shared" si="127"/>
        <v>0</v>
      </c>
      <c r="BM43" s="194">
        <f t="shared" si="127"/>
        <v>0</v>
      </c>
      <c r="BN43" s="194">
        <f t="shared" si="127"/>
        <v>0</v>
      </c>
      <c r="BO43" s="195">
        <f>BN43</f>
        <v>0</v>
      </c>
      <c r="BP43" s="194">
        <f aca="true" t="shared" si="128" ref="BP43:CA43">BO43+BP38-BP41+BP39</f>
        <v>0</v>
      </c>
      <c r="BQ43" s="194">
        <f t="shared" si="128"/>
        <v>0</v>
      </c>
      <c r="BR43" s="194">
        <f t="shared" si="128"/>
        <v>0</v>
      </c>
      <c r="BS43" s="194">
        <f t="shared" si="128"/>
        <v>0</v>
      </c>
      <c r="BT43" s="194">
        <f t="shared" si="128"/>
        <v>0</v>
      </c>
      <c r="BU43" s="194">
        <f t="shared" si="128"/>
        <v>0</v>
      </c>
      <c r="BV43" s="194">
        <f t="shared" si="128"/>
        <v>0</v>
      </c>
      <c r="BW43" s="194">
        <f t="shared" si="128"/>
        <v>0</v>
      </c>
      <c r="BX43" s="194">
        <f t="shared" si="128"/>
        <v>0</v>
      </c>
      <c r="BY43" s="194">
        <f t="shared" si="128"/>
        <v>0</v>
      </c>
      <c r="BZ43" s="194">
        <f t="shared" si="128"/>
        <v>0</v>
      </c>
      <c r="CA43" s="194">
        <f t="shared" si="128"/>
        <v>0</v>
      </c>
      <c r="CB43" s="195">
        <f>CA43</f>
        <v>0</v>
      </c>
      <c r="CC43" s="194">
        <f aca="true" t="shared" si="129" ref="CC43:CN43">CB43+CC38-CC41+CC39</f>
        <v>0</v>
      </c>
      <c r="CD43" s="194">
        <f t="shared" si="129"/>
        <v>0</v>
      </c>
      <c r="CE43" s="194">
        <f t="shared" si="129"/>
        <v>0</v>
      </c>
      <c r="CF43" s="194">
        <f t="shared" si="129"/>
        <v>0</v>
      </c>
      <c r="CG43" s="194">
        <f t="shared" si="129"/>
        <v>0</v>
      </c>
      <c r="CH43" s="194">
        <f t="shared" si="129"/>
        <v>0</v>
      </c>
      <c r="CI43" s="194">
        <f t="shared" si="129"/>
        <v>0</v>
      </c>
      <c r="CJ43" s="194">
        <f t="shared" si="129"/>
        <v>0</v>
      </c>
      <c r="CK43" s="194">
        <f t="shared" si="129"/>
        <v>0</v>
      </c>
      <c r="CL43" s="194">
        <f t="shared" si="129"/>
        <v>0</v>
      </c>
      <c r="CM43" s="194">
        <f t="shared" si="129"/>
        <v>0</v>
      </c>
      <c r="CN43" s="194">
        <f t="shared" si="129"/>
        <v>0</v>
      </c>
      <c r="CO43" s="195">
        <f>CN43</f>
        <v>0</v>
      </c>
      <c r="CP43" s="194">
        <f aca="true" t="shared" si="130" ref="CP43:DA43">CO43+CP38-CP41+CP39</f>
        <v>0</v>
      </c>
      <c r="CQ43" s="194">
        <f t="shared" si="130"/>
        <v>0</v>
      </c>
      <c r="CR43" s="194">
        <f t="shared" si="130"/>
        <v>0</v>
      </c>
      <c r="CS43" s="194">
        <f t="shared" si="130"/>
        <v>0</v>
      </c>
      <c r="CT43" s="194">
        <f t="shared" si="130"/>
        <v>0</v>
      </c>
      <c r="CU43" s="194">
        <f t="shared" si="130"/>
        <v>0</v>
      </c>
      <c r="CV43" s="194">
        <f t="shared" si="130"/>
        <v>0</v>
      </c>
      <c r="CW43" s="194">
        <f t="shared" si="130"/>
        <v>0</v>
      </c>
      <c r="CX43" s="194">
        <f t="shared" si="130"/>
        <v>0</v>
      </c>
      <c r="CY43" s="194">
        <f t="shared" si="130"/>
        <v>0</v>
      </c>
      <c r="CZ43" s="194">
        <f t="shared" si="130"/>
        <v>0</v>
      </c>
      <c r="DA43" s="194">
        <f t="shared" si="130"/>
        <v>0</v>
      </c>
      <c r="DB43" s="195">
        <f>DA43</f>
        <v>0</v>
      </c>
      <c r="DC43" s="194">
        <f aca="true" t="shared" si="131" ref="DC43:DN43">DB43+DC38-DC41+DC39</f>
        <v>0</v>
      </c>
      <c r="DD43" s="194">
        <f t="shared" si="131"/>
        <v>0</v>
      </c>
      <c r="DE43" s="194">
        <f t="shared" si="131"/>
        <v>0</v>
      </c>
      <c r="DF43" s="194">
        <f t="shared" si="131"/>
        <v>0</v>
      </c>
      <c r="DG43" s="194">
        <f t="shared" si="131"/>
        <v>0</v>
      </c>
      <c r="DH43" s="194">
        <f t="shared" si="131"/>
        <v>0</v>
      </c>
      <c r="DI43" s="194">
        <f t="shared" si="131"/>
        <v>0</v>
      </c>
      <c r="DJ43" s="194">
        <f t="shared" si="131"/>
        <v>0</v>
      </c>
      <c r="DK43" s="194">
        <f t="shared" si="131"/>
        <v>0</v>
      </c>
      <c r="DL43" s="194">
        <f t="shared" si="131"/>
        <v>0</v>
      </c>
      <c r="DM43" s="194">
        <f t="shared" si="131"/>
        <v>0</v>
      </c>
      <c r="DN43" s="194">
        <f t="shared" si="131"/>
        <v>0</v>
      </c>
      <c r="DO43" s="195">
        <f>DN43</f>
        <v>0</v>
      </c>
    </row>
    <row r="44" spans="1:119" ht="12.75" hidden="1">
      <c r="A44" s="177" t="s">
        <v>78</v>
      </c>
      <c r="B44" s="284">
        <f>Исх!$C$46*12-Исх!$C$47</f>
        <v>75</v>
      </c>
      <c r="CP44" s="180"/>
      <c r="DB44" s="177"/>
      <c r="DO44" s="177"/>
    </row>
    <row r="45" spans="1:119" ht="12.75" hidden="1">
      <c r="A45" s="287" t="s">
        <v>253</v>
      </c>
      <c r="B45" s="288">
        <f>$T$43*$B$20/12/((1-(1+$B$20/12)^-$B44))</f>
        <v>0</v>
      </c>
      <c r="DB45" s="177"/>
      <c r="DO45" s="177"/>
    </row>
    <row r="46" spans="1:119" ht="6" customHeight="1" hidden="1">
      <c r="A46" s="285"/>
      <c r="B46" s="282"/>
      <c r="DB46" s="177"/>
      <c r="DO46" s="177"/>
    </row>
    <row r="47" spans="1:119" ht="12.75" hidden="1">
      <c r="A47" s="270" t="s">
        <v>241</v>
      </c>
      <c r="DB47" s="177"/>
      <c r="DO47" s="177"/>
    </row>
    <row r="48" spans="1:119" ht="12.75" hidden="1" outlineLevel="1">
      <c r="A48" s="271">
        <f>B38+B39-B41</f>
        <v>0</v>
      </c>
      <c r="DB48" s="177"/>
      <c r="DO48" s="177"/>
    </row>
    <row r="49" spans="1:119" ht="12.75" hidden="1" outlineLevel="1">
      <c r="A49" s="271">
        <f>B40-B39-B42</f>
        <v>0</v>
      </c>
      <c r="DB49" s="177"/>
      <c r="DO49" s="177"/>
    </row>
    <row r="50" ht="12.75" hidden="1" collapsed="1"/>
    <row r="51" spans="1:119" ht="12.75" hidden="1">
      <c r="A51" s="296" t="s">
        <v>271</v>
      </c>
      <c r="B51" s="297"/>
      <c r="DB51" s="177"/>
      <c r="DO51" s="177"/>
    </row>
    <row r="52" spans="1:119" ht="15.75" customHeight="1" hidden="1">
      <c r="A52" s="186" t="s">
        <v>11</v>
      </c>
      <c r="B52" s="286">
        <f>Исх!$C$45</f>
        <v>0.07</v>
      </c>
      <c r="C52" s="367">
        <v>2013</v>
      </c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>
        <v>2014</v>
      </c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>
        <v>2015</v>
      </c>
      <c r="AD52" s="367"/>
      <c r="AE52" s="367"/>
      <c r="AF52" s="367"/>
      <c r="AG52" s="367"/>
      <c r="AH52" s="367"/>
      <c r="AI52" s="367"/>
      <c r="AJ52" s="367"/>
      <c r="AK52" s="367"/>
      <c r="AL52" s="367"/>
      <c r="AM52" s="367"/>
      <c r="AN52" s="367"/>
      <c r="AO52" s="367"/>
      <c r="AP52" s="367">
        <v>2016</v>
      </c>
      <c r="AQ52" s="367"/>
      <c r="AR52" s="367"/>
      <c r="AS52" s="367"/>
      <c r="AT52" s="367"/>
      <c r="AU52" s="367"/>
      <c r="AV52" s="367"/>
      <c r="AW52" s="367"/>
      <c r="AX52" s="367"/>
      <c r="AY52" s="367"/>
      <c r="AZ52" s="367"/>
      <c r="BA52" s="367"/>
      <c r="BB52" s="367"/>
      <c r="BC52" s="367">
        <v>2017</v>
      </c>
      <c r="BD52" s="367"/>
      <c r="BE52" s="367"/>
      <c r="BF52" s="367"/>
      <c r="BG52" s="367"/>
      <c r="BH52" s="367"/>
      <c r="BI52" s="367"/>
      <c r="BJ52" s="367"/>
      <c r="BK52" s="367"/>
      <c r="BL52" s="367"/>
      <c r="BM52" s="367"/>
      <c r="BN52" s="367"/>
      <c r="BO52" s="367"/>
      <c r="BP52" s="367">
        <v>2018</v>
      </c>
      <c r="BQ52" s="367"/>
      <c r="BR52" s="367"/>
      <c r="BS52" s="367"/>
      <c r="BT52" s="367"/>
      <c r="BU52" s="367"/>
      <c r="BV52" s="367"/>
      <c r="BW52" s="367"/>
      <c r="BX52" s="367"/>
      <c r="BY52" s="367"/>
      <c r="BZ52" s="367"/>
      <c r="CA52" s="367"/>
      <c r="CB52" s="367"/>
      <c r="CC52" s="367">
        <v>2019</v>
      </c>
      <c r="CD52" s="367"/>
      <c r="CE52" s="367"/>
      <c r="CF52" s="367"/>
      <c r="CG52" s="367"/>
      <c r="CH52" s="367"/>
      <c r="CI52" s="367"/>
      <c r="CJ52" s="367"/>
      <c r="CK52" s="367"/>
      <c r="CL52" s="367"/>
      <c r="CM52" s="367"/>
      <c r="CN52" s="367"/>
      <c r="CO52" s="367"/>
      <c r="CP52" s="367">
        <v>2020</v>
      </c>
      <c r="CQ52" s="367"/>
      <c r="CR52" s="367"/>
      <c r="CS52" s="367"/>
      <c r="CT52" s="367"/>
      <c r="CU52" s="367"/>
      <c r="CV52" s="367"/>
      <c r="CW52" s="367"/>
      <c r="CX52" s="367"/>
      <c r="CY52" s="367"/>
      <c r="CZ52" s="367"/>
      <c r="DA52" s="367"/>
      <c r="DB52" s="367"/>
      <c r="DC52" s="367">
        <v>2021</v>
      </c>
      <c r="DD52" s="367"/>
      <c r="DE52" s="367"/>
      <c r="DF52" s="367"/>
      <c r="DG52" s="367"/>
      <c r="DH52" s="367"/>
      <c r="DI52" s="367"/>
      <c r="DJ52" s="367"/>
      <c r="DK52" s="367"/>
      <c r="DL52" s="367"/>
      <c r="DM52" s="367"/>
      <c r="DN52" s="367"/>
      <c r="DO52" s="367"/>
    </row>
    <row r="53" spans="1:119" s="192" customFormat="1" ht="15" customHeight="1" hidden="1">
      <c r="A53" s="188" t="s">
        <v>9</v>
      </c>
      <c r="B53" s="189" t="s">
        <v>89</v>
      </c>
      <c r="C53" s="190">
        <v>1</v>
      </c>
      <c r="D53" s="190">
        <v>2</v>
      </c>
      <c r="E53" s="190">
        <f aca="true" t="shared" si="132" ref="E53:N53">D53+1</f>
        <v>3</v>
      </c>
      <c r="F53" s="190">
        <f t="shared" si="132"/>
        <v>4</v>
      </c>
      <c r="G53" s="190">
        <f t="shared" si="132"/>
        <v>5</v>
      </c>
      <c r="H53" s="190">
        <f t="shared" si="132"/>
        <v>6</v>
      </c>
      <c r="I53" s="190">
        <f t="shared" si="132"/>
        <v>7</v>
      </c>
      <c r="J53" s="190">
        <f t="shared" si="132"/>
        <v>8</v>
      </c>
      <c r="K53" s="190">
        <f t="shared" si="132"/>
        <v>9</v>
      </c>
      <c r="L53" s="190">
        <f t="shared" si="132"/>
        <v>10</v>
      </c>
      <c r="M53" s="190">
        <f t="shared" si="132"/>
        <v>11</v>
      </c>
      <c r="N53" s="190">
        <f t="shared" si="132"/>
        <v>12</v>
      </c>
      <c r="O53" s="191" t="str">
        <f>O37</f>
        <v>Итого</v>
      </c>
      <c r="P53" s="190">
        <v>1</v>
      </c>
      <c r="Q53" s="190">
        <v>2</v>
      </c>
      <c r="R53" s="190">
        <f aca="true" t="shared" si="133" ref="R53:AA53">Q53+1</f>
        <v>3</v>
      </c>
      <c r="S53" s="190">
        <f t="shared" si="133"/>
        <v>4</v>
      </c>
      <c r="T53" s="190">
        <f t="shared" si="133"/>
        <v>5</v>
      </c>
      <c r="U53" s="190">
        <f t="shared" si="133"/>
        <v>6</v>
      </c>
      <c r="V53" s="190">
        <f t="shared" si="133"/>
        <v>7</v>
      </c>
      <c r="W53" s="190">
        <f t="shared" si="133"/>
        <v>8</v>
      </c>
      <c r="X53" s="190">
        <f t="shared" si="133"/>
        <v>9</v>
      </c>
      <c r="Y53" s="190">
        <f t="shared" si="133"/>
        <v>10</v>
      </c>
      <c r="Z53" s="190">
        <f t="shared" si="133"/>
        <v>11</v>
      </c>
      <c r="AA53" s="190">
        <f t="shared" si="133"/>
        <v>12</v>
      </c>
      <c r="AB53" s="191" t="str">
        <f>AB37</f>
        <v>Итого</v>
      </c>
      <c r="AC53" s="190">
        <v>1</v>
      </c>
      <c r="AD53" s="190">
        <v>2</v>
      </c>
      <c r="AE53" s="190">
        <f aca="true" t="shared" si="134" ref="AE53:AN53">AD53+1</f>
        <v>3</v>
      </c>
      <c r="AF53" s="190">
        <f t="shared" si="134"/>
        <v>4</v>
      </c>
      <c r="AG53" s="190">
        <f t="shared" si="134"/>
        <v>5</v>
      </c>
      <c r="AH53" s="190">
        <f t="shared" si="134"/>
        <v>6</v>
      </c>
      <c r="AI53" s="190">
        <f t="shared" si="134"/>
        <v>7</v>
      </c>
      <c r="AJ53" s="190">
        <f t="shared" si="134"/>
        <v>8</v>
      </c>
      <c r="AK53" s="190">
        <f t="shared" si="134"/>
        <v>9</v>
      </c>
      <c r="AL53" s="190">
        <f t="shared" si="134"/>
        <v>10</v>
      </c>
      <c r="AM53" s="190">
        <f t="shared" si="134"/>
        <v>11</v>
      </c>
      <c r="AN53" s="190">
        <f t="shared" si="134"/>
        <v>12</v>
      </c>
      <c r="AO53" s="191" t="str">
        <f>AO37</f>
        <v>Итого</v>
      </c>
      <c r="AP53" s="190">
        <v>1</v>
      </c>
      <c r="AQ53" s="190">
        <v>2</v>
      </c>
      <c r="AR53" s="190">
        <f aca="true" t="shared" si="135" ref="AR53:BA53">AQ53+1</f>
        <v>3</v>
      </c>
      <c r="AS53" s="190">
        <f t="shared" si="135"/>
        <v>4</v>
      </c>
      <c r="AT53" s="190">
        <f t="shared" si="135"/>
        <v>5</v>
      </c>
      <c r="AU53" s="190">
        <f t="shared" si="135"/>
        <v>6</v>
      </c>
      <c r="AV53" s="190">
        <f t="shared" si="135"/>
        <v>7</v>
      </c>
      <c r="AW53" s="190">
        <f t="shared" si="135"/>
        <v>8</v>
      </c>
      <c r="AX53" s="190">
        <f t="shared" si="135"/>
        <v>9</v>
      </c>
      <c r="AY53" s="190">
        <f t="shared" si="135"/>
        <v>10</v>
      </c>
      <c r="AZ53" s="190">
        <f t="shared" si="135"/>
        <v>11</v>
      </c>
      <c r="BA53" s="190">
        <f t="shared" si="135"/>
        <v>12</v>
      </c>
      <c r="BB53" s="191" t="str">
        <f>BB37</f>
        <v>Итого</v>
      </c>
      <c r="BC53" s="190">
        <v>1</v>
      </c>
      <c r="BD53" s="190">
        <v>2</v>
      </c>
      <c r="BE53" s="190">
        <f aca="true" t="shared" si="136" ref="BE53:BN53">BD53+1</f>
        <v>3</v>
      </c>
      <c r="BF53" s="190">
        <f t="shared" si="136"/>
        <v>4</v>
      </c>
      <c r="BG53" s="190">
        <f t="shared" si="136"/>
        <v>5</v>
      </c>
      <c r="BH53" s="190">
        <f t="shared" si="136"/>
        <v>6</v>
      </c>
      <c r="BI53" s="190">
        <f t="shared" si="136"/>
        <v>7</v>
      </c>
      <c r="BJ53" s="190">
        <f t="shared" si="136"/>
        <v>8</v>
      </c>
      <c r="BK53" s="190">
        <f t="shared" si="136"/>
        <v>9</v>
      </c>
      <c r="BL53" s="190">
        <f t="shared" si="136"/>
        <v>10</v>
      </c>
      <c r="BM53" s="190">
        <f t="shared" si="136"/>
        <v>11</v>
      </c>
      <c r="BN53" s="190">
        <f t="shared" si="136"/>
        <v>12</v>
      </c>
      <c r="BO53" s="191" t="str">
        <f>BO37</f>
        <v>Итого</v>
      </c>
      <c r="BP53" s="190">
        <v>1</v>
      </c>
      <c r="BQ53" s="190">
        <v>2</v>
      </c>
      <c r="BR53" s="190">
        <f aca="true" t="shared" si="137" ref="BR53:CA53">BQ53+1</f>
        <v>3</v>
      </c>
      <c r="BS53" s="190">
        <f t="shared" si="137"/>
        <v>4</v>
      </c>
      <c r="BT53" s="190">
        <f t="shared" si="137"/>
        <v>5</v>
      </c>
      <c r="BU53" s="190">
        <f t="shared" si="137"/>
        <v>6</v>
      </c>
      <c r="BV53" s="190">
        <f t="shared" si="137"/>
        <v>7</v>
      </c>
      <c r="BW53" s="190">
        <f t="shared" si="137"/>
        <v>8</v>
      </c>
      <c r="BX53" s="190">
        <f t="shared" si="137"/>
        <v>9</v>
      </c>
      <c r="BY53" s="190">
        <f t="shared" si="137"/>
        <v>10</v>
      </c>
      <c r="BZ53" s="190">
        <f t="shared" si="137"/>
        <v>11</v>
      </c>
      <c r="CA53" s="190">
        <f t="shared" si="137"/>
        <v>12</v>
      </c>
      <c r="CB53" s="191" t="str">
        <f>CB37</f>
        <v>Итого</v>
      </c>
      <c r="CC53" s="190">
        <v>1</v>
      </c>
      <c r="CD53" s="190">
        <v>2</v>
      </c>
      <c r="CE53" s="190">
        <f aca="true" t="shared" si="138" ref="CE53:CN53">CD53+1</f>
        <v>3</v>
      </c>
      <c r="CF53" s="190">
        <f t="shared" si="138"/>
        <v>4</v>
      </c>
      <c r="CG53" s="190">
        <f t="shared" si="138"/>
        <v>5</v>
      </c>
      <c r="CH53" s="190">
        <f t="shared" si="138"/>
        <v>6</v>
      </c>
      <c r="CI53" s="190">
        <f t="shared" si="138"/>
        <v>7</v>
      </c>
      <c r="CJ53" s="190">
        <f t="shared" si="138"/>
        <v>8</v>
      </c>
      <c r="CK53" s="190">
        <f t="shared" si="138"/>
        <v>9</v>
      </c>
      <c r="CL53" s="190">
        <f t="shared" si="138"/>
        <v>10</v>
      </c>
      <c r="CM53" s="190">
        <f t="shared" si="138"/>
        <v>11</v>
      </c>
      <c r="CN53" s="190">
        <f t="shared" si="138"/>
        <v>12</v>
      </c>
      <c r="CO53" s="191" t="str">
        <f>CO37</f>
        <v>Итого</v>
      </c>
      <c r="CP53" s="190">
        <v>1</v>
      </c>
      <c r="CQ53" s="190">
        <f aca="true" t="shared" si="139" ref="CQ53:DA53">CP53+1</f>
        <v>2</v>
      </c>
      <c r="CR53" s="190">
        <f t="shared" si="139"/>
        <v>3</v>
      </c>
      <c r="CS53" s="190">
        <f t="shared" si="139"/>
        <v>4</v>
      </c>
      <c r="CT53" s="190">
        <f t="shared" si="139"/>
        <v>5</v>
      </c>
      <c r="CU53" s="190">
        <f t="shared" si="139"/>
        <v>6</v>
      </c>
      <c r="CV53" s="190">
        <f t="shared" si="139"/>
        <v>7</v>
      </c>
      <c r="CW53" s="190">
        <f t="shared" si="139"/>
        <v>8</v>
      </c>
      <c r="CX53" s="190">
        <f t="shared" si="139"/>
        <v>9</v>
      </c>
      <c r="CY53" s="190">
        <f t="shared" si="139"/>
        <v>10</v>
      </c>
      <c r="CZ53" s="190">
        <f t="shared" si="139"/>
        <v>11</v>
      </c>
      <c r="DA53" s="190">
        <f t="shared" si="139"/>
        <v>12</v>
      </c>
      <c r="DB53" s="191" t="str">
        <f>DB37</f>
        <v>Итого</v>
      </c>
      <c r="DC53" s="190">
        <v>1</v>
      </c>
      <c r="DD53" s="190">
        <f aca="true" t="shared" si="140" ref="DD53:DN53">DC53+1</f>
        <v>2</v>
      </c>
      <c r="DE53" s="190">
        <f t="shared" si="140"/>
        <v>3</v>
      </c>
      <c r="DF53" s="190">
        <f t="shared" si="140"/>
        <v>4</v>
      </c>
      <c r="DG53" s="190">
        <f t="shared" si="140"/>
        <v>5</v>
      </c>
      <c r="DH53" s="190">
        <f t="shared" si="140"/>
        <v>6</v>
      </c>
      <c r="DI53" s="190">
        <f t="shared" si="140"/>
        <v>7</v>
      </c>
      <c r="DJ53" s="190">
        <f t="shared" si="140"/>
        <v>8</v>
      </c>
      <c r="DK53" s="190">
        <f t="shared" si="140"/>
        <v>9</v>
      </c>
      <c r="DL53" s="190">
        <f t="shared" si="140"/>
        <v>10</v>
      </c>
      <c r="DM53" s="190">
        <f t="shared" si="140"/>
        <v>11</v>
      </c>
      <c r="DN53" s="190">
        <f t="shared" si="140"/>
        <v>12</v>
      </c>
      <c r="DO53" s="191" t="s">
        <v>0</v>
      </c>
    </row>
    <row r="54" spans="1:119" ht="12.75" hidden="1">
      <c r="A54" s="188" t="s">
        <v>106</v>
      </c>
      <c r="B54" s="193">
        <f>O54+AB54+AO54+BB54+BO54+CB54+CO54+DB54+DO54</f>
        <v>0</v>
      </c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5">
        <f>SUM(C54:N54)</f>
        <v>0</v>
      </c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>
        <f>SUM(P54:AA54)</f>
        <v>0</v>
      </c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>
        <f>SUM(AC54:AN54)</f>
        <v>0</v>
      </c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</row>
    <row r="55" spans="1:119" s="197" customFormat="1" ht="20.25" customHeight="1" hidden="1">
      <c r="A55" s="188" t="s">
        <v>31</v>
      </c>
      <c r="B55" s="193">
        <f>O55+AB55+AO55+BB55+BO55+CB55+CO55+DB55+DO55</f>
        <v>0</v>
      </c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5">
        <f>SUM(C55:N55)</f>
        <v>0</v>
      </c>
      <c r="P55" s="194"/>
      <c r="Q55" s="194"/>
      <c r="R55" s="194"/>
      <c r="S55" s="194"/>
      <c r="T55" s="194"/>
      <c r="U55" s="194">
        <f>SUM(O56:U56)</f>
        <v>0</v>
      </c>
      <c r="V55" s="194"/>
      <c r="W55" s="194"/>
      <c r="X55" s="194"/>
      <c r="Y55" s="194"/>
      <c r="Z55" s="194"/>
      <c r="AA55" s="194"/>
      <c r="AB55" s="195">
        <f>SUM(P55:AA55)</f>
        <v>0</v>
      </c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5">
        <f>SUM(AC55:AN55)</f>
        <v>0</v>
      </c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5">
        <f>SUM(AP55:BA55)</f>
        <v>0</v>
      </c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5">
        <f>SUM(BC55:BN55)</f>
        <v>0</v>
      </c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5">
        <f>SUM(BP55:CA55)</f>
        <v>0</v>
      </c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5">
        <f>SUM(CC55:CN55)</f>
        <v>0</v>
      </c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5">
        <f>SUM(CP55:DA55)</f>
        <v>0</v>
      </c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5">
        <f>SUM(DC55:DN55)</f>
        <v>0</v>
      </c>
    </row>
    <row r="56" spans="1:119" s="197" customFormat="1" ht="12.75" hidden="1">
      <c r="A56" s="198" t="s">
        <v>13</v>
      </c>
      <c r="B56" s="193">
        <f>O56+AB56+AO56+BB56+BO56+CB56+CO56+DB56+DO56</f>
        <v>0</v>
      </c>
      <c r="C56" s="194"/>
      <c r="D56" s="194">
        <f aca="true" t="shared" si="141" ref="D56:N56">C59*$B52/12</f>
        <v>0</v>
      </c>
      <c r="E56" s="194">
        <f t="shared" si="141"/>
        <v>0</v>
      </c>
      <c r="F56" s="194">
        <f t="shared" si="141"/>
        <v>0</v>
      </c>
      <c r="G56" s="194">
        <f t="shared" si="141"/>
        <v>0</v>
      </c>
      <c r="H56" s="194">
        <f t="shared" si="141"/>
        <v>0</v>
      </c>
      <c r="I56" s="194">
        <f t="shared" si="141"/>
        <v>0</v>
      </c>
      <c r="J56" s="194">
        <f t="shared" si="141"/>
        <v>0</v>
      </c>
      <c r="K56" s="194">
        <f t="shared" si="141"/>
        <v>0</v>
      </c>
      <c r="L56" s="194">
        <f t="shared" si="141"/>
        <v>0</v>
      </c>
      <c r="M56" s="194">
        <f t="shared" si="141"/>
        <v>0</v>
      </c>
      <c r="N56" s="194">
        <f t="shared" si="141"/>
        <v>0</v>
      </c>
      <c r="O56" s="195">
        <f>SUM(C56:N56)</f>
        <v>0</v>
      </c>
      <c r="P56" s="194">
        <f aca="true" t="shared" si="142" ref="P56:AA56">O59*$B52/12</f>
        <v>0</v>
      </c>
      <c r="Q56" s="194">
        <f t="shared" si="142"/>
        <v>0</v>
      </c>
      <c r="R56" s="194">
        <f t="shared" si="142"/>
        <v>0</v>
      </c>
      <c r="S56" s="194">
        <f t="shared" si="142"/>
        <v>0</v>
      </c>
      <c r="T56" s="194">
        <f t="shared" si="142"/>
        <v>0</v>
      </c>
      <c r="U56" s="194">
        <f t="shared" si="142"/>
        <v>0</v>
      </c>
      <c r="V56" s="194">
        <f t="shared" si="142"/>
        <v>0</v>
      </c>
      <c r="W56" s="194">
        <f t="shared" si="142"/>
        <v>0</v>
      </c>
      <c r="X56" s="194">
        <f t="shared" si="142"/>
        <v>0</v>
      </c>
      <c r="Y56" s="194">
        <f t="shared" si="142"/>
        <v>0</v>
      </c>
      <c r="Z56" s="194">
        <f t="shared" si="142"/>
        <v>0</v>
      </c>
      <c r="AA56" s="194">
        <f t="shared" si="142"/>
        <v>0</v>
      </c>
      <c r="AB56" s="195">
        <f>SUM(P56:AA56)</f>
        <v>0</v>
      </c>
      <c r="AC56" s="194">
        <f aca="true" t="shared" si="143" ref="AC56:AN56">AB59*$B52/12</f>
        <v>0</v>
      </c>
      <c r="AD56" s="194">
        <f t="shared" si="143"/>
        <v>0</v>
      </c>
      <c r="AE56" s="194">
        <f t="shared" si="143"/>
        <v>0</v>
      </c>
      <c r="AF56" s="194">
        <f t="shared" si="143"/>
        <v>0</v>
      </c>
      <c r="AG56" s="194">
        <f t="shared" si="143"/>
        <v>0</v>
      </c>
      <c r="AH56" s="194">
        <f t="shared" si="143"/>
        <v>0</v>
      </c>
      <c r="AI56" s="194">
        <f t="shared" si="143"/>
        <v>0</v>
      </c>
      <c r="AJ56" s="194">
        <f t="shared" si="143"/>
        <v>0</v>
      </c>
      <c r="AK56" s="194">
        <f t="shared" si="143"/>
        <v>0</v>
      </c>
      <c r="AL56" s="194">
        <f t="shared" si="143"/>
        <v>0</v>
      </c>
      <c r="AM56" s="194">
        <f t="shared" si="143"/>
        <v>0</v>
      </c>
      <c r="AN56" s="194">
        <f t="shared" si="143"/>
        <v>0</v>
      </c>
      <c r="AO56" s="195">
        <f>SUM(AC56:AN56)</f>
        <v>0</v>
      </c>
      <c r="AP56" s="194">
        <f aca="true" t="shared" si="144" ref="AP56:BA56">AO59*$B52/12</f>
        <v>0</v>
      </c>
      <c r="AQ56" s="194">
        <f t="shared" si="144"/>
        <v>0</v>
      </c>
      <c r="AR56" s="194">
        <f t="shared" si="144"/>
        <v>0</v>
      </c>
      <c r="AS56" s="194">
        <f t="shared" si="144"/>
        <v>0</v>
      </c>
      <c r="AT56" s="194">
        <f t="shared" si="144"/>
        <v>0</v>
      </c>
      <c r="AU56" s="194">
        <f t="shared" si="144"/>
        <v>0</v>
      </c>
      <c r="AV56" s="194">
        <f t="shared" si="144"/>
        <v>0</v>
      </c>
      <c r="AW56" s="194">
        <f t="shared" si="144"/>
        <v>0</v>
      </c>
      <c r="AX56" s="194">
        <f t="shared" si="144"/>
        <v>0</v>
      </c>
      <c r="AY56" s="194">
        <f t="shared" si="144"/>
        <v>0</v>
      </c>
      <c r="AZ56" s="194">
        <f t="shared" si="144"/>
        <v>0</v>
      </c>
      <c r="BA56" s="194">
        <f t="shared" si="144"/>
        <v>0</v>
      </c>
      <c r="BB56" s="195">
        <f>SUM(AP56:BA56)</f>
        <v>0</v>
      </c>
      <c r="BC56" s="194">
        <f aca="true" t="shared" si="145" ref="BC56:BN56">BB59*$B52/12</f>
        <v>0</v>
      </c>
      <c r="BD56" s="194">
        <f t="shared" si="145"/>
        <v>0</v>
      </c>
      <c r="BE56" s="194">
        <f t="shared" si="145"/>
        <v>0</v>
      </c>
      <c r="BF56" s="194">
        <f t="shared" si="145"/>
        <v>0</v>
      </c>
      <c r="BG56" s="194">
        <f t="shared" si="145"/>
        <v>0</v>
      </c>
      <c r="BH56" s="194">
        <f t="shared" si="145"/>
        <v>0</v>
      </c>
      <c r="BI56" s="194">
        <f t="shared" si="145"/>
        <v>0</v>
      </c>
      <c r="BJ56" s="194">
        <f t="shared" si="145"/>
        <v>0</v>
      </c>
      <c r="BK56" s="194">
        <f t="shared" si="145"/>
        <v>0</v>
      </c>
      <c r="BL56" s="194">
        <f t="shared" si="145"/>
        <v>0</v>
      </c>
      <c r="BM56" s="194">
        <f t="shared" si="145"/>
        <v>0</v>
      </c>
      <c r="BN56" s="194">
        <f t="shared" si="145"/>
        <v>0</v>
      </c>
      <c r="BO56" s="195">
        <f>SUM(BC56:BN56)</f>
        <v>0</v>
      </c>
      <c r="BP56" s="194">
        <f aca="true" t="shared" si="146" ref="BP56:CA56">BO59*$B52/12</f>
        <v>0</v>
      </c>
      <c r="BQ56" s="194">
        <f t="shared" si="146"/>
        <v>0</v>
      </c>
      <c r="BR56" s="194">
        <f t="shared" si="146"/>
        <v>0</v>
      </c>
      <c r="BS56" s="194">
        <f t="shared" si="146"/>
        <v>0</v>
      </c>
      <c r="BT56" s="194">
        <f t="shared" si="146"/>
        <v>0</v>
      </c>
      <c r="BU56" s="194">
        <f t="shared" si="146"/>
        <v>0</v>
      </c>
      <c r="BV56" s="194">
        <f t="shared" si="146"/>
        <v>0</v>
      </c>
      <c r="BW56" s="194">
        <f t="shared" si="146"/>
        <v>0</v>
      </c>
      <c r="BX56" s="194">
        <f t="shared" si="146"/>
        <v>0</v>
      </c>
      <c r="BY56" s="194">
        <f t="shared" si="146"/>
        <v>0</v>
      </c>
      <c r="BZ56" s="194">
        <f t="shared" si="146"/>
        <v>0</v>
      </c>
      <c r="CA56" s="194">
        <f t="shared" si="146"/>
        <v>0</v>
      </c>
      <c r="CB56" s="195">
        <f>SUM(BP56:CA56)</f>
        <v>0</v>
      </c>
      <c r="CC56" s="194">
        <f aca="true" t="shared" si="147" ref="CC56:CN56">CB59*$B52/12</f>
        <v>0</v>
      </c>
      <c r="CD56" s="194">
        <f t="shared" si="147"/>
        <v>0</v>
      </c>
      <c r="CE56" s="194">
        <f t="shared" si="147"/>
        <v>0</v>
      </c>
      <c r="CF56" s="194">
        <f t="shared" si="147"/>
        <v>0</v>
      </c>
      <c r="CG56" s="194">
        <f t="shared" si="147"/>
        <v>0</v>
      </c>
      <c r="CH56" s="194">
        <f t="shared" si="147"/>
        <v>0</v>
      </c>
      <c r="CI56" s="194">
        <f t="shared" si="147"/>
        <v>0</v>
      </c>
      <c r="CJ56" s="194">
        <f t="shared" si="147"/>
        <v>0</v>
      </c>
      <c r="CK56" s="194">
        <f t="shared" si="147"/>
        <v>0</v>
      </c>
      <c r="CL56" s="194">
        <f t="shared" si="147"/>
        <v>0</v>
      </c>
      <c r="CM56" s="194">
        <f t="shared" si="147"/>
        <v>0</v>
      </c>
      <c r="CN56" s="194">
        <f t="shared" si="147"/>
        <v>0</v>
      </c>
      <c r="CO56" s="195">
        <f>SUM(CC56:CN56)</f>
        <v>0</v>
      </c>
      <c r="CP56" s="194">
        <f aca="true" t="shared" si="148" ref="CP56:DA56">CO59*$B52/12</f>
        <v>0</v>
      </c>
      <c r="CQ56" s="194">
        <f t="shared" si="148"/>
        <v>0</v>
      </c>
      <c r="CR56" s="194">
        <f t="shared" si="148"/>
        <v>0</v>
      </c>
      <c r="CS56" s="194">
        <f t="shared" si="148"/>
        <v>0</v>
      </c>
      <c r="CT56" s="194">
        <f t="shared" si="148"/>
        <v>0</v>
      </c>
      <c r="CU56" s="194">
        <f t="shared" si="148"/>
        <v>0</v>
      </c>
      <c r="CV56" s="194">
        <f t="shared" si="148"/>
        <v>0</v>
      </c>
      <c r="CW56" s="194">
        <f t="shared" si="148"/>
        <v>0</v>
      </c>
      <c r="CX56" s="194">
        <f t="shared" si="148"/>
        <v>0</v>
      </c>
      <c r="CY56" s="194">
        <f t="shared" si="148"/>
        <v>0</v>
      </c>
      <c r="CZ56" s="194">
        <f t="shared" si="148"/>
        <v>0</v>
      </c>
      <c r="DA56" s="194">
        <f t="shared" si="148"/>
        <v>0</v>
      </c>
      <c r="DB56" s="195">
        <f>SUM(CP56:DA56)</f>
        <v>0</v>
      </c>
      <c r="DC56" s="194">
        <f aca="true" t="shared" si="149" ref="DC56:DN56">DB59*$B52/12</f>
        <v>0</v>
      </c>
      <c r="DD56" s="194">
        <f t="shared" si="149"/>
        <v>0</v>
      </c>
      <c r="DE56" s="194">
        <f t="shared" si="149"/>
        <v>0</v>
      </c>
      <c r="DF56" s="194">
        <f t="shared" si="149"/>
        <v>0</v>
      </c>
      <c r="DG56" s="194">
        <f t="shared" si="149"/>
        <v>0</v>
      </c>
      <c r="DH56" s="194">
        <f t="shared" si="149"/>
        <v>0</v>
      </c>
      <c r="DI56" s="194">
        <f t="shared" si="149"/>
        <v>0</v>
      </c>
      <c r="DJ56" s="194">
        <f t="shared" si="149"/>
        <v>0</v>
      </c>
      <c r="DK56" s="194">
        <f t="shared" si="149"/>
        <v>0</v>
      </c>
      <c r="DL56" s="194">
        <f t="shared" si="149"/>
        <v>0</v>
      </c>
      <c r="DM56" s="194">
        <f t="shared" si="149"/>
        <v>0</v>
      </c>
      <c r="DN56" s="194">
        <f t="shared" si="149"/>
        <v>0</v>
      </c>
      <c r="DO56" s="195">
        <f>SUM(DC56:DN56)</f>
        <v>0</v>
      </c>
    </row>
    <row r="57" spans="1:119" ht="12.75" hidden="1">
      <c r="A57" s="188" t="s">
        <v>14</v>
      </c>
      <c r="B57" s="193">
        <f>O57+AB57+AO57+BB57+BO57+CB57+CO57+DB57+DO57</f>
        <v>0</v>
      </c>
      <c r="C57" s="194"/>
      <c r="D57" s="194"/>
      <c r="E57" s="194"/>
      <c r="F57" s="194"/>
      <c r="G57" s="194"/>
      <c r="H57" s="194"/>
      <c r="I57" s="194"/>
      <c r="J57" s="194"/>
      <c r="K57" s="194"/>
      <c r="L57" s="199"/>
      <c r="M57" s="199"/>
      <c r="N57" s="199"/>
      <c r="O57" s="195">
        <f>SUM(C57:N57)</f>
        <v>0</v>
      </c>
      <c r="P57" s="199"/>
      <c r="Q57" s="199"/>
      <c r="R57" s="199"/>
      <c r="S57" s="199"/>
      <c r="T57" s="199"/>
      <c r="U57" s="199"/>
      <c r="V57" s="194">
        <f aca="true" t="shared" si="150" ref="V57:AA57">$B61-V56</f>
        <v>0</v>
      </c>
      <c r="W57" s="194">
        <f t="shared" si="150"/>
        <v>0</v>
      </c>
      <c r="X57" s="194">
        <f t="shared" si="150"/>
        <v>0</v>
      </c>
      <c r="Y57" s="194">
        <f t="shared" si="150"/>
        <v>0</v>
      </c>
      <c r="Z57" s="194">
        <f t="shared" si="150"/>
        <v>0</v>
      </c>
      <c r="AA57" s="194">
        <f t="shared" si="150"/>
        <v>0</v>
      </c>
      <c r="AB57" s="195">
        <f>SUM(P57:AA57)</f>
        <v>0</v>
      </c>
      <c r="AC57" s="194">
        <f aca="true" t="shared" si="151" ref="AC57:AN57">$B61-AC56</f>
        <v>0</v>
      </c>
      <c r="AD57" s="194">
        <f t="shared" si="151"/>
        <v>0</v>
      </c>
      <c r="AE57" s="194">
        <f t="shared" si="151"/>
        <v>0</v>
      </c>
      <c r="AF57" s="194">
        <f t="shared" si="151"/>
        <v>0</v>
      </c>
      <c r="AG57" s="194">
        <f t="shared" si="151"/>
        <v>0</v>
      </c>
      <c r="AH57" s="194">
        <f t="shared" si="151"/>
        <v>0</v>
      </c>
      <c r="AI57" s="194">
        <f t="shared" si="151"/>
        <v>0</v>
      </c>
      <c r="AJ57" s="194">
        <f t="shared" si="151"/>
        <v>0</v>
      </c>
      <c r="AK57" s="194">
        <f t="shared" si="151"/>
        <v>0</v>
      </c>
      <c r="AL57" s="194">
        <f t="shared" si="151"/>
        <v>0</v>
      </c>
      <c r="AM57" s="194">
        <f t="shared" si="151"/>
        <v>0</v>
      </c>
      <c r="AN57" s="194">
        <f t="shared" si="151"/>
        <v>0</v>
      </c>
      <c r="AO57" s="195">
        <f>SUM(AC57:AN57)</f>
        <v>0</v>
      </c>
      <c r="AP57" s="194">
        <f aca="true" t="shared" si="152" ref="AP57:BA57">$B61-AP56</f>
        <v>0</v>
      </c>
      <c r="AQ57" s="194">
        <f t="shared" si="152"/>
        <v>0</v>
      </c>
      <c r="AR57" s="194">
        <f t="shared" si="152"/>
        <v>0</v>
      </c>
      <c r="AS57" s="194">
        <f t="shared" si="152"/>
        <v>0</v>
      </c>
      <c r="AT57" s="194">
        <f t="shared" si="152"/>
        <v>0</v>
      </c>
      <c r="AU57" s="194">
        <f t="shared" si="152"/>
        <v>0</v>
      </c>
      <c r="AV57" s="194">
        <f t="shared" si="152"/>
        <v>0</v>
      </c>
      <c r="AW57" s="194">
        <f t="shared" si="152"/>
        <v>0</v>
      </c>
      <c r="AX57" s="194">
        <f t="shared" si="152"/>
        <v>0</v>
      </c>
      <c r="AY57" s="194">
        <f t="shared" si="152"/>
        <v>0</v>
      </c>
      <c r="AZ57" s="194">
        <f t="shared" si="152"/>
        <v>0</v>
      </c>
      <c r="BA57" s="194">
        <f t="shared" si="152"/>
        <v>0</v>
      </c>
      <c r="BB57" s="195">
        <f>SUM(AP57:BA57)</f>
        <v>0</v>
      </c>
      <c r="BC57" s="194">
        <f aca="true" t="shared" si="153" ref="BC57:BN57">$B61-BC56</f>
        <v>0</v>
      </c>
      <c r="BD57" s="194">
        <f t="shared" si="153"/>
        <v>0</v>
      </c>
      <c r="BE57" s="194">
        <f t="shared" si="153"/>
        <v>0</v>
      </c>
      <c r="BF57" s="194">
        <f t="shared" si="153"/>
        <v>0</v>
      </c>
      <c r="BG57" s="194">
        <f t="shared" si="153"/>
        <v>0</v>
      </c>
      <c r="BH57" s="194">
        <f t="shared" si="153"/>
        <v>0</v>
      </c>
      <c r="BI57" s="194">
        <f t="shared" si="153"/>
        <v>0</v>
      </c>
      <c r="BJ57" s="194">
        <f t="shared" si="153"/>
        <v>0</v>
      </c>
      <c r="BK57" s="194">
        <f t="shared" si="153"/>
        <v>0</v>
      </c>
      <c r="BL57" s="194">
        <f t="shared" si="153"/>
        <v>0</v>
      </c>
      <c r="BM57" s="194">
        <f t="shared" si="153"/>
        <v>0</v>
      </c>
      <c r="BN57" s="194">
        <f t="shared" si="153"/>
        <v>0</v>
      </c>
      <c r="BO57" s="195">
        <f>SUM(BC57:BN57)</f>
        <v>0</v>
      </c>
      <c r="BP57" s="194">
        <f aca="true" t="shared" si="154" ref="BP57:CA57">$B61-BP56</f>
        <v>0</v>
      </c>
      <c r="BQ57" s="194">
        <f t="shared" si="154"/>
        <v>0</v>
      </c>
      <c r="BR57" s="194">
        <f t="shared" si="154"/>
        <v>0</v>
      </c>
      <c r="BS57" s="194">
        <f t="shared" si="154"/>
        <v>0</v>
      </c>
      <c r="BT57" s="194">
        <f t="shared" si="154"/>
        <v>0</v>
      </c>
      <c r="BU57" s="194">
        <f t="shared" si="154"/>
        <v>0</v>
      </c>
      <c r="BV57" s="194">
        <f t="shared" si="154"/>
        <v>0</v>
      </c>
      <c r="BW57" s="194">
        <f t="shared" si="154"/>
        <v>0</v>
      </c>
      <c r="BX57" s="194">
        <f t="shared" si="154"/>
        <v>0</v>
      </c>
      <c r="BY57" s="194">
        <f t="shared" si="154"/>
        <v>0</v>
      </c>
      <c r="BZ57" s="194">
        <f t="shared" si="154"/>
        <v>0</v>
      </c>
      <c r="CA57" s="194">
        <f t="shared" si="154"/>
        <v>0</v>
      </c>
      <c r="CB57" s="195">
        <f>SUM(BP57:CA57)</f>
        <v>0</v>
      </c>
      <c r="CC57" s="194">
        <f aca="true" t="shared" si="155" ref="CC57:CN57">$B61-CC56</f>
        <v>0</v>
      </c>
      <c r="CD57" s="194">
        <f t="shared" si="155"/>
        <v>0</v>
      </c>
      <c r="CE57" s="194">
        <f t="shared" si="155"/>
        <v>0</v>
      </c>
      <c r="CF57" s="194">
        <f t="shared" si="155"/>
        <v>0</v>
      </c>
      <c r="CG57" s="194">
        <f t="shared" si="155"/>
        <v>0</v>
      </c>
      <c r="CH57" s="194">
        <f t="shared" si="155"/>
        <v>0</v>
      </c>
      <c r="CI57" s="194">
        <f t="shared" si="155"/>
        <v>0</v>
      </c>
      <c r="CJ57" s="194">
        <f t="shared" si="155"/>
        <v>0</v>
      </c>
      <c r="CK57" s="194">
        <f t="shared" si="155"/>
        <v>0</v>
      </c>
      <c r="CL57" s="194">
        <f t="shared" si="155"/>
        <v>0</v>
      </c>
      <c r="CM57" s="194">
        <f t="shared" si="155"/>
        <v>0</v>
      </c>
      <c r="CN57" s="194">
        <f t="shared" si="155"/>
        <v>0</v>
      </c>
      <c r="CO57" s="195">
        <f>SUM(CC57:CN57)</f>
        <v>0</v>
      </c>
      <c r="CP57" s="194">
        <f aca="true" t="shared" si="156" ref="CP57:CX57">$B61-CP56</f>
        <v>0</v>
      </c>
      <c r="CQ57" s="194">
        <f t="shared" si="156"/>
        <v>0</v>
      </c>
      <c r="CR57" s="194">
        <f t="shared" si="156"/>
        <v>0</v>
      </c>
      <c r="CS57" s="194">
        <f t="shared" si="156"/>
        <v>0</v>
      </c>
      <c r="CT57" s="194">
        <f t="shared" si="156"/>
        <v>0</v>
      </c>
      <c r="CU57" s="194">
        <f t="shared" si="156"/>
        <v>0</v>
      </c>
      <c r="CV57" s="194">
        <f t="shared" si="156"/>
        <v>0</v>
      </c>
      <c r="CW57" s="194">
        <f t="shared" si="156"/>
        <v>0</v>
      </c>
      <c r="CX57" s="194">
        <f t="shared" si="156"/>
        <v>0</v>
      </c>
      <c r="CY57" s="194"/>
      <c r="CZ57" s="194"/>
      <c r="DA57" s="194"/>
      <c r="DB57" s="195">
        <f>SUM(CP57:DA57)</f>
        <v>0</v>
      </c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5">
        <f>SUM(DC57:DN57)</f>
        <v>0</v>
      </c>
    </row>
    <row r="58" spans="1:119" ht="12.75" hidden="1">
      <c r="A58" s="188" t="s">
        <v>15</v>
      </c>
      <c r="B58" s="193">
        <f>O58+AB58+AO58+BB58+BO58+CB58+CO58+DB58+DO58</f>
        <v>0</v>
      </c>
      <c r="C58" s="194"/>
      <c r="D58" s="194"/>
      <c r="E58" s="194"/>
      <c r="F58" s="194"/>
      <c r="G58" s="194"/>
      <c r="H58" s="194"/>
      <c r="I58" s="194"/>
      <c r="J58" s="194"/>
      <c r="K58" s="194"/>
      <c r="L58" s="199"/>
      <c r="M58" s="199"/>
      <c r="N58" s="199"/>
      <c r="O58" s="195">
        <f>SUM(C58:N58)</f>
        <v>0</v>
      </c>
      <c r="P58" s="199"/>
      <c r="Q58" s="199"/>
      <c r="R58" s="199"/>
      <c r="S58" s="199"/>
      <c r="T58" s="199"/>
      <c r="U58" s="199"/>
      <c r="V58" s="194">
        <f aca="true" t="shared" si="157" ref="V58:AA58">V56</f>
        <v>0</v>
      </c>
      <c r="W58" s="194">
        <f t="shared" si="157"/>
        <v>0</v>
      </c>
      <c r="X58" s="194">
        <f t="shared" si="157"/>
        <v>0</v>
      </c>
      <c r="Y58" s="194">
        <f t="shared" si="157"/>
        <v>0</v>
      </c>
      <c r="Z58" s="194">
        <f t="shared" si="157"/>
        <v>0</v>
      </c>
      <c r="AA58" s="194">
        <f t="shared" si="157"/>
        <v>0</v>
      </c>
      <c r="AB58" s="195">
        <f>SUM(P58:AA58)</f>
        <v>0</v>
      </c>
      <c r="AC58" s="194">
        <f aca="true" t="shared" si="158" ref="AC58:AK58">AC56</f>
        <v>0</v>
      </c>
      <c r="AD58" s="194">
        <f t="shared" si="158"/>
        <v>0</v>
      </c>
      <c r="AE58" s="194">
        <f t="shared" si="158"/>
        <v>0</v>
      </c>
      <c r="AF58" s="194">
        <f t="shared" si="158"/>
        <v>0</v>
      </c>
      <c r="AG58" s="194">
        <f t="shared" si="158"/>
        <v>0</v>
      </c>
      <c r="AH58" s="194">
        <f t="shared" si="158"/>
        <v>0</v>
      </c>
      <c r="AI58" s="194">
        <f t="shared" si="158"/>
        <v>0</v>
      </c>
      <c r="AJ58" s="194">
        <f t="shared" si="158"/>
        <v>0</v>
      </c>
      <c r="AK58" s="194">
        <f t="shared" si="158"/>
        <v>0</v>
      </c>
      <c r="AL58" s="194">
        <f>AL56</f>
        <v>0</v>
      </c>
      <c r="AM58" s="194">
        <f>AM56</f>
        <v>0</v>
      </c>
      <c r="AN58" s="194">
        <f>AN56</f>
        <v>0</v>
      </c>
      <c r="AO58" s="195">
        <f>SUM(AC58:AN58)</f>
        <v>0</v>
      </c>
      <c r="AP58" s="194">
        <f aca="true" t="shared" si="159" ref="AP58:BA58">AP56</f>
        <v>0</v>
      </c>
      <c r="AQ58" s="194">
        <f t="shared" si="159"/>
        <v>0</v>
      </c>
      <c r="AR58" s="194">
        <f t="shared" si="159"/>
        <v>0</v>
      </c>
      <c r="AS58" s="194">
        <f t="shared" si="159"/>
        <v>0</v>
      </c>
      <c r="AT58" s="194">
        <f t="shared" si="159"/>
        <v>0</v>
      </c>
      <c r="AU58" s="194">
        <f t="shared" si="159"/>
        <v>0</v>
      </c>
      <c r="AV58" s="194">
        <f t="shared" si="159"/>
        <v>0</v>
      </c>
      <c r="AW58" s="194">
        <f t="shared" si="159"/>
        <v>0</v>
      </c>
      <c r="AX58" s="194">
        <f t="shared" si="159"/>
        <v>0</v>
      </c>
      <c r="AY58" s="194">
        <f t="shared" si="159"/>
        <v>0</v>
      </c>
      <c r="AZ58" s="194">
        <f t="shared" si="159"/>
        <v>0</v>
      </c>
      <c r="BA58" s="194">
        <f t="shared" si="159"/>
        <v>0</v>
      </c>
      <c r="BB58" s="195">
        <f>SUM(AP58:BA58)</f>
        <v>0</v>
      </c>
      <c r="BC58" s="194">
        <f aca="true" t="shared" si="160" ref="BC58:BN58">BC56</f>
        <v>0</v>
      </c>
      <c r="BD58" s="194">
        <f t="shared" si="160"/>
        <v>0</v>
      </c>
      <c r="BE58" s="194">
        <f t="shared" si="160"/>
        <v>0</v>
      </c>
      <c r="BF58" s="194">
        <f t="shared" si="160"/>
        <v>0</v>
      </c>
      <c r="BG58" s="194">
        <f t="shared" si="160"/>
        <v>0</v>
      </c>
      <c r="BH58" s="194">
        <f t="shared" si="160"/>
        <v>0</v>
      </c>
      <c r="BI58" s="194">
        <f t="shared" si="160"/>
        <v>0</v>
      </c>
      <c r="BJ58" s="194">
        <f t="shared" si="160"/>
        <v>0</v>
      </c>
      <c r="BK58" s="194">
        <f t="shared" si="160"/>
        <v>0</v>
      </c>
      <c r="BL58" s="194">
        <f t="shared" si="160"/>
        <v>0</v>
      </c>
      <c r="BM58" s="194">
        <f t="shared" si="160"/>
        <v>0</v>
      </c>
      <c r="BN58" s="194">
        <f t="shared" si="160"/>
        <v>0</v>
      </c>
      <c r="BO58" s="195">
        <f>SUM(BC58:BN58)</f>
        <v>0</v>
      </c>
      <c r="BP58" s="194">
        <f aca="true" t="shared" si="161" ref="BP58:CA58">BP56</f>
        <v>0</v>
      </c>
      <c r="BQ58" s="194">
        <f t="shared" si="161"/>
        <v>0</v>
      </c>
      <c r="BR58" s="194">
        <f t="shared" si="161"/>
        <v>0</v>
      </c>
      <c r="BS58" s="194">
        <f t="shared" si="161"/>
        <v>0</v>
      </c>
      <c r="BT58" s="194">
        <f t="shared" si="161"/>
        <v>0</v>
      </c>
      <c r="BU58" s="194">
        <f t="shared" si="161"/>
        <v>0</v>
      </c>
      <c r="BV58" s="194">
        <f t="shared" si="161"/>
        <v>0</v>
      </c>
      <c r="BW58" s="194">
        <f t="shared" si="161"/>
        <v>0</v>
      </c>
      <c r="BX58" s="194">
        <f t="shared" si="161"/>
        <v>0</v>
      </c>
      <c r="BY58" s="194">
        <f t="shared" si="161"/>
        <v>0</v>
      </c>
      <c r="BZ58" s="194">
        <f t="shared" si="161"/>
        <v>0</v>
      </c>
      <c r="CA58" s="194">
        <f t="shared" si="161"/>
        <v>0</v>
      </c>
      <c r="CB58" s="195">
        <f>SUM(BP58:CA58)</f>
        <v>0</v>
      </c>
      <c r="CC58" s="194">
        <f aca="true" t="shared" si="162" ref="CC58:CN58">CC56</f>
        <v>0</v>
      </c>
      <c r="CD58" s="194">
        <f t="shared" si="162"/>
        <v>0</v>
      </c>
      <c r="CE58" s="194">
        <f t="shared" si="162"/>
        <v>0</v>
      </c>
      <c r="CF58" s="194">
        <f t="shared" si="162"/>
        <v>0</v>
      </c>
      <c r="CG58" s="194">
        <f t="shared" si="162"/>
        <v>0</v>
      </c>
      <c r="CH58" s="194">
        <f t="shared" si="162"/>
        <v>0</v>
      </c>
      <c r="CI58" s="194">
        <f t="shared" si="162"/>
        <v>0</v>
      </c>
      <c r="CJ58" s="194">
        <f t="shared" si="162"/>
        <v>0</v>
      </c>
      <c r="CK58" s="194">
        <f t="shared" si="162"/>
        <v>0</v>
      </c>
      <c r="CL58" s="194">
        <f t="shared" si="162"/>
        <v>0</v>
      </c>
      <c r="CM58" s="194">
        <f t="shared" si="162"/>
        <v>0</v>
      </c>
      <c r="CN58" s="194">
        <f t="shared" si="162"/>
        <v>0</v>
      </c>
      <c r="CO58" s="195">
        <f>SUM(CC58:CN58)</f>
        <v>0</v>
      </c>
      <c r="CP58" s="194">
        <f aca="true" t="shared" si="163" ref="CP58:DA58">CP56</f>
        <v>0</v>
      </c>
      <c r="CQ58" s="194">
        <f t="shared" si="163"/>
        <v>0</v>
      </c>
      <c r="CR58" s="194">
        <f t="shared" si="163"/>
        <v>0</v>
      </c>
      <c r="CS58" s="194">
        <f t="shared" si="163"/>
        <v>0</v>
      </c>
      <c r="CT58" s="194">
        <f t="shared" si="163"/>
        <v>0</v>
      </c>
      <c r="CU58" s="194">
        <f t="shared" si="163"/>
        <v>0</v>
      </c>
      <c r="CV58" s="194">
        <f t="shared" si="163"/>
        <v>0</v>
      </c>
      <c r="CW58" s="194">
        <f t="shared" si="163"/>
        <v>0</v>
      </c>
      <c r="CX58" s="194">
        <f t="shared" si="163"/>
        <v>0</v>
      </c>
      <c r="CY58" s="194">
        <f t="shared" si="163"/>
        <v>0</v>
      </c>
      <c r="CZ58" s="194">
        <f t="shared" si="163"/>
        <v>0</v>
      </c>
      <c r="DA58" s="194">
        <f t="shared" si="163"/>
        <v>0</v>
      </c>
      <c r="DB58" s="195">
        <f>SUM(CP58:DA58)</f>
        <v>0</v>
      </c>
      <c r="DC58" s="194">
        <f aca="true" t="shared" si="164" ref="DC58:DN58">DC56</f>
        <v>0</v>
      </c>
      <c r="DD58" s="194">
        <f t="shared" si="164"/>
        <v>0</v>
      </c>
      <c r="DE58" s="194">
        <f t="shared" si="164"/>
        <v>0</v>
      </c>
      <c r="DF58" s="194">
        <f t="shared" si="164"/>
        <v>0</v>
      </c>
      <c r="DG58" s="194">
        <f t="shared" si="164"/>
        <v>0</v>
      </c>
      <c r="DH58" s="194">
        <f t="shared" si="164"/>
        <v>0</v>
      </c>
      <c r="DI58" s="194">
        <f t="shared" si="164"/>
        <v>0</v>
      </c>
      <c r="DJ58" s="194">
        <f t="shared" si="164"/>
        <v>0</v>
      </c>
      <c r="DK58" s="194">
        <f t="shared" si="164"/>
        <v>0</v>
      </c>
      <c r="DL58" s="194">
        <f t="shared" si="164"/>
        <v>0</v>
      </c>
      <c r="DM58" s="194">
        <f t="shared" si="164"/>
        <v>0</v>
      </c>
      <c r="DN58" s="194">
        <f t="shared" si="164"/>
        <v>0</v>
      </c>
      <c r="DO58" s="195">
        <f>SUM(DC58:DN58)</f>
        <v>0</v>
      </c>
    </row>
    <row r="59" spans="1:119" ht="12.75" hidden="1">
      <c r="A59" s="188" t="s">
        <v>16</v>
      </c>
      <c r="B59" s="193">
        <f>DO59</f>
        <v>0</v>
      </c>
      <c r="C59" s="194">
        <f>C54</f>
        <v>0</v>
      </c>
      <c r="D59" s="194">
        <f aca="true" t="shared" si="165" ref="D59:N59">C59+D54-D57+D55</f>
        <v>0</v>
      </c>
      <c r="E59" s="194">
        <f t="shared" si="165"/>
        <v>0</v>
      </c>
      <c r="F59" s="194">
        <f t="shared" si="165"/>
        <v>0</v>
      </c>
      <c r="G59" s="194">
        <f t="shared" si="165"/>
        <v>0</v>
      </c>
      <c r="H59" s="194">
        <f t="shared" si="165"/>
        <v>0</v>
      </c>
      <c r="I59" s="194">
        <f t="shared" si="165"/>
        <v>0</v>
      </c>
      <c r="J59" s="194">
        <f t="shared" si="165"/>
        <v>0</v>
      </c>
      <c r="K59" s="194">
        <f t="shared" si="165"/>
        <v>0</v>
      </c>
      <c r="L59" s="194">
        <f t="shared" si="165"/>
        <v>0</v>
      </c>
      <c r="M59" s="194">
        <f t="shared" si="165"/>
        <v>0</v>
      </c>
      <c r="N59" s="194">
        <f t="shared" si="165"/>
        <v>0</v>
      </c>
      <c r="O59" s="195">
        <f>N59</f>
        <v>0</v>
      </c>
      <c r="P59" s="194">
        <f aca="true" t="shared" si="166" ref="P59:AA59">O59+P54-P57+P55</f>
        <v>0</v>
      </c>
      <c r="Q59" s="194">
        <f t="shared" si="166"/>
        <v>0</v>
      </c>
      <c r="R59" s="194">
        <f t="shared" si="166"/>
        <v>0</v>
      </c>
      <c r="S59" s="194">
        <f t="shared" si="166"/>
        <v>0</v>
      </c>
      <c r="T59" s="194">
        <f t="shared" si="166"/>
        <v>0</v>
      </c>
      <c r="U59" s="194">
        <f t="shared" si="166"/>
        <v>0</v>
      </c>
      <c r="V59" s="194">
        <f t="shared" si="166"/>
        <v>0</v>
      </c>
      <c r="W59" s="194">
        <f t="shared" si="166"/>
        <v>0</v>
      </c>
      <c r="X59" s="194">
        <f t="shared" si="166"/>
        <v>0</v>
      </c>
      <c r="Y59" s="194">
        <f t="shared" si="166"/>
        <v>0</v>
      </c>
      <c r="Z59" s="194">
        <f t="shared" si="166"/>
        <v>0</v>
      </c>
      <c r="AA59" s="194">
        <f t="shared" si="166"/>
        <v>0</v>
      </c>
      <c r="AB59" s="195">
        <f>AA59</f>
        <v>0</v>
      </c>
      <c r="AC59" s="194">
        <f aca="true" t="shared" si="167" ref="AC59:AN59">AB59+AC54-AC57+AC55</f>
        <v>0</v>
      </c>
      <c r="AD59" s="194">
        <f t="shared" si="167"/>
        <v>0</v>
      </c>
      <c r="AE59" s="194">
        <f t="shared" si="167"/>
        <v>0</v>
      </c>
      <c r="AF59" s="194">
        <f t="shared" si="167"/>
        <v>0</v>
      </c>
      <c r="AG59" s="194">
        <f t="shared" si="167"/>
        <v>0</v>
      </c>
      <c r="AH59" s="194">
        <f t="shared" si="167"/>
        <v>0</v>
      </c>
      <c r="AI59" s="194">
        <f t="shared" si="167"/>
        <v>0</v>
      </c>
      <c r="AJ59" s="194">
        <f t="shared" si="167"/>
        <v>0</v>
      </c>
      <c r="AK59" s="194">
        <f t="shared" si="167"/>
        <v>0</v>
      </c>
      <c r="AL59" s="194">
        <f t="shared" si="167"/>
        <v>0</v>
      </c>
      <c r="AM59" s="194">
        <f t="shared" si="167"/>
        <v>0</v>
      </c>
      <c r="AN59" s="194">
        <f t="shared" si="167"/>
        <v>0</v>
      </c>
      <c r="AO59" s="195">
        <f>AN59</f>
        <v>0</v>
      </c>
      <c r="AP59" s="194">
        <f aca="true" t="shared" si="168" ref="AP59:BA59">AO59+AP54-AP57+AP55</f>
        <v>0</v>
      </c>
      <c r="AQ59" s="194">
        <f t="shared" si="168"/>
        <v>0</v>
      </c>
      <c r="AR59" s="194">
        <f t="shared" si="168"/>
        <v>0</v>
      </c>
      <c r="AS59" s="194">
        <f t="shared" si="168"/>
        <v>0</v>
      </c>
      <c r="AT59" s="194">
        <f t="shared" si="168"/>
        <v>0</v>
      </c>
      <c r="AU59" s="194">
        <f t="shared" si="168"/>
        <v>0</v>
      </c>
      <c r="AV59" s="194">
        <f t="shared" si="168"/>
        <v>0</v>
      </c>
      <c r="AW59" s="194">
        <f t="shared" si="168"/>
        <v>0</v>
      </c>
      <c r="AX59" s="194">
        <f t="shared" si="168"/>
        <v>0</v>
      </c>
      <c r="AY59" s="194">
        <f t="shared" si="168"/>
        <v>0</v>
      </c>
      <c r="AZ59" s="194">
        <f t="shared" si="168"/>
        <v>0</v>
      </c>
      <c r="BA59" s="194">
        <f t="shared" si="168"/>
        <v>0</v>
      </c>
      <c r="BB59" s="195">
        <f>BA59</f>
        <v>0</v>
      </c>
      <c r="BC59" s="194">
        <f aca="true" t="shared" si="169" ref="BC59:BN59">BB59+BC54-BC57+BC55</f>
        <v>0</v>
      </c>
      <c r="BD59" s="194">
        <f t="shared" si="169"/>
        <v>0</v>
      </c>
      <c r="BE59" s="194">
        <f t="shared" si="169"/>
        <v>0</v>
      </c>
      <c r="BF59" s="194">
        <f t="shared" si="169"/>
        <v>0</v>
      </c>
      <c r="BG59" s="194">
        <f t="shared" si="169"/>
        <v>0</v>
      </c>
      <c r="BH59" s="194">
        <f t="shared" si="169"/>
        <v>0</v>
      </c>
      <c r="BI59" s="194">
        <f t="shared" si="169"/>
        <v>0</v>
      </c>
      <c r="BJ59" s="194">
        <f t="shared" si="169"/>
        <v>0</v>
      </c>
      <c r="BK59" s="194">
        <f t="shared" si="169"/>
        <v>0</v>
      </c>
      <c r="BL59" s="194">
        <f t="shared" si="169"/>
        <v>0</v>
      </c>
      <c r="BM59" s="194">
        <f t="shared" si="169"/>
        <v>0</v>
      </c>
      <c r="BN59" s="194">
        <f t="shared" si="169"/>
        <v>0</v>
      </c>
      <c r="BO59" s="195">
        <f>BN59</f>
        <v>0</v>
      </c>
      <c r="BP59" s="194">
        <f aca="true" t="shared" si="170" ref="BP59:CA59">BO59+BP54-BP57+BP55</f>
        <v>0</v>
      </c>
      <c r="BQ59" s="194">
        <f t="shared" si="170"/>
        <v>0</v>
      </c>
      <c r="BR59" s="194">
        <f t="shared" si="170"/>
        <v>0</v>
      </c>
      <c r="BS59" s="194">
        <f t="shared" si="170"/>
        <v>0</v>
      </c>
      <c r="BT59" s="194">
        <f t="shared" si="170"/>
        <v>0</v>
      </c>
      <c r="BU59" s="194">
        <f t="shared" si="170"/>
        <v>0</v>
      </c>
      <c r="BV59" s="194">
        <f t="shared" si="170"/>
        <v>0</v>
      </c>
      <c r="BW59" s="194">
        <f t="shared" si="170"/>
        <v>0</v>
      </c>
      <c r="BX59" s="194">
        <f t="shared" si="170"/>
        <v>0</v>
      </c>
      <c r="BY59" s="194">
        <f t="shared" si="170"/>
        <v>0</v>
      </c>
      <c r="BZ59" s="194">
        <f t="shared" si="170"/>
        <v>0</v>
      </c>
      <c r="CA59" s="194">
        <f t="shared" si="170"/>
        <v>0</v>
      </c>
      <c r="CB59" s="195">
        <f>CA59</f>
        <v>0</v>
      </c>
      <c r="CC59" s="194">
        <f aca="true" t="shared" si="171" ref="CC59:CN59">CB59+CC54-CC57+CC55</f>
        <v>0</v>
      </c>
      <c r="CD59" s="194">
        <f t="shared" si="171"/>
        <v>0</v>
      </c>
      <c r="CE59" s="194">
        <f t="shared" si="171"/>
        <v>0</v>
      </c>
      <c r="CF59" s="194">
        <f t="shared" si="171"/>
        <v>0</v>
      </c>
      <c r="CG59" s="194">
        <f t="shared" si="171"/>
        <v>0</v>
      </c>
      <c r="CH59" s="194">
        <f t="shared" si="171"/>
        <v>0</v>
      </c>
      <c r="CI59" s="194">
        <f t="shared" si="171"/>
        <v>0</v>
      </c>
      <c r="CJ59" s="194">
        <f t="shared" si="171"/>
        <v>0</v>
      </c>
      <c r="CK59" s="194">
        <f t="shared" si="171"/>
        <v>0</v>
      </c>
      <c r="CL59" s="194">
        <f t="shared" si="171"/>
        <v>0</v>
      </c>
      <c r="CM59" s="194">
        <f t="shared" si="171"/>
        <v>0</v>
      </c>
      <c r="CN59" s="194">
        <f t="shared" si="171"/>
        <v>0</v>
      </c>
      <c r="CO59" s="195">
        <f>CN59</f>
        <v>0</v>
      </c>
      <c r="CP59" s="194">
        <f aca="true" t="shared" si="172" ref="CP59:DA59">CO59+CP54-CP57+CP55</f>
        <v>0</v>
      </c>
      <c r="CQ59" s="194">
        <f t="shared" si="172"/>
        <v>0</v>
      </c>
      <c r="CR59" s="194">
        <f t="shared" si="172"/>
        <v>0</v>
      </c>
      <c r="CS59" s="194">
        <f t="shared" si="172"/>
        <v>0</v>
      </c>
      <c r="CT59" s="194">
        <f t="shared" si="172"/>
        <v>0</v>
      </c>
      <c r="CU59" s="194">
        <f t="shared" si="172"/>
        <v>0</v>
      </c>
      <c r="CV59" s="194">
        <f t="shared" si="172"/>
        <v>0</v>
      </c>
      <c r="CW59" s="194">
        <f t="shared" si="172"/>
        <v>0</v>
      </c>
      <c r="CX59" s="194">
        <f t="shared" si="172"/>
        <v>0</v>
      </c>
      <c r="CY59" s="194">
        <f t="shared" si="172"/>
        <v>0</v>
      </c>
      <c r="CZ59" s="194">
        <f t="shared" si="172"/>
        <v>0</v>
      </c>
      <c r="DA59" s="194">
        <f t="shared" si="172"/>
        <v>0</v>
      </c>
      <c r="DB59" s="195">
        <f>DA59</f>
        <v>0</v>
      </c>
      <c r="DC59" s="194">
        <f aca="true" t="shared" si="173" ref="DC59:DN59">DB59+DC54-DC57+DC55</f>
        <v>0</v>
      </c>
      <c r="DD59" s="194">
        <f t="shared" si="173"/>
        <v>0</v>
      </c>
      <c r="DE59" s="194">
        <f t="shared" si="173"/>
        <v>0</v>
      </c>
      <c r="DF59" s="194">
        <f t="shared" si="173"/>
        <v>0</v>
      </c>
      <c r="DG59" s="194">
        <f t="shared" si="173"/>
        <v>0</v>
      </c>
      <c r="DH59" s="194">
        <f t="shared" si="173"/>
        <v>0</v>
      </c>
      <c r="DI59" s="194">
        <f t="shared" si="173"/>
        <v>0</v>
      </c>
      <c r="DJ59" s="194">
        <f t="shared" si="173"/>
        <v>0</v>
      </c>
      <c r="DK59" s="194">
        <f t="shared" si="173"/>
        <v>0</v>
      </c>
      <c r="DL59" s="194">
        <f t="shared" si="173"/>
        <v>0</v>
      </c>
      <c r="DM59" s="194">
        <f t="shared" si="173"/>
        <v>0</v>
      </c>
      <c r="DN59" s="194">
        <f t="shared" si="173"/>
        <v>0</v>
      </c>
      <c r="DO59" s="195">
        <f>DN59</f>
        <v>0</v>
      </c>
    </row>
    <row r="60" spans="1:119" ht="12.75" hidden="1">
      <c r="A60" s="177" t="s">
        <v>78</v>
      </c>
      <c r="B60" s="284">
        <f>Исх!$C$46*12-Исх!$C$47</f>
        <v>75</v>
      </c>
      <c r="CP60" s="180"/>
      <c r="DB60" s="177"/>
      <c r="DO60" s="177"/>
    </row>
    <row r="61" spans="1:119" ht="12.75" hidden="1">
      <c r="A61" s="287" t="s">
        <v>253</v>
      </c>
      <c r="B61" s="288">
        <f>$U$59*$B$20/12/((1-(1+$B$20/12)^-$B60))</f>
        <v>0</v>
      </c>
      <c r="DB61" s="177"/>
      <c r="DO61" s="177"/>
    </row>
    <row r="62" spans="1:119" ht="6" customHeight="1" hidden="1">
      <c r="A62" s="285"/>
      <c r="B62" s="282"/>
      <c r="DB62" s="177"/>
      <c r="DO62" s="177"/>
    </row>
    <row r="63" spans="1:119" ht="12.75" hidden="1">
      <c r="A63" s="270" t="s">
        <v>241</v>
      </c>
      <c r="DB63" s="177"/>
      <c r="DO63" s="177"/>
    </row>
    <row r="64" spans="1:119" ht="12.75" hidden="1" outlineLevel="1">
      <c r="A64" s="271">
        <f>B54+B55-B57</f>
        <v>0</v>
      </c>
      <c r="DB64" s="177"/>
      <c r="DO64" s="177"/>
    </row>
    <row r="65" spans="1:119" ht="12.75" hidden="1" outlineLevel="1">
      <c r="A65" s="271">
        <f>B56-B55-B58</f>
        <v>0</v>
      </c>
      <c r="DB65" s="177"/>
      <c r="DO65" s="177"/>
    </row>
    <row r="66" ht="12.75" collapsed="1"/>
    <row r="67" spans="1:119" ht="12.75">
      <c r="A67" s="296" t="s">
        <v>270</v>
      </c>
      <c r="B67" s="297"/>
      <c r="DB67" s="177"/>
      <c r="DO67" s="177"/>
    </row>
    <row r="68" spans="1:119" ht="15.75" customHeight="1">
      <c r="A68" s="186" t="s">
        <v>11</v>
      </c>
      <c r="B68" s="286">
        <f>Исх!$C$45</f>
        <v>0.07</v>
      </c>
      <c r="C68" s="367">
        <v>2013</v>
      </c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>
        <v>2014</v>
      </c>
      <c r="Q68" s="367"/>
      <c r="R68" s="367"/>
      <c r="S68" s="367"/>
      <c r="T68" s="367"/>
      <c r="U68" s="367"/>
      <c r="V68" s="367"/>
      <c r="W68" s="367"/>
      <c r="X68" s="367"/>
      <c r="Y68" s="367"/>
      <c r="Z68" s="367"/>
      <c r="AA68" s="367"/>
      <c r="AB68" s="367"/>
      <c r="AC68" s="367">
        <v>2015</v>
      </c>
      <c r="AD68" s="367"/>
      <c r="AE68" s="367"/>
      <c r="AF68" s="367"/>
      <c r="AG68" s="367"/>
      <c r="AH68" s="367"/>
      <c r="AI68" s="367"/>
      <c r="AJ68" s="367"/>
      <c r="AK68" s="367"/>
      <c r="AL68" s="367"/>
      <c r="AM68" s="367"/>
      <c r="AN68" s="367"/>
      <c r="AO68" s="367"/>
      <c r="AP68" s="367">
        <v>2016</v>
      </c>
      <c r="AQ68" s="367"/>
      <c r="AR68" s="367"/>
      <c r="AS68" s="367"/>
      <c r="AT68" s="367"/>
      <c r="AU68" s="367"/>
      <c r="AV68" s="367"/>
      <c r="AW68" s="367"/>
      <c r="AX68" s="367"/>
      <c r="AY68" s="367"/>
      <c r="AZ68" s="367"/>
      <c r="BA68" s="367"/>
      <c r="BB68" s="367"/>
      <c r="BC68" s="367">
        <v>2017</v>
      </c>
      <c r="BD68" s="367"/>
      <c r="BE68" s="367"/>
      <c r="BF68" s="367"/>
      <c r="BG68" s="367"/>
      <c r="BH68" s="367"/>
      <c r="BI68" s="367"/>
      <c r="BJ68" s="367"/>
      <c r="BK68" s="367"/>
      <c r="BL68" s="367"/>
      <c r="BM68" s="367"/>
      <c r="BN68" s="367"/>
      <c r="BO68" s="367"/>
      <c r="BP68" s="367">
        <v>2018</v>
      </c>
      <c r="BQ68" s="367"/>
      <c r="BR68" s="367"/>
      <c r="BS68" s="367"/>
      <c r="BT68" s="367"/>
      <c r="BU68" s="367"/>
      <c r="BV68" s="367"/>
      <c r="BW68" s="367"/>
      <c r="BX68" s="367"/>
      <c r="BY68" s="367"/>
      <c r="BZ68" s="367"/>
      <c r="CA68" s="367"/>
      <c r="CB68" s="367"/>
      <c r="CC68" s="367">
        <v>2019</v>
      </c>
      <c r="CD68" s="367"/>
      <c r="CE68" s="367"/>
      <c r="CF68" s="367"/>
      <c r="CG68" s="367"/>
      <c r="CH68" s="367"/>
      <c r="CI68" s="367"/>
      <c r="CJ68" s="367"/>
      <c r="CK68" s="367"/>
      <c r="CL68" s="367"/>
      <c r="CM68" s="367"/>
      <c r="CN68" s="367"/>
      <c r="CO68" s="367"/>
      <c r="CP68" s="367">
        <v>2020</v>
      </c>
      <c r="CQ68" s="367"/>
      <c r="CR68" s="367"/>
      <c r="CS68" s="367"/>
      <c r="CT68" s="367"/>
      <c r="CU68" s="367"/>
      <c r="CV68" s="367"/>
      <c r="CW68" s="367"/>
      <c r="CX68" s="367"/>
      <c r="CY68" s="367"/>
      <c r="CZ68" s="367"/>
      <c r="DA68" s="367"/>
      <c r="DB68" s="367"/>
      <c r="DC68" s="367">
        <v>2021</v>
      </c>
      <c r="DD68" s="367"/>
      <c r="DE68" s="367"/>
      <c r="DF68" s="367"/>
      <c r="DG68" s="367"/>
      <c r="DH68" s="367"/>
      <c r="DI68" s="367"/>
      <c r="DJ68" s="367"/>
      <c r="DK68" s="367"/>
      <c r="DL68" s="367"/>
      <c r="DM68" s="367"/>
      <c r="DN68" s="367"/>
      <c r="DO68" s="367"/>
    </row>
    <row r="69" spans="1:119" s="192" customFormat="1" ht="15" customHeight="1">
      <c r="A69" s="188" t="s">
        <v>9</v>
      </c>
      <c r="B69" s="189" t="s">
        <v>89</v>
      </c>
      <c r="C69" s="190">
        <v>1</v>
      </c>
      <c r="D69" s="190">
        <v>2</v>
      </c>
      <c r="E69" s="190">
        <f aca="true" t="shared" si="174" ref="E69:N69">D69+1</f>
        <v>3</v>
      </c>
      <c r="F69" s="190">
        <f t="shared" si="174"/>
        <v>4</v>
      </c>
      <c r="G69" s="190">
        <f t="shared" si="174"/>
        <v>5</v>
      </c>
      <c r="H69" s="190">
        <f t="shared" si="174"/>
        <v>6</v>
      </c>
      <c r="I69" s="190">
        <f t="shared" si="174"/>
        <v>7</v>
      </c>
      <c r="J69" s="190">
        <f t="shared" si="174"/>
        <v>8</v>
      </c>
      <c r="K69" s="190">
        <f t="shared" si="174"/>
        <v>9</v>
      </c>
      <c r="L69" s="190">
        <f t="shared" si="174"/>
        <v>10</v>
      </c>
      <c r="M69" s="190">
        <f t="shared" si="174"/>
        <v>11</v>
      </c>
      <c r="N69" s="190">
        <f t="shared" si="174"/>
        <v>12</v>
      </c>
      <c r="O69" s="191" t="str">
        <f>O53</f>
        <v>Итого</v>
      </c>
      <c r="P69" s="190">
        <v>1</v>
      </c>
      <c r="Q69" s="190">
        <v>2</v>
      </c>
      <c r="R69" s="190">
        <f aca="true" t="shared" si="175" ref="R69:AA69">Q69+1</f>
        <v>3</v>
      </c>
      <c r="S69" s="190">
        <f t="shared" si="175"/>
        <v>4</v>
      </c>
      <c r="T69" s="190">
        <f t="shared" si="175"/>
        <v>5</v>
      </c>
      <c r="U69" s="190">
        <f t="shared" si="175"/>
        <v>6</v>
      </c>
      <c r="V69" s="190">
        <f t="shared" si="175"/>
        <v>7</v>
      </c>
      <c r="W69" s="190">
        <f t="shared" si="175"/>
        <v>8</v>
      </c>
      <c r="X69" s="190">
        <f t="shared" si="175"/>
        <v>9</v>
      </c>
      <c r="Y69" s="190">
        <f t="shared" si="175"/>
        <v>10</v>
      </c>
      <c r="Z69" s="190">
        <f t="shared" si="175"/>
        <v>11</v>
      </c>
      <c r="AA69" s="190">
        <f t="shared" si="175"/>
        <v>12</v>
      </c>
      <c r="AB69" s="191" t="str">
        <f>AB53</f>
        <v>Итого</v>
      </c>
      <c r="AC69" s="190">
        <v>1</v>
      </c>
      <c r="AD69" s="190">
        <v>2</v>
      </c>
      <c r="AE69" s="190">
        <f aca="true" t="shared" si="176" ref="AE69:AN69">AD69+1</f>
        <v>3</v>
      </c>
      <c r="AF69" s="190">
        <f t="shared" si="176"/>
        <v>4</v>
      </c>
      <c r="AG69" s="190">
        <f t="shared" si="176"/>
        <v>5</v>
      </c>
      <c r="AH69" s="190">
        <f t="shared" si="176"/>
        <v>6</v>
      </c>
      <c r="AI69" s="190">
        <f t="shared" si="176"/>
        <v>7</v>
      </c>
      <c r="AJ69" s="190">
        <f t="shared" si="176"/>
        <v>8</v>
      </c>
      <c r="AK69" s="190">
        <f t="shared" si="176"/>
        <v>9</v>
      </c>
      <c r="AL69" s="190">
        <f t="shared" si="176"/>
        <v>10</v>
      </c>
      <c r="AM69" s="190">
        <f t="shared" si="176"/>
        <v>11</v>
      </c>
      <c r="AN69" s="190">
        <f t="shared" si="176"/>
        <v>12</v>
      </c>
      <c r="AO69" s="191" t="str">
        <f>AO53</f>
        <v>Итого</v>
      </c>
      <c r="AP69" s="190">
        <v>1</v>
      </c>
      <c r="AQ69" s="190">
        <v>2</v>
      </c>
      <c r="AR69" s="190">
        <f aca="true" t="shared" si="177" ref="AR69:BA69">AQ69+1</f>
        <v>3</v>
      </c>
      <c r="AS69" s="190">
        <f t="shared" si="177"/>
        <v>4</v>
      </c>
      <c r="AT69" s="190">
        <f t="shared" si="177"/>
        <v>5</v>
      </c>
      <c r="AU69" s="190">
        <f t="shared" si="177"/>
        <v>6</v>
      </c>
      <c r="AV69" s="190">
        <f t="shared" si="177"/>
        <v>7</v>
      </c>
      <c r="AW69" s="190">
        <f t="shared" si="177"/>
        <v>8</v>
      </c>
      <c r="AX69" s="190">
        <f t="shared" si="177"/>
        <v>9</v>
      </c>
      <c r="AY69" s="190">
        <f t="shared" si="177"/>
        <v>10</v>
      </c>
      <c r="AZ69" s="190">
        <f t="shared" si="177"/>
        <v>11</v>
      </c>
      <c r="BA69" s="190">
        <f t="shared" si="177"/>
        <v>12</v>
      </c>
      <c r="BB69" s="191" t="str">
        <f>BB53</f>
        <v>Итого</v>
      </c>
      <c r="BC69" s="190">
        <v>1</v>
      </c>
      <c r="BD69" s="190">
        <v>2</v>
      </c>
      <c r="BE69" s="190">
        <f aca="true" t="shared" si="178" ref="BE69:BN69">BD69+1</f>
        <v>3</v>
      </c>
      <c r="BF69" s="190">
        <f t="shared" si="178"/>
        <v>4</v>
      </c>
      <c r="BG69" s="190">
        <f t="shared" si="178"/>
        <v>5</v>
      </c>
      <c r="BH69" s="190">
        <f t="shared" si="178"/>
        <v>6</v>
      </c>
      <c r="BI69" s="190">
        <f t="shared" si="178"/>
        <v>7</v>
      </c>
      <c r="BJ69" s="190">
        <f t="shared" si="178"/>
        <v>8</v>
      </c>
      <c r="BK69" s="190">
        <f t="shared" si="178"/>
        <v>9</v>
      </c>
      <c r="BL69" s="190">
        <f t="shared" si="178"/>
        <v>10</v>
      </c>
      <c r="BM69" s="190">
        <f t="shared" si="178"/>
        <v>11</v>
      </c>
      <c r="BN69" s="190">
        <f t="shared" si="178"/>
        <v>12</v>
      </c>
      <c r="BO69" s="191" t="str">
        <f>BO53</f>
        <v>Итого</v>
      </c>
      <c r="BP69" s="190">
        <v>1</v>
      </c>
      <c r="BQ69" s="190">
        <v>2</v>
      </c>
      <c r="BR69" s="190">
        <f aca="true" t="shared" si="179" ref="BR69:CA69">BQ69+1</f>
        <v>3</v>
      </c>
      <c r="BS69" s="190">
        <f t="shared" si="179"/>
        <v>4</v>
      </c>
      <c r="BT69" s="190">
        <f t="shared" si="179"/>
        <v>5</v>
      </c>
      <c r="BU69" s="190">
        <f t="shared" si="179"/>
        <v>6</v>
      </c>
      <c r="BV69" s="190">
        <f t="shared" si="179"/>
        <v>7</v>
      </c>
      <c r="BW69" s="190">
        <f t="shared" si="179"/>
        <v>8</v>
      </c>
      <c r="BX69" s="190">
        <f t="shared" si="179"/>
        <v>9</v>
      </c>
      <c r="BY69" s="190">
        <f t="shared" si="179"/>
        <v>10</v>
      </c>
      <c r="BZ69" s="190">
        <f t="shared" si="179"/>
        <v>11</v>
      </c>
      <c r="CA69" s="190">
        <f t="shared" si="179"/>
        <v>12</v>
      </c>
      <c r="CB69" s="191" t="str">
        <f>CB53</f>
        <v>Итого</v>
      </c>
      <c r="CC69" s="190">
        <v>1</v>
      </c>
      <c r="CD69" s="190">
        <v>2</v>
      </c>
      <c r="CE69" s="190">
        <f aca="true" t="shared" si="180" ref="CE69:CN69">CD69+1</f>
        <v>3</v>
      </c>
      <c r="CF69" s="190">
        <f t="shared" si="180"/>
        <v>4</v>
      </c>
      <c r="CG69" s="190">
        <f t="shared" si="180"/>
        <v>5</v>
      </c>
      <c r="CH69" s="190">
        <f t="shared" si="180"/>
        <v>6</v>
      </c>
      <c r="CI69" s="190">
        <f t="shared" si="180"/>
        <v>7</v>
      </c>
      <c r="CJ69" s="190">
        <f t="shared" si="180"/>
        <v>8</v>
      </c>
      <c r="CK69" s="190">
        <f t="shared" si="180"/>
        <v>9</v>
      </c>
      <c r="CL69" s="190">
        <f t="shared" si="180"/>
        <v>10</v>
      </c>
      <c r="CM69" s="190">
        <f t="shared" si="180"/>
        <v>11</v>
      </c>
      <c r="CN69" s="190">
        <f t="shared" si="180"/>
        <v>12</v>
      </c>
      <c r="CO69" s="191" t="str">
        <f>CO53</f>
        <v>Итого</v>
      </c>
      <c r="CP69" s="190">
        <v>1</v>
      </c>
      <c r="CQ69" s="190">
        <f aca="true" t="shared" si="181" ref="CQ69:DA69">CP69+1</f>
        <v>2</v>
      </c>
      <c r="CR69" s="190">
        <f t="shared" si="181"/>
        <v>3</v>
      </c>
      <c r="CS69" s="190">
        <f t="shared" si="181"/>
        <v>4</v>
      </c>
      <c r="CT69" s="190">
        <f t="shared" si="181"/>
        <v>5</v>
      </c>
      <c r="CU69" s="190">
        <f t="shared" si="181"/>
        <v>6</v>
      </c>
      <c r="CV69" s="190">
        <f t="shared" si="181"/>
        <v>7</v>
      </c>
      <c r="CW69" s="190">
        <f t="shared" si="181"/>
        <v>8</v>
      </c>
      <c r="CX69" s="190">
        <f t="shared" si="181"/>
        <v>9</v>
      </c>
      <c r="CY69" s="190">
        <f t="shared" si="181"/>
        <v>10</v>
      </c>
      <c r="CZ69" s="190">
        <f t="shared" si="181"/>
        <v>11</v>
      </c>
      <c r="DA69" s="190">
        <f t="shared" si="181"/>
        <v>12</v>
      </c>
      <c r="DB69" s="191" t="str">
        <f>DB53</f>
        <v>Итого</v>
      </c>
      <c r="DC69" s="190">
        <v>1</v>
      </c>
      <c r="DD69" s="190">
        <f aca="true" t="shared" si="182" ref="DD69:DN69">DC69+1</f>
        <v>2</v>
      </c>
      <c r="DE69" s="190">
        <f t="shared" si="182"/>
        <v>3</v>
      </c>
      <c r="DF69" s="190">
        <f t="shared" si="182"/>
        <v>4</v>
      </c>
      <c r="DG69" s="190">
        <f t="shared" si="182"/>
        <v>5</v>
      </c>
      <c r="DH69" s="190">
        <f t="shared" si="182"/>
        <v>6</v>
      </c>
      <c r="DI69" s="190">
        <f t="shared" si="182"/>
        <v>7</v>
      </c>
      <c r="DJ69" s="190">
        <f t="shared" si="182"/>
        <v>8</v>
      </c>
      <c r="DK69" s="190">
        <f t="shared" si="182"/>
        <v>9</v>
      </c>
      <c r="DL69" s="190">
        <f t="shared" si="182"/>
        <v>10</v>
      </c>
      <c r="DM69" s="190">
        <f t="shared" si="182"/>
        <v>11</v>
      </c>
      <c r="DN69" s="190">
        <f t="shared" si="182"/>
        <v>12</v>
      </c>
      <c r="DO69" s="191" t="s">
        <v>0</v>
      </c>
    </row>
    <row r="70" spans="1:119" ht="12.75">
      <c r="A70" s="188" t="s">
        <v>106</v>
      </c>
      <c r="B70" s="193">
        <f>O70+AB70+AO70+BB70+BO70+CB70+CO70+DB70+DO70</f>
        <v>2518.6623000000004</v>
      </c>
      <c r="C70" s="194"/>
      <c r="D70" s="194"/>
      <c r="E70" s="194"/>
      <c r="F70" s="194"/>
      <c r="G70" s="194"/>
      <c r="H70" s="194"/>
      <c r="I70" s="194"/>
      <c r="J70" s="194"/>
      <c r="K70" s="194"/>
      <c r="L70" s="194">
        <f>'1-Ф3'!M$28</f>
        <v>2518.6623000000004</v>
      </c>
      <c r="M70" s="194"/>
      <c r="N70" s="194"/>
      <c r="O70" s="195">
        <f>SUM(C70:N70)</f>
        <v>2518.6623000000004</v>
      </c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>
        <f>SUM(P70:AA70)</f>
        <v>0</v>
      </c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>
        <f>SUM(AC70:AN70)</f>
        <v>0</v>
      </c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  <c r="CR70" s="194"/>
      <c r="CS70" s="194"/>
      <c r="CT70" s="194"/>
      <c r="CU70" s="194"/>
      <c r="CV70" s="194"/>
      <c r="CW70" s="194"/>
      <c r="CX70" s="194"/>
      <c r="CY70" s="194"/>
      <c r="CZ70" s="194"/>
      <c r="DA70" s="194"/>
      <c r="DB70" s="194"/>
      <c r="DC70" s="194"/>
      <c r="DD70" s="194"/>
      <c r="DE70" s="194"/>
      <c r="DF70" s="194"/>
      <c r="DG70" s="194"/>
      <c r="DH70" s="194"/>
      <c r="DI70" s="194"/>
      <c r="DJ70" s="194"/>
      <c r="DK70" s="194"/>
      <c r="DL70" s="194"/>
      <c r="DM70" s="194"/>
      <c r="DN70" s="194"/>
      <c r="DO70" s="194"/>
    </row>
    <row r="71" spans="1:119" s="197" customFormat="1" ht="20.25" customHeight="1">
      <c r="A71" s="188" t="s">
        <v>31</v>
      </c>
      <c r="B71" s="193">
        <f>O71+AB71+AO71+BB71+BO71+CB71+CO71+DB71+DO71</f>
        <v>132.22977075000003</v>
      </c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5">
        <f>SUM(C71:N71)</f>
        <v>0</v>
      </c>
      <c r="P71" s="194"/>
      <c r="Q71" s="194"/>
      <c r="R71" s="194"/>
      <c r="S71" s="194"/>
      <c r="T71" s="194"/>
      <c r="U71" s="194"/>
      <c r="V71" s="194">
        <f>SUM(O72:V72)</f>
        <v>132.22977075000003</v>
      </c>
      <c r="W71" s="194"/>
      <c r="X71" s="194"/>
      <c r="Y71" s="194"/>
      <c r="Z71" s="194"/>
      <c r="AA71" s="194"/>
      <c r="AB71" s="195">
        <f>SUM(P71:AA71)</f>
        <v>132.22977075000003</v>
      </c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5">
        <f>SUM(AC71:AN71)</f>
        <v>0</v>
      </c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5">
        <f>SUM(AP71:BA71)</f>
        <v>0</v>
      </c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5">
        <f>SUM(BC71:BN71)</f>
        <v>0</v>
      </c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5">
        <f>SUM(BP71:CA71)</f>
        <v>0</v>
      </c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195">
        <f>SUM(CC71:CN71)</f>
        <v>0</v>
      </c>
      <c r="CP71" s="194"/>
      <c r="CQ71" s="194"/>
      <c r="CR71" s="194"/>
      <c r="CS71" s="194"/>
      <c r="CT71" s="194"/>
      <c r="CU71" s="194"/>
      <c r="CV71" s="194"/>
      <c r="CW71" s="194"/>
      <c r="CX71" s="194"/>
      <c r="CY71" s="194"/>
      <c r="CZ71" s="194"/>
      <c r="DA71" s="194"/>
      <c r="DB71" s="195">
        <f>SUM(CP71:DA71)</f>
        <v>0</v>
      </c>
      <c r="DC71" s="194"/>
      <c r="DD71" s="194"/>
      <c r="DE71" s="194"/>
      <c r="DF71" s="194"/>
      <c r="DG71" s="194"/>
      <c r="DH71" s="194"/>
      <c r="DI71" s="194"/>
      <c r="DJ71" s="194"/>
      <c r="DK71" s="194"/>
      <c r="DL71" s="194"/>
      <c r="DM71" s="194"/>
      <c r="DN71" s="194"/>
      <c r="DO71" s="195">
        <f>SUM(DC71:DN71)</f>
        <v>0</v>
      </c>
    </row>
    <row r="72" spans="1:119" s="197" customFormat="1" ht="12.75">
      <c r="A72" s="198" t="s">
        <v>13</v>
      </c>
      <c r="B72" s="193">
        <f>O72+AB72+AO72+BB72+BO72+CB72+CO72+DB72+DO72</f>
        <v>761.8638333264015</v>
      </c>
      <c r="C72" s="194"/>
      <c r="D72" s="194">
        <f aca="true" t="shared" si="183" ref="D72:N72">C75*$B68/12</f>
        <v>0</v>
      </c>
      <c r="E72" s="194">
        <f t="shared" si="183"/>
        <v>0</v>
      </c>
      <c r="F72" s="194">
        <f t="shared" si="183"/>
        <v>0</v>
      </c>
      <c r="G72" s="194">
        <f t="shared" si="183"/>
        <v>0</v>
      </c>
      <c r="H72" s="194">
        <f t="shared" si="183"/>
        <v>0</v>
      </c>
      <c r="I72" s="194">
        <f t="shared" si="183"/>
        <v>0</v>
      </c>
      <c r="J72" s="194">
        <f t="shared" si="183"/>
        <v>0</v>
      </c>
      <c r="K72" s="194">
        <f t="shared" si="183"/>
        <v>0</v>
      </c>
      <c r="L72" s="194">
        <f t="shared" si="183"/>
        <v>0</v>
      </c>
      <c r="M72" s="194">
        <f t="shared" si="183"/>
        <v>14.692196750000003</v>
      </c>
      <c r="N72" s="194">
        <f t="shared" si="183"/>
        <v>14.692196750000003</v>
      </c>
      <c r="O72" s="195">
        <f>SUM(C72:N72)</f>
        <v>29.384393500000005</v>
      </c>
      <c r="P72" s="194">
        <f aca="true" t="shared" si="184" ref="P72:AA72">O75*$B68/12</f>
        <v>14.692196750000003</v>
      </c>
      <c r="Q72" s="194">
        <f t="shared" si="184"/>
        <v>14.692196750000003</v>
      </c>
      <c r="R72" s="194">
        <f t="shared" si="184"/>
        <v>14.692196750000003</v>
      </c>
      <c r="S72" s="194">
        <f t="shared" si="184"/>
        <v>14.692196750000003</v>
      </c>
      <c r="T72" s="194">
        <f t="shared" si="184"/>
        <v>14.692196750000003</v>
      </c>
      <c r="U72" s="194">
        <f t="shared" si="184"/>
        <v>14.692196750000003</v>
      </c>
      <c r="V72" s="194">
        <f t="shared" si="184"/>
        <v>14.692196750000003</v>
      </c>
      <c r="W72" s="194">
        <f t="shared" si="184"/>
        <v>15.463537079375007</v>
      </c>
      <c r="X72" s="194">
        <f t="shared" si="184"/>
        <v>15.298589013079308</v>
      </c>
      <c r="Y72" s="194">
        <f t="shared" si="184"/>
        <v>15.132678749730216</v>
      </c>
      <c r="Z72" s="194">
        <f t="shared" si="184"/>
        <v>14.965800676511591</v>
      </c>
      <c r="AA72" s="194">
        <f t="shared" si="184"/>
        <v>14.797949147865856</v>
      </c>
      <c r="AB72" s="195">
        <f>SUM(P72:AA72)</f>
        <v>178.50393191656198</v>
      </c>
      <c r="AC72" s="194">
        <f aca="true" t="shared" si="185" ref="AC72:AN72">AB75*$B68/12</f>
        <v>14.62911848530302</v>
      </c>
      <c r="AD72" s="194">
        <f t="shared" si="185"/>
        <v>14.459302977208566</v>
      </c>
      <c r="AE72" s="194">
        <f t="shared" si="185"/>
        <v>14.288496878650228</v>
      </c>
      <c r="AF72" s="194">
        <f t="shared" si="185"/>
        <v>14.116694411183635</v>
      </c>
      <c r="AG72" s="194">
        <f t="shared" si="185"/>
        <v>13.943889762656818</v>
      </c>
      <c r="AH72" s="194">
        <f t="shared" si="185"/>
        <v>13.770077087013597</v>
      </c>
      <c r="AI72" s="194">
        <f t="shared" si="185"/>
        <v>13.59525050409579</v>
      </c>
      <c r="AJ72" s="194">
        <f t="shared" si="185"/>
        <v>13.419404099444295</v>
      </c>
      <c r="AK72" s="194">
        <f t="shared" si="185"/>
        <v>13.242531924099</v>
      </c>
      <c r="AL72" s="194">
        <f t="shared" si="185"/>
        <v>13.064627994397526</v>
      </c>
      <c r="AM72" s="194">
        <f t="shared" si="185"/>
        <v>12.885686291772792</v>
      </c>
      <c r="AN72" s="194">
        <f t="shared" si="185"/>
        <v>12.705700762549412</v>
      </c>
      <c r="AO72" s="195">
        <f>SUM(AC72:AN72)</f>
        <v>164.1207811783747</v>
      </c>
      <c r="AP72" s="194">
        <f aca="true" t="shared" si="186" ref="AP72:BA72">AO75*$B68/12</f>
        <v>12.524665317738895</v>
      </c>
      <c r="AQ72" s="194">
        <f t="shared" si="186"/>
        <v>12.342573832833656</v>
      </c>
      <c r="AR72" s="194">
        <f t="shared" si="186"/>
        <v>12.159420147599796</v>
      </c>
      <c r="AS72" s="194">
        <f t="shared" si="186"/>
        <v>11.975198065868744</v>
      </c>
      <c r="AT72" s="194">
        <f t="shared" si="186"/>
        <v>11.789901355327592</v>
      </c>
      <c r="AU72" s="194">
        <f t="shared" si="186"/>
        <v>11.603523747308282</v>
      </c>
      <c r="AV72" s="194">
        <f t="shared" si="186"/>
        <v>11.41605893657553</v>
      </c>
      <c r="AW72" s="194">
        <f t="shared" si="186"/>
        <v>11.227500581113501</v>
      </c>
      <c r="AX72" s="194">
        <f t="shared" si="186"/>
        <v>11.037842301911276</v>
      </c>
      <c r="AY72" s="194">
        <f t="shared" si="186"/>
        <v>10.84707768274704</v>
      </c>
      <c r="AZ72" s="194">
        <f t="shared" si="186"/>
        <v>10.655200269971012</v>
      </c>
      <c r="BA72" s="194">
        <f t="shared" si="186"/>
        <v>10.462203572287121</v>
      </c>
      <c r="BB72" s="195">
        <f>SUM(AP72:BA72)</f>
        <v>138.04116581128244</v>
      </c>
      <c r="BC72" s="194">
        <f aca="true" t="shared" si="187" ref="BC72:BN72">BB75*$B68/12</f>
        <v>10.268081060533412</v>
      </c>
      <c r="BD72" s="194">
        <f t="shared" si="187"/>
        <v>10.072826167461136</v>
      </c>
      <c r="BE72" s="194">
        <f t="shared" si="187"/>
        <v>9.876432287512607</v>
      </c>
      <c r="BF72" s="194">
        <f t="shared" si="187"/>
        <v>9.678892776597712</v>
      </c>
      <c r="BG72" s="194">
        <f t="shared" si="187"/>
        <v>9.480200951869145</v>
      </c>
      <c r="BH72" s="194">
        <f t="shared" si="187"/>
        <v>9.280350091496329</v>
      </c>
      <c r="BI72" s="194">
        <f t="shared" si="187"/>
        <v>9.079333434438006</v>
      </c>
      <c r="BJ72" s="194">
        <f t="shared" si="187"/>
        <v>8.877144180213508</v>
      </c>
      <c r="BK72" s="194">
        <f t="shared" si="187"/>
        <v>8.673775488672701</v>
      </c>
      <c r="BL72" s="194">
        <f t="shared" si="187"/>
        <v>8.469220479764571</v>
      </c>
      <c r="BM72" s="194">
        <f t="shared" si="187"/>
        <v>8.263472233304478</v>
      </c>
      <c r="BN72" s="194">
        <f t="shared" si="187"/>
        <v>8.056523788740035</v>
      </c>
      <c r="BO72" s="195">
        <f>SUM(BC72:BN72)</f>
        <v>110.07625294060365</v>
      </c>
      <c r="BP72" s="194">
        <f aca="true" t="shared" si="188" ref="BP72:CA72">BO75*$B68/12</f>
        <v>7.848368144915632</v>
      </c>
      <c r="BQ72" s="194">
        <f t="shared" si="188"/>
        <v>7.638998259835588</v>
      </c>
      <c r="BR72" s="194">
        <f t="shared" si="188"/>
        <v>7.428407050425908</v>
      </c>
      <c r="BS72" s="194">
        <f t="shared" si="188"/>
        <v>7.216587392294674</v>
      </c>
      <c r="BT72" s="194">
        <f t="shared" si="188"/>
        <v>7.003532119491006</v>
      </c>
      <c r="BU72" s="194">
        <f t="shared" si="188"/>
        <v>6.789234024262652</v>
      </c>
      <c r="BV72" s="194">
        <f t="shared" si="188"/>
        <v>6.573685856812131</v>
      </c>
      <c r="BW72" s="194">
        <f t="shared" si="188"/>
        <v>6.356880325051482</v>
      </c>
      <c r="BX72" s="194">
        <f t="shared" si="188"/>
        <v>6.138810094355563</v>
      </c>
      <c r="BY72" s="194">
        <f t="shared" si="188"/>
        <v>5.919467787313917</v>
      </c>
      <c r="BZ72" s="194">
        <f t="shared" si="188"/>
        <v>5.698845983481196</v>
      </c>
      <c r="CA72" s="194">
        <f t="shared" si="188"/>
        <v>5.476937219126118</v>
      </c>
      <c r="CB72" s="195">
        <f>SUM(BP72:CA72)</f>
        <v>80.08975425736587</v>
      </c>
      <c r="CC72" s="194">
        <f aca="true" t="shared" si="189" ref="CC72:CN72">CB75*$B68/12</f>
        <v>5.253733986978967</v>
      </c>
      <c r="CD72" s="194">
        <f t="shared" si="189"/>
        <v>5.029228735977624</v>
      </c>
      <c r="CE72" s="194">
        <f t="shared" si="189"/>
        <v>4.803413871012109</v>
      </c>
      <c r="CF72" s="194">
        <f t="shared" si="189"/>
        <v>4.576281752667626</v>
      </c>
      <c r="CG72" s="194">
        <f t="shared" si="189"/>
        <v>4.347824696966134</v>
      </c>
      <c r="CH72" s="194">
        <f t="shared" si="189"/>
        <v>4.118034975106384</v>
      </c>
      <c r="CI72" s="194">
        <f t="shared" si="189"/>
        <v>3.886904813202452</v>
      </c>
      <c r="CJ72" s="194">
        <f t="shared" si="189"/>
        <v>3.654426392020746</v>
      </c>
      <c r="CK72" s="194">
        <f t="shared" si="189"/>
        <v>3.420591846715481</v>
      </c>
      <c r="CL72" s="194">
        <f t="shared" si="189"/>
        <v>3.185393266562602</v>
      </c>
      <c r="CM72" s="194">
        <f t="shared" si="189"/>
        <v>2.9488226946921645</v>
      </c>
      <c r="CN72" s="194">
        <f t="shared" si="189"/>
        <v>2.710872127819149</v>
      </c>
      <c r="CO72" s="195">
        <f>SUM(CC72:CN72)</f>
        <v>47.93552915972143</v>
      </c>
      <c r="CP72" s="194">
        <f aca="true" t="shared" si="190" ref="CP72:DA72">CO75*$B68/12</f>
        <v>2.471533515972708</v>
      </c>
      <c r="CQ72" s="194">
        <f t="shared" si="190"/>
        <v>2.2307987622238294</v>
      </c>
      <c r="CR72" s="194">
        <f t="shared" si="190"/>
        <v>1.988659722411416</v>
      </c>
      <c r="CS72" s="194">
        <f t="shared" si="190"/>
        <v>1.745108204866763</v>
      </c>
      <c r="CT72" s="194">
        <f t="shared" si="190"/>
        <v>1.500135970136433</v>
      </c>
      <c r="CU72" s="194">
        <f t="shared" si="190"/>
        <v>1.2537347307035094</v>
      </c>
      <c r="CV72" s="194">
        <f t="shared" si="190"/>
        <v>1.0058961507072273</v>
      </c>
      <c r="CW72" s="194">
        <f t="shared" si="190"/>
        <v>0.7566118456609666</v>
      </c>
      <c r="CX72" s="194">
        <f t="shared" si="190"/>
        <v>0.5058733821686029</v>
      </c>
      <c r="CY72" s="194">
        <f t="shared" si="190"/>
        <v>0.25367227763920025</v>
      </c>
      <c r="CZ72" s="194">
        <f t="shared" si="190"/>
        <v>4.285756934526338E-14</v>
      </c>
      <c r="DA72" s="194">
        <f t="shared" si="190"/>
        <v>4.285756934526338E-14</v>
      </c>
      <c r="DB72" s="195">
        <f>SUM(CP72:DA72)</f>
        <v>13.712024562490745</v>
      </c>
      <c r="DC72" s="194">
        <f aca="true" t="shared" si="191" ref="DC72:DN72">DB75*$B68/12</f>
        <v>4.285756934526338E-14</v>
      </c>
      <c r="DD72" s="194">
        <f t="shared" si="191"/>
        <v>4.285756934526338E-14</v>
      </c>
      <c r="DE72" s="194">
        <f t="shared" si="191"/>
        <v>4.285756934526338E-14</v>
      </c>
      <c r="DF72" s="194">
        <f t="shared" si="191"/>
        <v>4.285756934526338E-14</v>
      </c>
      <c r="DG72" s="194">
        <f t="shared" si="191"/>
        <v>4.285756934526338E-14</v>
      </c>
      <c r="DH72" s="194">
        <f t="shared" si="191"/>
        <v>4.285756934526338E-14</v>
      </c>
      <c r="DI72" s="194">
        <f t="shared" si="191"/>
        <v>4.285756934526338E-14</v>
      </c>
      <c r="DJ72" s="194">
        <f t="shared" si="191"/>
        <v>4.285756934526338E-14</v>
      </c>
      <c r="DK72" s="194">
        <f t="shared" si="191"/>
        <v>4.285756934526338E-14</v>
      </c>
      <c r="DL72" s="194">
        <f t="shared" si="191"/>
        <v>4.285756934526338E-14</v>
      </c>
      <c r="DM72" s="194">
        <f t="shared" si="191"/>
        <v>4.285756934526338E-14</v>
      </c>
      <c r="DN72" s="194">
        <f t="shared" si="191"/>
        <v>4.285756934526338E-14</v>
      </c>
      <c r="DO72" s="195">
        <f>SUM(DC72:DN72)</f>
        <v>5.142908321431606E-13</v>
      </c>
    </row>
    <row r="73" spans="1:119" ht="12.75">
      <c r="A73" s="188" t="s">
        <v>14</v>
      </c>
      <c r="B73" s="193">
        <f>O73+AB73+AO73+BB73+BO73+CB73+CO73+DB73+DO73</f>
        <v>2650.892070749991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9"/>
      <c r="N73" s="199"/>
      <c r="O73" s="195">
        <f>SUM(C73:N73)</f>
        <v>0</v>
      </c>
      <c r="P73" s="199"/>
      <c r="Q73" s="199"/>
      <c r="R73" s="199"/>
      <c r="S73" s="199"/>
      <c r="T73" s="199"/>
      <c r="U73" s="199"/>
      <c r="V73" s="199"/>
      <c r="W73" s="194">
        <f>$B77-W72</f>
        <v>28.276811364976886</v>
      </c>
      <c r="X73" s="194">
        <f>$B77-X72</f>
        <v>28.441759431272587</v>
      </c>
      <c r="Y73" s="194">
        <f>$B77-Y72</f>
        <v>28.607669694621677</v>
      </c>
      <c r="Z73" s="194">
        <f>$B77-Z72</f>
        <v>28.774547767840303</v>
      </c>
      <c r="AA73" s="194">
        <f>$B77-AA72</f>
        <v>28.942399296486037</v>
      </c>
      <c r="AB73" s="195">
        <f>SUM(P73:AA73)</f>
        <v>143.0431875551975</v>
      </c>
      <c r="AC73" s="194">
        <f aca="true" t="shared" si="192" ref="AC73:AN73">$B77-AC72</f>
        <v>29.111229959048877</v>
      </c>
      <c r="AD73" s="194">
        <f t="shared" si="192"/>
        <v>29.28104546714333</v>
      </c>
      <c r="AE73" s="194">
        <f t="shared" si="192"/>
        <v>29.451851565701666</v>
      </c>
      <c r="AF73" s="194">
        <f t="shared" si="192"/>
        <v>29.623654033168258</v>
      </c>
      <c r="AG73" s="194">
        <f t="shared" si="192"/>
        <v>29.79645868169508</v>
      </c>
      <c r="AH73" s="194">
        <f t="shared" si="192"/>
        <v>29.970271357338298</v>
      </c>
      <c r="AI73" s="194">
        <f t="shared" si="192"/>
        <v>30.145097940256107</v>
      </c>
      <c r="AJ73" s="194">
        <f t="shared" si="192"/>
        <v>30.320944344907602</v>
      </c>
      <c r="AK73" s="194">
        <f t="shared" si="192"/>
        <v>30.497816520252897</v>
      </c>
      <c r="AL73" s="194">
        <f t="shared" si="192"/>
        <v>30.67572044995437</v>
      </c>
      <c r="AM73" s="194">
        <f t="shared" si="192"/>
        <v>30.854662152579102</v>
      </c>
      <c r="AN73" s="194">
        <f t="shared" si="192"/>
        <v>31.034647681802483</v>
      </c>
      <c r="AO73" s="195">
        <f>SUM(AC73:AN73)</f>
        <v>360.7634001538481</v>
      </c>
      <c r="AP73" s="194">
        <f aca="true" t="shared" si="193" ref="AP73:BA73">$B77-AP72</f>
        <v>31.215683126613</v>
      </c>
      <c r="AQ73" s="194">
        <f t="shared" si="193"/>
        <v>31.397774611518237</v>
      </c>
      <c r="AR73" s="194">
        <f t="shared" si="193"/>
        <v>31.5809282967521</v>
      </c>
      <c r="AS73" s="194">
        <f t="shared" si="193"/>
        <v>31.76515037848315</v>
      </c>
      <c r="AT73" s="194">
        <f t="shared" si="193"/>
        <v>31.9504470890243</v>
      </c>
      <c r="AU73" s="194">
        <f t="shared" si="193"/>
        <v>32.136824697043615</v>
      </c>
      <c r="AV73" s="194">
        <f t="shared" si="193"/>
        <v>32.32428950777636</v>
      </c>
      <c r="AW73" s="194">
        <f t="shared" si="193"/>
        <v>32.51284786323839</v>
      </c>
      <c r="AX73" s="194">
        <f t="shared" si="193"/>
        <v>32.70250614244062</v>
      </c>
      <c r="AY73" s="194">
        <f t="shared" si="193"/>
        <v>32.89327076160485</v>
      </c>
      <c r="AZ73" s="194">
        <f t="shared" si="193"/>
        <v>33.08514817438088</v>
      </c>
      <c r="BA73" s="194">
        <f t="shared" si="193"/>
        <v>33.27814487206477</v>
      </c>
      <c r="BB73" s="195">
        <f>SUM(AP73:BA73)</f>
        <v>386.8430155209403</v>
      </c>
      <c r="BC73" s="194">
        <f aca="true" t="shared" si="194" ref="BC73:BN73">$B77-BC72</f>
        <v>33.47226738381848</v>
      </c>
      <c r="BD73" s="194">
        <f t="shared" si="194"/>
        <v>33.66752227689076</v>
      </c>
      <c r="BE73" s="194">
        <f t="shared" si="194"/>
        <v>33.86391615683929</v>
      </c>
      <c r="BF73" s="194">
        <f t="shared" si="194"/>
        <v>34.06145566775418</v>
      </c>
      <c r="BG73" s="194">
        <f t="shared" si="194"/>
        <v>34.26014749248275</v>
      </c>
      <c r="BH73" s="194">
        <f t="shared" si="194"/>
        <v>34.459998352855564</v>
      </c>
      <c r="BI73" s="194">
        <f t="shared" si="194"/>
        <v>34.66101500991389</v>
      </c>
      <c r="BJ73" s="194">
        <f t="shared" si="194"/>
        <v>34.86320426413839</v>
      </c>
      <c r="BK73" s="194">
        <f t="shared" si="194"/>
        <v>35.06657295567919</v>
      </c>
      <c r="BL73" s="194">
        <f t="shared" si="194"/>
        <v>35.27112796458732</v>
      </c>
      <c r="BM73" s="194">
        <f t="shared" si="194"/>
        <v>35.47687621104742</v>
      </c>
      <c r="BN73" s="194">
        <f t="shared" si="194"/>
        <v>35.68382465561186</v>
      </c>
      <c r="BO73" s="195">
        <f>SUM(BC73:BN73)</f>
        <v>414.80792839161904</v>
      </c>
      <c r="BP73" s="194">
        <f aca="true" t="shared" si="195" ref="BP73:CA73">$B77-BP72</f>
        <v>35.89198029943626</v>
      </c>
      <c r="BQ73" s="194">
        <f t="shared" si="195"/>
        <v>36.101350184516306</v>
      </c>
      <c r="BR73" s="194">
        <f t="shared" si="195"/>
        <v>36.311941393925984</v>
      </c>
      <c r="BS73" s="194">
        <f t="shared" si="195"/>
        <v>36.523761052057225</v>
      </c>
      <c r="BT73" s="194">
        <f t="shared" si="195"/>
        <v>36.73681632486089</v>
      </c>
      <c r="BU73" s="194">
        <f t="shared" si="195"/>
        <v>36.95111442008924</v>
      </c>
      <c r="BV73" s="194">
        <f t="shared" si="195"/>
        <v>37.16666258753976</v>
      </c>
      <c r="BW73" s="194">
        <f t="shared" si="195"/>
        <v>37.38346811930041</v>
      </c>
      <c r="BX73" s="194">
        <f t="shared" si="195"/>
        <v>37.60153834999633</v>
      </c>
      <c r="BY73" s="194">
        <f t="shared" si="195"/>
        <v>37.820880657037975</v>
      </c>
      <c r="BZ73" s="194">
        <f t="shared" si="195"/>
        <v>38.041502460870696</v>
      </c>
      <c r="CA73" s="194">
        <f t="shared" si="195"/>
        <v>38.26341122522578</v>
      </c>
      <c r="CB73" s="195">
        <f>SUM(BP73:CA73)</f>
        <v>444.7944270748568</v>
      </c>
      <c r="CC73" s="194">
        <f aca="true" t="shared" si="196" ref="CC73:CN73">$B77-CC72</f>
        <v>38.48661445737293</v>
      </c>
      <c r="CD73" s="194">
        <f t="shared" si="196"/>
        <v>38.71111970837427</v>
      </c>
      <c r="CE73" s="194">
        <f t="shared" si="196"/>
        <v>38.936934573339784</v>
      </c>
      <c r="CF73" s="194">
        <f t="shared" si="196"/>
        <v>39.16406669168427</v>
      </c>
      <c r="CG73" s="194">
        <f t="shared" si="196"/>
        <v>39.39252374738576</v>
      </c>
      <c r="CH73" s="194">
        <f t="shared" si="196"/>
        <v>39.62231346924551</v>
      </c>
      <c r="CI73" s="194">
        <f t="shared" si="196"/>
        <v>39.853443631149446</v>
      </c>
      <c r="CJ73" s="194">
        <f t="shared" si="196"/>
        <v>40.08592205233115</v>
      </c>
      <c r="CK73" s="194">
        <f t="shared" si="196"/>
        <v>40.31975659763641</v>
      </c>
      <c r="CL73" s="194">
        <f t="shared" si="196"/>
        <v>40.554955177789296</v>
      </c>
      <c r="CM73" s="194">
        <f t="shared" si="196"/>
        <v>40.79152574965973</v>
      </c>
      <c r="CN73" s="194">
        <f t="shared" si="196"/>
        <v>41.029476316532744</v>
      </c>
      <c r="CO73" s="195">
        <f>SUM(CC73:CN73)</f>
        <v>476.9486521725013</v>
      </c>
      <c r="CP73" s="194">
        <f aca="true" t="shared" si="197" ref="CP73:CY73">$B77-CP72</f>
        <v>41.268814928379186</v>
      </c>
      <c r="CQ73" s="194">
        <f t="shared" si="197"/>
        <v>41.50954968212807</v>
      </c>
      <c r="CR73" s="194">
        <f t="shared" si="197"/>
        <v>41.75168872194048</v>
      </c>
      <c r="CS73" s="194">
        <f t="shared" si="197"/>
        <v>41.995240239485135</v>
      </c>
      <c r="CT73" s="194">
        <f t="shared" si="197"/>
        <v>42.24021247421546</v>
      </c>
      <c r="CU73" s="194">
        <f t="shared" si="197"/>
        <v>42.48661371364839</v>
      </c>
      <c r="CV73" s="194">
        <f t="shared" si="197"/>
        <v>42.734452293644665</v>
      </c>
      <c r="CW73" s="194">
        <f t="shared" si="197"/>
        <v>42.983736598690925</v>
      </c>
      <c r="CX73" s="194">
        <f t="shared" si="197"/>
        <v>43.23447506218329</v>
      </c>
      <c r="CY73" s="194">
        <f t="shared" si="197"/>
        <v>43.4866761667127</v>
      </c>
      <c r="CZ73" s="194"/>
      <c r="DA73" s="194"/>
      <c r="DB73" s="195">
        <f>SUM(CP73:DA73)</f>
        <v>423.69145988102827</v>
      </c>
      <c r="DC73" s="194"/>
      <c r="DD73" s="194"/>
      <c r="DE73" s="194"/>
      <c r="DF73" s="194"/>
      <c r="DG73" s="194"/>
      <c r="DH73" s="194"/>
      <c r="DI73" s="194"/>
      <c r="DJ73" s="194"/>
      <c r="DK73" s="194"/>
      <c r="DL73" s="194"/>
      <c r="DM73" s="194"/>
      <c r="DN73" s="194"/>
      <c r="DO73" s="195">
        <f>SUM(DC73:DN73)</f>
        <v>0</v>
      </c>
    </row>
    <row r="74" spans="1:119" ht="12.75">
      <c r="A74" s="188" t="s">
        <v>15</v>
      </c>
      <c r="B74" s="193">
        <f>O74+AB74+AO74+BB74+BO74+CB74+CO74+DB74+DO74</f>
        <v>629.6340625764014</v>
      </c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9"/>
      <c r="N74" s="199"/>
      <c r="O74" s="195">
        <f>SUM(C74:N74)</f>
        <v>0</v>
      </c>
      <c r="P74" s="199"/>
      <c r="Q74" s="199"/>
      <c r="R74" s="199"/>
      <c r="S74" s="199"/>
      <c r="T74" s="199"/>
      <c r="U74" s="199"/>
      <c r="V74" s="199"/>
      <c r="W74" s="194">
        <f>W72</f>
        <v>15.463537079375007</v>
      </c>
      <c r="X74" s="194">
        <f>X72</f>
        <v>15.298589013079308</v>
      </c>
      <c r="Y74" s="194">
        <f>Y72</f>
        <v>15.132678749730216</v>
      </c>
      <c r="Z74" s="194">
        <f>Z72</f>
        <v>14.965800676511591</v>
      </c>
      <c r="AA74" s="194">
        <f>AA72</f>
        <v>14.797949147865856</v>
      </c>
      <c r="AB74" s="195">
        <f>SUM(P74:AA74)</f>
        <v>75.65855466656198</v>
      </c>
      <c r="AC74" s="194">
        <f aca="true" t="shared" si="198" ref="AC74:AK74">AC72</f>
        <v>14.62911848530302</v>
      </c>
      <c r="AD74" s="194">
        <f t="shared" si="198"/>
        <v>14.459302977208566</v>
      </c>
      <c r="AE74" s="194">
        <f t="shared" si="198"/>
        <v>14.288496878650228</v>
      </c>
      <c r="AF74" s="194">
        <f t="shared" si="198"/>
        <v>14.116694411183635</v>
      </c>
      <c r="AG74" s="194">
        <f t="shared" si="198"/>
        <v>13.943889762656818</v>
      </c>
      <c r="AH74" s="194">
        <f t="shared" si="198"/>
        <v>13.770077087013597</v>
      </c>
      <c r="AI74" s="194">
        <f t="shared" si="198"/>
        <v>13.59525050409579</v>
      </c>
      <c r="AJ74" s="194">
        <f t="shared" si="198"/>
        <v>13.419404099444295</v>
      </c>
      <c r="AK74" s="194">
        <f t="shared" si="198"/>
        <v>13.242531924099</v>
      </c>
      <c r="AL74" s="194">
        <f>AL72</f>
        <v>13.064627994397526</v>
      </c>
      <c r="AM74" s="194">
        <f>AM72</f>
        <v>12.885686291772792</v>
      </c>
      <c r="AN74" s="194">
        <f>AN72</f>
        <v>12.705700762549412</v>
      </c>
      <c r="AO74" s="195">
        <f>SUM(AC74:AN74)</f>
        <v>164.1207811783747</v>
      </c>
      <c r="AP74" s="194">
        <f aca="true" t="shared" si="199" ref="AP74:BA74">AP72</f>
        <v>12.524665317738895</v>
      </c>
      <c r="AQ74" s="194">
        <f t="shared" si="199"/>
        <v>12.342573832833656</v>
      </c>
      <c r="AR74" s="194">
        <f t="shared" si="199"/>
        <v>12.159420147599796</v>
      </c>
      <c r="AS74" s="194">
        <f t="shared" si="199"/>
        <v>11.975198065868744</v>
      </c>
      <c r="AT74" s="194">
        <f t="shared" si="199"/>
        <v>11.789901355327592</v>
      </c>
      <c r="AU74" s="194">
        <f t="shared" si="199"/>
        <v>11.603523747308282</v>
      </c>
      <c r="AV74" s="194">
        <f t="shared" si="199"/>
        <v>11.41605893657553</v>
      </c>
      <c r="AW74" s="194">
        <f t="shared" si="199"/>
        <v>11.227500581113501</v>
      </c>
      <c r="AX74" s="194">
        <f t="shared" si="199"/>
        <v>11.037842301911276</v>
      </c>
      <c r="AY74" s="194">
        <f t="shared" si="199"/>
        <v>10.84707768274704</v>
      </c>
      <c r="AZ74" s="194">
        <f t="shared" si="199"/>
        <v>10.655200269971012</v>
      </c>
      <c r="BA74" s="194">
        <f t="shared" si="199"/>
        <v>10.462203572287121</v>
      </c>
      <c r="BB74" s="195">
        <f>SUM(AP74:BA74)</f>
        <v>138.04116581128244</v>
      </c>
      <c r="BC74" s="194">
        <f aca="true" t="shared" si="200" ref="BC74:BN74">BC72</f>
        <v>10.268081060533412</v>
      </c>
      <c r="BD74" s="194">
        <f t="shared" si="200"/>
        <v>10.072826167461136</v>
      </c>
      <c r="BE74" s="194">
        <f t="shared" si="200"/>
        <v>9.876432287512607</v>
      </c>
      <c r="BF74" s="194">
        <f t="shared" si="200"/>
        <v>9.678892776597712</v>
      </c>
      <c r="BG74" s="194">
        <f t="shared" si="200"/>
        <v>9.480200951869145</v>
      </c>
      <c r="BH74" s="194">
        <f t="shared" si="200"/>
        <v>9.280350091496329</v>
      </c>
      <c r="BI74" s="194">
        <f t="shared" si="200"/>
        <v>9.079333434438006</v>
      </c>
      <c r="BJ74" s="194">
        <f t="shared" si="200"/>
        <v>8.877144180213508</v>
      </c>
      <c r="BK74" s="194">
        <f t="shared" si="200"/>
        <v>8.673775488672701</v>
      </c>
      <c r="BL74" s="194">
        <f t="shared" si="200"/>
        <v>8.469220479764571</v>
      </c>
      <c r="BM74" s="194">
        <f t="shared" si="200"/>
        <v>8.263472233304478</v>
      </c>
      <c r="BN74" s="194">
        <f t="shared" si="200"/>
        <v>8.056523788740035</v>
      </c>
      <c r="BO74" s="195">
        <f>SUM(BC74:BN74)</f>
        <v>110.07625294060365</v>
      </c>
      <c r="BP74" s="194">
        <f aca="true" t="shared" si="201" ref="BP74:CA74">BP72</f>
        <v>7.848368144915632</v>
      </c>
      <c r="BQ74" s="194">
        <f t="shared" si="201"/>
        <v>7.638998259835588</v>
      </c>
      <c r="BR74" s="194">
        <f t="shared" si="201"/>
        <v>7.428407050425908</v>
      </c>
      <c r="BS74" s="194">
        <f t="shared" si="201"/>
        <v>7.216587392294674</v>
      </c>
      <c r="BT74" s="194">
        <f t="shared" si="201"/>
        <v>7.003532119491006</v>
      </c>
      <c r="BU74" s="194">
        <f t="shared" si="201"/>
        <v>6.789234024262652</v>
      </c>
      <c r="BV74" s="194">
        <f t="shared" si="201"/>
        <v>6.573685856812131</v>
      </c>
      <c r="BW74" s="194">
        <f t="shared" si="201"/>
        <v>6.356880325051482</v>
      </c>
      <c r="BX74" s="194">
        <f t="shared" si="201"/>
        <v>6.138810094355563</v>
      </c>
      <c r="BY74" s="194">
        <f t="shared" si="201"/>
        <v>5.919467787313917</v>
      </c>
      <c r="BZ74" s="194">
        <f t="shared" si="201"/>
        <v>5.698845983481196</v>
      </c>
      <c r="CA74" s="194">
        <f t="shared" si="201"/>
        <v>5.476937219126118</v>
      </c>
      <c r="CB74" s="195">
        <f>SUM(BP74:CA74)</f>
        <v>80.08975425736587</v>
      </c>
      <c r="CC74" s="194">
        <f aca="true" t="shared" si="202" ref="CC74:CN74">CC72</f>
        <v>5.253733986978967</v>
      </c>
      <c r="CD74" s="194">
        <f t="shared" si="202"/>
        <v>5.029228735977624</v>
      </c>
      <c r="CE74" s="194">
        <f t="shared" si="202"/>
        <v>4.803413871012109</v>
      </c>
      <c r="CF74" s="194">
        <f t="shared" si="202"/>
        <v>4.576281752667626</v>
      </c>
      <c r="CG74" s="194">
        <f t="shared" si="202"/>
        <v>4.347824696966134</v>
      </c>
      <c r="CH74" s="194">
        <f t="shared" si="202"/>
        <v>4.118034975106384</v>
      </c>
      <c r="CI74" s="194">
        <f t="shared" si="202"/>
        <v>3.886904813202452</v>
      </c>
      <c r="CJ74" s="194">
        <f t="shared" si="202"/>
        <v>3.654426392020746</v>
      </c>
      <c r="CK74" s="194">
        <f t="shared" si="202"/>
        <v>3.420591846715481</v>
      </c>
      <c r="CL74" s="194">
        <f t="shared" si="202"/>
        <v>3.185393266562602</v>
      </c>
      <c r="CM74" s="194">
        <f t="shared" si="202"/>
        <v>2.9488226946921645</v>
      </c>
      <c r="CN74" s="194">
        <f t="shared" si="202"/>
        <v>2.710872127819149</v>
      </c>
      <c r="CO74" s="195">
        <f>SUM(CC74:CN74)</f>
        <v>47.93552915972143</v>
      </c>
      <c r="CP74" s="194">
        <f aca="true" t="shared" si="203" ref="CP74:DA74">CP72</f>
        <v>2.471533515972708</v>
      </c>
      <c r="CQ74" s="194">
        <f t="shared" si="203"/>
        <v>2.2307987622238294</v>
      </c>
      <c r="CR74" s="194">
        <f t="shared" si="203"/>
        <v>1.988659722411416</v>
      </c>
      <c r="CS74" s="194">
        <f t="shared" si="203"/>
        <v>1.745108204866763</v>
      </c>
      <c r="CT74" s="194">
        <f t="shared" si="203"/>
        <v>1.500135970136433</v>
      </c>
      <c r="CU74" s="194">
        <f t="shared" si="203"/>
        <v>1.2537347307035094</v>
      </c>
      <c r="CV74" s="194">
        <f t="shared" si="203"/>
        <v>1.0058961507072273</v>
      </c>
      <c r="CW74" s="194">
        <f t="shared" si="203"/>
        <v>0.7566118456609666</v>
      </c>
      <c r="CX74" s="194">
        <f t="shared" si="203"/>
        <v>0.5058733821686029</v>
      </c>
      <c r="CY74" s="194">
        <f t="shared" si="203"/>
        <v>0.25367227763920025</v>
      </c>
      <c r="CZ74" s="194">
        <f t="shared" si="203"/>
        <v>4.285756934526338E-14</v>
      </c>
      <c r="DA74" s="194">
        <f t="shared" si="203"/>
        <v>4.285756934526338E-14</v>
      </c>
      <c r="DB74" s="195">
        <f>SUM(CP74:DA74)</f>
        <v>13.712024562490745</v>
      </c>
      <c r="DC74" s="194">
        <f aca="true" t="shared" si="204" ref="DC74:DN74">DC72</f>
        <v>4.285756934526338E-14</v>
      </c>
      <c r="DD74" s="194">
        <f t="shared" si="204"/>
        <v>4.285756934526338E-14</v>
      </c>
      <c r="DE74" s="194">
        <f t="shared" si="204"/>
        <v>4.285756934526338E-14</v>
      </c>
      <c r="DF74" s="194">
        <f t="shared" si="204"/>
        <v>4.285756934526338E-14</v>
      </c>
      <c r="DG74" s="194">
        <f t="shared" si="204"/>
        <v>4.285756934526338E-14</v>
      </c>
      <c r="DH74" s="194">
        <f t="shared" si="204"/>
        <v>4.285756934526338E-14</v>
      </c>
      <c r="DI74" s="194">
        <f t="shared" si="204"/>
        <v>4.285756934526338E-14</v>
      </c>
      <c r="DJ74" s="194">
        <f t="shared" si="204"/>
        <v>4.285756934526338E-14</v>
      </c>
      <c r="DK74" s="194">
        <f t="shared" si="204"/>
        <v>4.285756934526338E-14</v>
      </c>
      <c r="DL74" s="194">
        <f t="shared" si="204"/>
        <v>4.285756934526338E-14</v>
      </c>
      <c r="DM74" s="194">
        <f t="shared" si="204"/>
        <v>4.285756934526338E-14</v>
      </c>
      <c r="DN74" s="194">
        <f t="shared" si="204"/>
        <v>4.285756934526338E-14</v>
      </c>
      <c r="DO74" s="195">
        <f>SUM(DC74:DN74)</f>
        <v>5.142908321431606E-13</v>
      </c>
    </row>
    <row r="75" spans="1:119" ht="12.75">
      <c r="A75" s="188" t="s">
        <v>16</v>
      </c>
      <c r="B75" s="193">
        <f>DO75</f>
        <v>7.347011887759436E-12</v>
      </c>
      <c r="C75" s="194">
        <f>C70</f>
        <v>0</v>
      </c>
      <c r="D75" s="194">
        <f aca="true" t="shared" si="205" ref="D75:N75">C75+D70-D73+D71</f>
        <v>0</v>
      </c>
      <c r="E75" s="194">
        <f t="shared" si="205"/>
        <v>0</v>
      </c>
      <c r="F75" s="194">
        <f t="shared" si="205"/>
        <v>0</v>
      </c>
      <c r="G75" s="194">
        <f t="shared" si="205"/>
        <v>0</v>
      </c>
      <c r="H75" s="194">
        <f t="shared" si="205"/>
        <v>0</v>
      </c>
      <c r="I75" s="194">
        <f t="shared" si="205"/>
        <v>0</v>
      </c>
      <c r="J75" s="194">
        <f t="shared" si="205"/>
        <v>0</v>
      </c>
      <c r="K75" s="194">
        <f t="shared" si="205"/>
        <v>0</v>
      </c>
      <c r="L75" s="194">
        <f t="shared" si="205"/>
        <v>2518.6623000000004</v>
      </c>
      <c r="M75" s="194">
        <f t="shared" si="205"/>
        <v>2518.6623000000004</v>
      </c>
      <c r="N75" s="194">
        <f t="shared" si="205"/>
        <v>2518.6623000000004</v>
      </c>
      <c r="O75" s="195">
        <f>N75</f>
        <v>2518.6623000000004</v>
      </c>
      <c r="P75" s="194">
        <f aca="true" t="shared" si="206" ref="P75:AA75">O75+P70-P73+P71</f>
        <v>2518.6623000000004</v>
      </c>
      <c r="Q75" s="194">
        <f t="shared" si="206"/>
        <v>2518.6623000000004</v>
      </c>
      <c r="R75" s="194">
        <f t="shared" si="206"/>
        <v>2518.6623000000004</v>
      </c>
      <c r="S75" s="194">
        <f t="shared" si="206"/>
        <v>2518.6623000000004</v>
      </c>
      <c r="T75" s="194">
        <f t="shared" si="206"/>
        <v>2518.6623000000004</v>
      </c>
      <c r="U75" s="194">
        <f t="shared" si="206"/>
        <v>2518.6623000000004</v>
      </c>
      <c r="V75" s="194">
        <f t="shared" si="206"/>
        <v>2650.8920707500006</v>
      </c>
      <c r="W75" s="194">
        <f t="shared" si="206"/>
        <v>2622.615259385024</v>
      </c>
      <c r="X75" s="194">
        <f t="shared" si="206"/>
        <v>2594.173499953751</v>
      </c>
      <c r="Y75" s="194">
        <f t="shared" si="206"/>
        <v>2565.5658302591296</v>
      </c>
      <c r="Z75" s="194">
        <f t="shared" si="206"/>
        <v>2536.791282491289</v>
      </c>
      <c r="AA75" s="194">
        <f t="shared" si="206"/>
        <v>2507.848883194803</v>
      </c>
      <c r="AB75" s="195">
        <f>AA75</f>
        <v>2507.848883194803</v>
      </c>
      <c r="AC75" s="194">
        <f aca="true" t="shared" si="207" ref="AC75:AN75">AB75+AC70-AC73+AC71</f>
        <v>2478.737653235754</v>
      </c>
      <c r="AD75" s="194">
        <f t="shared" si="207"/>
        <v>2449.4566077686104</v>
      </c>
      <c r="AE75" s="194">
        <f t="shared" si="207"/>
        <v>2420.0047562029085</v>
      </c>
      <c r="AF75" s="194">
        <f t="shared" si="207"/>
        <v>2390.38110216974</v>
      </c>
      <c r="AG75" s="194">
        <f t="shared" si="207"/>
        <v>2360.584643488045</v>
      </c>
      <c r="AH75" s="194">
        <f t="shared" si="207"/>
        <v>2330.6143721307067</v>
      </c>
      <c r="AI75" s="194">
        <f t="shared" si="207"/>
        <v>2300.4692741904505</v>
      </c>
      <c r="AJ75" s="194">
        <f t="shared" si="207"/>
        <v>2270.148329845543</v>
      </c>
      <c r="AK75" s="194">
        <f t="shared" si="207"/>
        <v>2239.65051332529</v>
      </c>
      <c r="AL75" s="194">
        <f t="shared" si="207"/>
        <v>2208.9747928753354</v>
      </c>
      <c r="AM75" s="194">
        <f t="shared" si="207"/>
        <v>2178.120130722756</v>
      </c>
      <c r="AN75" s="194">
        <f t="shared" si="207"/>
        <v>2147.0854830409535</v>
      </c>
      <c r="AO75" s="195">
        <f>AN75</f>
        <v>2147.0854830409535</v>
      </c>
      <c r="AP75" s="194">
        <f aca="true" t="shared" si="208" ref="AP75:BA75">AO75+AP70-AP73+AP71</f>
        <v>2115.8697999143405</v>
      </c>
      <c r="AQ75" s="194">
        <f t="shared" si="208"/>
        <v>2084.472025302822</v>
      </c>
      <c r="AR75" s="194">
        <f t="shared" si="208"/>
        <v>2052.89109700607</v>
      </c>
      <c r="AS75" s="194">
        <f t="shared" si="208"/>
        <v>2021.125946627587</v>
      </c>
      <c r="AT75" s="194">
        <f t="shared" si="208"/>
        <v>1989.1754995385627</v>
      </c>
      <c r="AU75" s="194">
        <f t="shared" si="208"/>
        <v>1957.038674841519</v>
      </c>
      <c r="AV75" s="194">
        <f t="shared" si="208"/>
        <v>1924.7143853337427</v>
      </c>
      <c r="AW75" s="194">
        <f t="shared" si="208"/>
        <v>1892.2015374705043</v>
      </c>
      <c r="AX75" s="194">
        <f t="shared" si="208"/>
        <v>1859.4990313280637</v>
      </c>
      <c r="AY75" s="194">
        <f t="shared" si="208"/>
        <v>1826.605760566459</v>
      </c>
      <c r="AZ75" s="194">
        <f t="shared" si="208"/>
        <v>1793.520612392078</v>
      </c>
      <c r="BA75" s="194">
        <f t="shared" si="208"/>
        <v>1760.2424675200132</v>
      </c>
      <c r="BB75" s="195">
        <f>BA75</f>
        <v>1760.2424675200132</v>
      </c>
      <c r="BC75" s="194">
        <f aca="true" t="shared" si="209" ref="BC75:BN75">BB75+BC70-BC73+BC71</f>
        <v>1726.7702001361947</v>
      </c>
      <c r="BD75" s="194">
        <f t="shared" si="209"/>
        <v>1693.1026778593039</v>
      </c>
      <c r="BE75" s="194">
        <f t="shared" si="209"/>
        <v>1659.2387617024647</v>
      </c>
      <c r="BF75" s="194">
        <f t="shared" si="209"/>
        <v>1625.1773060347105</v>
      </c>
      <c r="BG75" s="194">
        <f t="shared" si="209"/>
        <v>1590.9171585422278</v>
      </c>
      <c r="BH75" s="194">
        <f t="shared" si="209"/>
        <v>1556.4571601893722</v>
      </c>
      <c r="BI75" s="194">
        <f t="shared" si="209"/>
        <v>1521.7961451794583</v>
      </c>
      <c r="BJ75" s="194">
        <f t="shared" si="209"/>
        <v>1486.93294091532</v>
      </c>
      <c r="BK75" s="194">
        <f t="shared" si="209"/>
        <v>1451.8663679596407</v>
      </c>
      <c r="BL75" s="194">
        <f t="shared" si="209"/>
        <v>1416.5952399950534</v>
      </c>
      <c r="BM75" s="194">
        <f t="shared" si="209"/>
        <v>1381.1183637840059</v>
      </c>
      <c r="BN75" s="194">
        <f t="shared" si="209"/>
        <v>1345.434539128394</v>
      </c>
      <c r="BO75" s="195">
        <f>BN75</f>
        <v>1345.434539128394</v>
      </c>
      <c r="BP75" s="194">
        <f aca="true" t="shared" si="210" ref="BP75:CA75">BO75+BP70-BP73+BP71</f>
        <v>1309.5425588289577</v>
      </c>
      <c r="BQ75" s="194">
        <f t="shared" si="210"/>
        <v>1273.4412086444413</v>
      </c>
      <c r="BR75" s="194">
        <f t="shared" si="210"/>
        <v>1237.1292672505153</v>
      </c>
      <c r="BS75" s="194">
        <f t="shared" si="210"/>
        <v>1200.6055061984582</v>
      </c>
      <c r="BT75" s="194">
        <f t="shared" si="210"/>
        <v>1163.8686898735973</v>
      </c>
      <c r="BU75" s="194">
        <f t="shared" si="210"/>
        <v>1126.917575453508</v>
      </c>
      <c r="BV75" s="194">
        <f t="shared" si="210"/>
        <v>1089.7509128659683</v>
      </c>
      <c r="BW75" s="194">
        <f t="shared" si="210"/>
        <v>1052.3674447466678</v>
      </c>
      <c r="BX75" s="194">
        <f t="shared" si="210"/>
        <v>1014.7659063966715</v>
      </c>
      <c r="BY75" s="194">
        <f t="shared" si="210"/>
        <v>976.9450257396336</v>
      </c>
      <c r="BZ75" s="194">
        <f t="shared" si="210"/>
        <v>938.9035232787629</v>
      </c>
      <c r="CA75" s="194">
        <f t="shared" si="210"/>
        <v>900.6401120535371</v>
      </c>
      <c r="CB75" s="195">
        <f>CA75</f>
        <v>900.6401120535371</v>
      </c>
      <c r="CC75" s="194">
        <f aca="true" t="shared" si="211" ref="CC75:CN75">CB75+CC70-CC73+CC71</f>
        <v>862.1534975961641</v>
      </c>
      <c r="CD75" s="194">
        <f t="shared" si="211"/>
        <v>823.4423778877899</v>
      </c>
      <c r="CE75" s="194">
        <f t="shared" si="211"/>
        <v>784.5054433144501</v>
      </c>
      <c r="CF75" s="194">
        <f t="shared" si="211"/>
        <v>745.3413766227658</v>
      </c>
      <c r="CG75" s="194">
        <f t="shared" si="211"/>
        <v>705.94885287538</v>
      </c>
      <c r="CH75" s="194">
        <f t="shared" si="211"/>
        <v>666.3265394061345</v>
      </c>
      <c r="CI75" s="194">
        <f t="shared" si="211"/>
        <v>626.473095774985</v>
      </c>
      <c r="CJ75" s="194">
        <f t="shared" si="211"/>
        <v>586.3871737226539</v>
      </c>
      <c r="CK75" s="194">
        <f t="shared" si="211"/>
        <v>546.0674171250174</v>
      </c>
      <c r="CL75" s="194">
        <f t="shared" si="211"/>
        <v>505.51246194722813</v>
      </c>
      <c r="CM75" s="194">
        <f t="shared" si="211"/>
        <v>464.7209361975684</v>
      </c>
      <c r="CN75" s="194">
        <f t="shared" si="211"/>
        <v>423.69145988103566</v>
      </c>
      <c r="CO75" s="195">
        <f>CN75</f>
        <v>423.69145988103566</v>
      </c>
      <c r="CP75" s="194">
        <f aca="true" t="shared" si="212" ref="CP75:DA75">CO75+CP70-CP73+CP71</f>
        <v>382.42264495265647</v>
      </c>
      <c r="CQ75" s="194">
        <f t="shared" si="212"/>
        <v>340.9130952705284</v>
      </c>
      <c r="CR75" s="194">
        <f t="shared" si="212"/>
        <v>299.16140654858793</v>
      </c>
      <c r="CS75" s="194">
        <f t="shared" si="212"/>
        <v>257.1661663091028</v>
      </c>
      <c r="CT75" s="194">
        <f t="shared" si="212"/>
        <v>214.9259538348873</v>
      </c>
      <c r="CU75" s="194">
        <f t="shared" si="212"/>
        <v>172.43934012123893</v>
      </c>
      <c r="CV75" s="194">
        <f t="shared" si="212"/>
        <v>129.70488782759426</v>
      </c>
      <c r="CW75" s="194">
        <f t="shared" si="212"/>
        <v>86.72115122890334</v>
      </c>
      <c r="CX75" s="194">
        <f t="shared" si="212"/>
        <v>43.486676166720045</v>
      </c>
      <c r="CY75" s="194">
        <f t="shared" si="212"/>
        <v>7.347011887759436E-12</v>
      </c>
      <c r="CZ75" s="194">
        <f t="shared" si="212"/>
        <v>7.347011887759436E-12</v>
      </c>
      <c r="DA75" s="194">
        <f t="shared" si="212"/>
        <v>7.347011887759436E-12</v>
      </c>
      <c r="DB75" s="195">
        <f>DA75</f>
        <v>7.347011887759436E-12</v>
      </c>
      <c r="DC75" s="194">
        <f aca="true" t="shared" si="213" ref="DC75:DN75">DB75+DC70-DC73+DC71</f>
        <v>7.347011887759436E-12</v>
      </c>
      <c r="DD75" s="194">
        <f t="shared" si="213"/>
        <v>7.347011887759436E-12</v>
      </c>
      <c r="DE75" s="194">
        <f t="shared" si="213"/>
        <v>7.347011887759436E-12</v>
      </c>
      <c r="DF75" s="194">
        <f t="shared" si="213"/>
        <v>7.347011887759436E-12</v>
      </c>
      <c r="DG75" s="194">
        <f t="shared" si="213"/>
        <v>7.347011887759436E-12</v>
      </c>
      <c r="DH75" s="194">
        <f t="shared" si="213"/>
        <v>7.347011887759436E-12</v>
      </c>
      <c r="DI75" s="194">
        <f t="shared" si="213"/>
        <v>7.347011887759436E-12</v>
      </c>
      <c r="DJ75" s="194">
        <f t="shared" si="213"/>
        <v>7.347011887759436E-12</v>
      </c>
      <c r="DK75" s="194">
        <f t="shared" si="213"/>
        <v>7.347011887759436E-12</v>
      </c>
      <c r="DL75" s="194">
        <f t="shared" si="213"/>
        <v>7.347011887759436E-12</v>
      </c>
      <c r="DM75" s="194">
        <f t="shared" si="213"/>
        <v>7.347011887759436E-12</v>
      </c>
      <c r="DN75" s="194">
        <f t="shared" si="213"/>
        <v>7.347011887759436E-12</v>
      </c>
      <c r="DO75" s="195">
        <f>DN75</f>
        <v>7.347011887759436E-12</v>
      </c>
    </row>
    <row r="76" spans="1:119" ht="12.75">
      <c r="A76" s="177" t="s">
        <v>78</v>
      </c>
      <c r="B76" s="284">
        <f>Исх!$C$46*12-Исх!$C$47</f>
        <v>75</v>
      </c>
      <c r="CP76" s="180"/>
      <c r="DB76" s="177"/>
      <c r="DO76" s="177"/>
    </row>
    <row r="77" spans="1:119" ht="12.75">
      <c r="A77" s="287" t="s">
        <v>253</v>
      </c>
      <c r="B77" s="288">
        <f>$V$75*$B$20/12/((1-(1+$B$20/12)^-$B76))</f>
        <v>43.740348444351895</v>
      </c>
      <c r="DB77" s="177"/>
      <c r="DO77" s="177"/>
    </row>
    <row r="78" spans="1:119" ht="6" customHeight="1">
      <c r="A78" s="285"/>
      <c r="B78" s="282"/>
      <c r="DB78" s="177"/>
      <c r="DO78" s="177"/>
    </row>
    <row r="79" spans="1:119" ht="12.75">
      <c r="A79" s="270" t="s">
        <v>241</v>
      </c>
      <c r="DB79" s="177"/>
      <c r="DO79" s="177"/>
    </row>
    <row r="80" spans="1:119" ht="12.75" hidden="1" outlineLevel="1">
      <c r="A80" s="271">
        <f>B70+B71-B73</f>
        <v>9.549694368615746E-12</v>
      </c>
      <c r="DB80" s="177"/>
      <c r="DO80" s="177"/>
    </row>
    <row r="81" spans="1:119" ht="12.75" hidden="1" outlineLevel="1">
      <c r="A81" s="271">
        <f>B72-B71-B74</f>
        <v>0</v>
      </c>
      <c r="DB81" s="177"/>
      <c r="DO81" s="177"/>
    </row>
    <row r="82" ht="12.75" collapsed="1"/>
    <row r="83" spans="1:119" ht="12.75">
      <c r="A83" s="296" t="s">
        <v>271</v>
      </c>
      <c r="B83" s="297"/>
      <c r="DB83" s="177"/>
      <c r="DO83" s="177"/>
    </row>
    <row r="84" spans="1:119" ht="15.75" customHeight="1">
      <c r="A84" s="186" t="s">
        <v>11</v>
      </c>
      <c r="B84" s="286">
        <f>Исх!$C$45</f>
        <v>0.07</v>
      </c>
      <c r="C84" s="367">
        <v>2013</v>
      </c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>
        <v>2014</v>
      </c>
      <c r="Q84" s="367"/>
      <c r="R84" s="367"/>
      <c r="S84" s="367"/>
      <c r="T84" s="367"/>
      <c r="U84" s="367"/>
      <c r="V84" s="367"/>
      <c r="W84" s="367"/>
      <c r="X84" s="367"/>
      <c r="Y84" s="367"/>
      <c r="Z84" s="367"/>
      <c r="AA84" s="367"/>
      <c r="AB84" s="367"/>
      <c r="AC84" s="367">
        <v>2015</v>
      </c>
      <c r="AD84" s="367"/>
      <c r="AE84" s="367"/>
      <c r="AF84" s="367"/>
      <c r="AG84" s="367"/>
      <c r="AH84" s="367"/>
      <c r="AI84" s="367"/>
      <c r="AJ84" s="367"/>
      <c r="AK84" s="367"/>
      <c r="AL84" s="367"/>
      <c r="AM84" s="367"/>
      <c r="AN84" s="367"/>
      <c r="AO84" s="367"/>
      <c r="AP84" s="367">
        <v>2016</v>
      </c>
      <c r="AQ84" s="367"/>
      <c r="AR84" s="367"/>
      <c r="AS84" s="367"/>
      <c r="AT84" s="367"/>
      <c r="AU84" s="367"/>
      <c r="AV84" s="367"/>
      <c r="AW84" s="367"/>
      <c r="AX84" s="367"/>
      <c r="AY84" s="367"/>
      <c r="AZ84" s="367"/>
      <c r="BA84" s="367"/>
      <c r="BB84" s="367"/>
      <c r="BC84" s="367">
        <v>2017</v>
      </c>
      <c r="BD84" s="367"/>
      <c r="BE84" s="367"/>
      <c r="BF84" s="367"/>
      <c r="BG84" s="367"/>
      <c r="BH84" s="367"/>
      <c r="BI84" s="367"/>
      <c r="BJ84" s="367"/>
      <c r="BK84" s="367"/>
      <c r="BL84" s="367"/>
      <c r="BM84" s="367"/>
      <c r="BN84" s="367"/>
      <c r="BO84" s="367"/>
      <c r="BP84" s="367">
        <v>2018</v>
      </c>
      <c r="BQ84" s="367"/>
      <c r="BR84" s="367"/>
      <c r="BS84" s="367"/>
      <c r="BT84" s="367"/>
      <c r="BU84" s="367"/>
      <c r="BV84" s="367"/>
      <c r="BW84" s="367"/>
      <c r="BX84" s="367"/>
      <c r="BY84" s="367"/>
      <c r="BZ84" s="367"/>
      <c r="CA84" s="367"/>
      <c r="CB84" s="367"/>
      <c r="CC84" s="367">
        <v>2019</v>
      </c>
      <c r="CD84" s="367"/>
      <c r="CE84" s="367"/>
      <c r="CF84" s="367"/>
      <c r="CG84" s="367"/>
      <c r="CH84" s="367"/>
      <c r="CI84" s="367"/>
      <c r="CJ84" s="367"/>
      <c r="CK84" s="367"/>
      <c r="CL84" s="367"/>
      <c r="CM84" s="367"/>
      <c r="CN84" s="367"/>
      <c r="CO84" s="367"/>
      <c r="CP84" s="367">
        <v>2020</v>
      </c>
      <c r="CQ84" s="367"/>
      <c r="CR84" s="367"/>
      <c r="CS84" s="367"/>
      <c r="CT84" s="367"/>
      <c r="CU84" s="367"/>
      <c r="CV84" s="367"/>
      <c r="CW84" s="367"/>
      <c r="CX84" s="367"/>
      <c r="CY84" s="367"/>
      <c r="CZ84" s="367"/>
      <c r="DA84" s="367"/>
      <c r="DB84" s="367"/>
      <c r="DC84" s="367">
        <v>2021</v>
      </c>
      <c r="DD84" s="367"/>
      <c r="DE84" s="367"/>
      <c r="DF84" s="367"/>
      <c r="DG84" s="367"/>
      <c r="DH84" s="367"/>
      <c r="DI84" s="367"/>
      <c r="DJ84" s="367"/>
      <c r="DK84" s="367"/>
      <c r="DL84" s="367"/>
      <c r="DM84" s="367"/>
      <c r="DN84" s="367"/>
      <c r="DO84" s="367"/>
    </row>
    <row r="85" spans="1:119" s="192" customFormat="1" ht="15" customHeight="1">
      <c r="A85" s="188" t="s">
        <v>9</v>
      </c>
      <c r="B85" s="189" t="s">
        <v>89</v>
      </c>
      <c r="C85" s="190">
        <v>1</v>
      </c>
      <c r="D85" s="190">
        <v>2</v>
      </c>
      <c r="E85" s="190">
        <f aca="true" t="shared" si="214" ref="E85:N85">D85+1</f>
        <v>3</v>
      </c>
      <c r="F85" s="190">
        <f t="shared" si="214"/>
        <v>4</v>
      </c>
      <c r="G85" s="190">
        <f t="shared" si="214"/>
        <v>5</v>
      </c>
      <c r="H85" s="190">
        <f t="shared" si="214"/>
        <v>6</v>
      </c>
      <c r="I85" s="190">
        <f t="shared" si="214"/>
        <v>7</v>
      </c>
      <c r="J85" s="190">
        <f t="shared" si="214"/>
        <v>8</v>
      </c>
      <c r="K85" s="190">
        <f t="shared" si="214"/>
        <v>9</v>
      </c>
      <c r="L85" s="190">
        <f t="shared" si="214"/>
        <v>10</v>
      </c>
      <c r="M85" s="190">
        <f t="shared" si="214"/>
        <v>11</v>
      </c>
      <c r="N85" s="190">
        <f t="shared" si="214"/>
        <v>12</v>
      </c>
      <c r="O85" s="191" t="str">
        <f>O69</f>
        <v>Итого</v>
      </c>
      <c r="P85" s="190">
        <v>1</v>
      </c>
      <c r="Q85" s="190">
        <v>2</v>
      </c>
      <c r="R85" s="190">
        <f aca="true" t="shared" si="215" ref="R85:AA85">Q85+1</f>
        <v>3</v>
      </c>
      <c r="S85" s="190">
        <f t="shared" si="215"/>
        <v>4</v>
      </c>
      <c r="T85" s="190">
        <f t="shared" si="215"/>
        <v>5</v>
      </c>
      <c r="U85" s="190">
        <f t="shared" si="215"/>
        <v>6</v>
      </c>
      <c r="V85" s="190">
        <f t="shared" si="215"/>
        <v>7</v>
      </c>
      <c r="W85" s="190">
        <f t="shared" si="215"/>
        <v>8</v>
      </c>
      <c r="X85" s="190">
        <f t="shared" si="215"/>
        <v>9</v>
      </c>
      <c r="Y85" s="190">
        <f t="shared" si="215"/>
        <v>10</v>
      </c>
      <c r="Z85" s="190">
        <f t="shared" si="215"/>
        <v>11</v>
      </c>
      <c r="AA85" s="190">
        <f t="shared" si="215"/>
        <v>12</v>
      </c>
      <c r="AB85" s="191" t="str">
        <f>AB69</f>
        <v>Итого</v>
      </c>
      <c r="AC85" s="190">
        <v>1</v>
      </c>
      <c r="AD85" s="190">
        <v>2</v>
      </c>
      <c r="AE85" s="190">
        <f aca="true" t="shared" si="216" ref="AE85:AN85">AD85+1</f>
        <v>3</v>
      </c>
      <c r="AF85" s="190">
        <f t="shared" si="216"/>
        <v>4</v>
      </c>
      <c r="AG85" s="190">
        <f t="shared" si="216"/>
        <v>5</v>
      </c>
      <c r="AH85" s="190">
        <f t="shared" si="216"/>
        <v>6</v>
      </c>
      <c r="AI85" s="190">
        <f t="shared" si="216"/>
        <v>7</v>
      </c>
      <c r="AJ85" s="190">
        <f t="shared" si="216"/>
        <v>8</v>
      </c>
      <c r="AK85" s="190">
        <f t="shared" si="216"/>
        <v>9</v>
      </c>
      <c r="AL85" s="190">
        <f t="shared" si="216"/>
        <v>10</v>
      </c>
      <c r="AM85" s="190">
        <f t="shared" si="216"/>
        <v>11</v>
      </c>
      <c r="AN85" s="190">
        <f t="shared" si="216"/>
        <v>12</v>
      </c>
      <c r="AO85" s="191" t="str">
        <f>AO69</f>
        <v>Итого</v>
      </c>
      <c r="AP85" s="190">
        <v>1</v>
      </c>
      <c r="AQ85" s="190">
        <v>2</v>
      </c>
      <c r="AR85" s="190">
        <f aca="true" t="shared" si="217" ref="AR85:BA85">AQ85+1</f>
        <v>3</v>
      </c>
      <c r="AS85" s="190">
        <f t="shared" si="217"/>
        <v>4</v>
      </c>
      <c r="AT85" s="190">
        <f t="shared" si="217"/>
        <v>5</v>
      </c>
      <c r="AU85" s="190">
        <f t="shared" si="217"/>
        <v>6</v>
      </c>
      <c r="AV85" s="190">
        <f t="shared" si="217"/>
        <v>7</v>
      </c>
      <c r="AW85" s="190">
        <f t="shared" si="217"/>
        <v>8</v>
      </c>
      <c r="AX85" s="190">
        <f t="shared" si="217"/>
        <v>9</v>
      </c>
      <c r="AY85" s="190">
        <f t="shared" si="217"/>
        <v>10</v>
      </c>
      <c r="AZ85" s="190">
        <f t="shared" si="217"/>
        <v>11</v>
      </c>
      <c r="BA85" s="190">
        <f t="shared" si="217"/>
        <v>12</v>
      </c>
      <c r="BB85" s="191" t="str">
        <f>BB69</f>
        <v>Итого</v>
      </c>
      <c r="BC85" s="190">
        <v>1</v>
      </c>
      <c r="BD85" s="190">
        <v>2</v>
      </c>
      <c r="BE85" s="190">
        <f aca="true" t="shared" si="218" ref="BE85:BN85">BD85+1</f>
        <v>3</v>
      </c>
      <c r="BF85" s="190">
        <f t="shared" si="218"/>
        <v>4</v>
      </c>
      <c r="BG85" s="190">
        <f t="shared" si="218"/>
        <v>5</v>
      </c>
      <c r="BH85" s="190">
        <f t="shared" si="218"/>
        <v>6</v>
      </c>
      <c r="BI85" s="190">
        <f t="shared" si="218"/>
        <v>7</v>
      </c>
      <c r="BJ85" s="190">
        <f t="shared" si="218"/>
        <v>8</v>
      </c>
      <c r="BK85" s="190">
        <f t="shared" si="218"/>
        <v>9</v>
      </c>
      <c r="BL85" s="190">
        <f t="shared" si="218"/>
        <v>10</v>
      </c>
      <c r="BM85" s="190">
        <f t="shared" si="218"/>
        <v>11</v>
      </c>
      <c r="BN85" s="190">
        <f t="shared" si="218"/>
        <v>12</v>
      </c>
      <c r="BO85" s="191" t="str">
        <f>BO69</f>
        <v>Итого</v>
      </c>
      <c r="BP85" s="190">
        <v>1</v>
      </c>
      <c r="BQ85" s="190">
        <v>2</v>
      </c>
      <c r="BR85" s="190">
        <f aca="true" t="shared" si="219" ref="BR85:CA85">BQ85+1</f>
        <v>3</v>
      </c>
      <c r="BS85" s="190">
        <f t="shared" si="219"/>
        <v>4</v>
      </c>
      <c r="BT85" s="190">
        <f t="shared" si="219"/>
        <v>5</v>
      </c>
      <c r="BU85" s="190">
        <f t="shared" si="219"/>
        <v>6</v>
      </c>
      <c r="BV85" s="190">
        <f t="shared" si="219"/>
        <v>7</v>
      </c>
      <c r="BW85" s="190">
        <f t="shared" si="219"/>
        <v>8</v>
      </c>
      <c r="BX85" s="190">
        <f t="shared" si="219"/>
        <v>9</v>
      </c>
      <c r="BY85" s="190">
        <f t="shared" si="219"/>
        <v>10</v>
      </c>
      <c r="BZ85" s="190">
        <f t="shared" si="219"/>
        <v>11</v>
      </c>
      <c r="CA85" s="190">
        <f t="shared" si="219"/>
        <v>12</v>
      </c>
      <c r="CB85" s="191" t="str">
        <f>CB69</f>
        <v>Итого</v>
      </c>
      <c r="CC85" s="190">
        <v>1</v>
      </c>
      <c r="CD85" s="190">
        <v>2</v>
      </c>
      <c r="CE85" s="190">
        <f aca="true" t="shared" si="220" ref="CE85:CN85">CD85+1</f>
        <v>3</v>
      </c>
      <c r="CF85" s="190">
        <f t="shared" si="220"/>
        <v>4</v>
      </c>
      <c r="CG85" s="190">
        <f t="shared" si="220"/>
        <v>5</v>
      </c>
      <c r="CH85" s="190">
        <f t="shared" si="220"/>
        <v>6</v>
      </c>
      <c r="CI85" s="190">
        <f t="shared" si="220"/>
        <v>7</v>
      </c>
      <c r="CJ85" s="190">
        <f t="shared" si="220"/>
        <v>8</v>
      </c>
      <c r="CK85" s="190">
        <f t="shared" si="220"/>
        <v>9</v>
      </c>
      <c r="CL85" s="190">
        <f t="shared" si="220"/>
        <v>10</v>
      </c>
      <c r="CM85" s="190">
        <f t="shared" si="220"/>
        <v>11</v>
      </c>
      <c r="CN85" s="190">
        <f t="shared" si="220"/>
        <v>12</v>
      </c>
      <c r="CO85" s="191" t="str">
        <f>CO69</f>
        <v>Итого</v>
      </c>
      <c r="CP85" s="190">
        <v>1</v>
      </c>
      <c r="CQ85" s="190">
        <f aca="true" t="shared" si="221" ref="CQ85:DA85">CP85+1</f>
        <v>2</v>
      </c>
      <c r="CR85" s="190">
        <f t="shared" si="221"/>
        <v>3</v>
      </c>
      <c r="CS85" s="190">
        <f t="shared" si="221"/>
        <v>4</v>
      </c>
      <c r="CT85" s="190">
        <f t="shared" si="221"/>
        <v>5</v>
      </c>
      <c r="CU85" s="190">
        <f t="shared" si="221"/>
        <v>6</v>
      </c>
      <c r="CV85" s="190">
        <f t="shared" si="221"/>
        <v>7</v>
      </c>
      <c r="CW85" s="190">
        <f t="shared" si="221"/>
        <v>8</v>
      </c>
      <c r="CX85" s="190">
        <f t="shared" si="221"/>
        <v>9</v>
      </c>
      <c r="CY85" s="190">
        <f t="shared" si="221"/>
        <v>10</v>
      </c>
      <c r="CZ85" s="190">
        <f t="shared" si="221"/>
        <v>11</v>
      </c>
      <c r="DA85" s="190">
        <f t="shared" si="221"/>
        <v>12</v>
      </c>
      <c r="DB85" s="191" t="str">
        <f>DB69</f>
        <v>Итого</v>
      </c>
      <c r="DC85" s="190">
        <v>1</v>
      </c>
      <c r="DD85" s="190">
        <f aca="true" t="shared" si="222" ref="DD85:DN85">DC85+1</f>
        <v>2</v>
      </c>
      <c r="DE85" s="190">
        <f t="shared" si="222"/>
        <v>3</v>
      </c>
      <c r="DF85" s="190">
        <f t="shared" si="222"/>
        <v>4</v>
      </c>
      <c r="DG85" s="190">
        <f t="shared" si="222"/>
        <v>5</v>
      </c>
      <c r="DH85" s="190">
        <f t="shared" si="222"/>
        <v>6</v>
      </c>
      <c r="DI85" s="190">
        <f t="shared" si="222"/>
        <v>7</v>
      </c>
      <c r="DJ85" s="190">
        <f t="shared" si="222"/>
        <v>8</v>
      </c>
      <c r="DK85" s="190">
        <f t="shared" si="222"/>
        <v>9</v>
      </c>
      <c r="DL85" s="190">
        <f t="shared" si="222"/>
        <v>10</v>
      </c>
      <c r="DM85" s="190">
        <f t="shared" si="222"/>
        <v>11</v>
      </c>
      <c r="DN85" s="190">
        <f t="shared" si="222"/>
        <v>12</v>
      </c>
      <c r="DO85" s="191" t="s">
        <v>0</v>
      </c>
    </row>
    <row r="86" spans="1:119" ht="12.75">
      <c r="A86" s="188" t="s">
        <v>106</v>
      </c>
      <c r="B86" s="193">
        <f>O86+AB86+AO86+BB86+BO86+CB86+CO86+DB86+DO86</f>
        <v>4505.7123</v>
      </c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>
        <f>'1-Ф3'!N$28</f>
        <v>4505.7123</v>
      </c>
      <c r="N86" s="194"/>
      <c r="O86" s="195">
        <f>SUM(C86:N86)</f>
        <v>4505.7123</v>
      </c>
      <c r="P86" s="194"/>
      <c r="Q86" s="194"/>
      <c r="R86" s="194">
        <f>'1-Ф3'!S$28</f>
        <v>0</v>
      </c>
      <c r="S86" s="194"/>
      <c r="T86" s="194"/>
      <c r="U86" s="194"/>
      <c r="V86" s="194"/>
      <c r="W86" s="194"/>
      <c r="X86" s="194"/>
      <c r="Y86" s="194"/>
      <c r="Z86" s="194"/>
      <c r="AA86" s="194"/>
      <c r="AB86" s="194">
        <f>SUM(P86:AA86)</f>
        <v>0</v>
      </c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>
        <f>SUM(AC86:AN86)</f>
        <v>0</v>
      </c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  <c r="CW86" s="194"/>
      <c r="CX86" s="194"/>
      <c r="CY86" s="194"/>
      <c r="CZ86" s="194"/>
      <c r="DA86" s="194"/>
      <c r="DB86" s="194"/>
      <c r="DC86" s="194"/>
      <c r="DD86" s="194"/>
      <c r="DE86" s="194"/>
      <c r="DF86" s="194"/>
      <c r="DG86" s="194"/>
      <c r="DH86" s="194"/>
      <c r="DI86" s="194"/>
      <c r="DJ86" s="194"/>
      <c r="DK86" s="194"/>
      <c r="DL86" s="194"/>
      <c r="DM86" s="194"/>
      <c r="DN86" s="194"/>
      <c r="DO86" s="194"/>
    </row>
    <row r="87" spans="1:119" s="197" customFormat="1" ht="20.25" customHeight="1">
      <c r="A87" s="188" t="s">
        <v>31</v>
      </c>
      <c r="B87" s="193">
        <f>O87+AB87+AO87+BB87+BO87+CB87+CO87+DB87+DO87</f>
        <v>236.54989575000002</v>
      </c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5">
        <f>SUM(C87:N87)</f>
        <v>0</v>
      </c>
      <c r="P87" s="194"/>
      <c r="Q87" s="194"/>
      <c r="R87" s="194"/>
      <c r="S87" s="194"/>
      <c r="T87" s="194"/>
      <c r="U87" s="194"/>
      <c r="V87" s="194"/>
      <c r="W87" s="194">
        <f>SUM(O88:W88)</f>
        <v>236.54989575000002</v>
      </c>
      <c r="X87" s="194"/>
      <c r="Y87" s="194"/>
      <c r="Z87" s="194"/>
      <c r="AA87" s="194"/>
      <c r="AB87" s="195">
        <f>SUM(P87:AA87)</f>
        <v>236.54989575000002</v>
      </c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5">
        <f>SUM(AC87:AN87)</f>
        <v>0</v>
      </c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5">
        <f>SUM(AP87:BA87)</f>
        <v>0</v>
      </c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5">
        <f>SUM(BC87:BN87)</f>
        <v>0</v>
      </c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5">
        <f>SUM(BP87:CA87)</f>
        <v>0</v>
      </c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5">
        <f>SUM(CC87:CN87)</f>
        <v>0</v>
      </c>
      <c r="CP87" s="194"/>
      <c r="CQ87" s="194"/>
      <c r="CR87" s="194"/>
      <c r="CS87" s="194"/>
      <c r="CT87" s="194"/>
      <c r="CU87" s="194"/>
      <c r="CV87" s="194"/>
      <c r="CW87" s="194"/>
      <c r="CX87" s="194"/>
      <c r="CY87" s="194"/>
      <c r="CZ87" s="194"/>
      <c r="DA87" s="194"/>
      <c r="DB87" s="195">
        <f>SUM(CP87:DA87)</f>
        <v>0</v>
      </c>
      <c r="DC87" s="194"/>
      <c r="DD87" s="194"/>
      <c r="DE87" s="194"/>
      <c r="DF87" s="194"/>
      <c r="DG87" s="194"/>
      <c r="DH87" s="194"/>
      <c r="DI87" s="194"/>
      <c r="DJ87" s="194"/>
      <c r="DK87" s="194"/>
      <c r="DL87" s="194"/>
      <c r="DM87" s="194"/>
      <c r="DN87" s="194"/>
      <c r="DO87" s="195">
        <f>SUM(DC87:DN87)</f>
        <v>0</v>
      </c>
    </row>
    <row r="88" spans="1:119" s="197" customFormat="1" ht="12.75">
      <c r="A88" s="198" t="s">
        <v>13</v>
      </c>
      <c r="B88" s="193">
        <f>O88+AB88+AO88+BB88+BO88+CB88+CO88+DB88+DO88</f>
        <v>1362.9215972081374</v>
      </c>
      <c r="C88" s="194"/>
      <c r="D88" s="194">
        <f aca="true" t="shared" si="223" ref="D88:N88">C91*$B84/12</f>
        <v>0</v>
      </c>
      <c r="E88" s="194">
        <f t="shared" si="223"/>
        <v>0</v>
      </c>
      <c r="F88" s="194">
        <f t="shared" si="223"/>
        <v>0</v>
      </c>
      <c r="G88" s="194">
        <f t="shared" si="223"/>
        <v>0</v>
      </c>
      <c r="H88" s="194">
        <f t="shared" si="223"/>
        <v>0</v>
      </c>
      <c r="I88" s="194">
        <f t="shared" si="223"/>
        <v>0</v>
      </c>
      <c r="J88" s="194">
        <f t="shared" si="223"/>
        <v>0</v>
      </c>
      <c r="K88" s="194">
        <f t="shared" si="223"/>
        <v>0</v>
      </c>
      <c r="L88" s="194">
        <f t="shared" si="223"/>
        <v>0</v>
      </c>
      <c r="M88" s="194">
        <f t="shared" si="223"/>
        <v>0</v>
      </c>
      <c r="N88" s="194">
        <f t="shared" si="223"/>
        <v>26.283321750000002</v>
      </c>
      <c r="O88" s="195">
        <f>SUM(C88:N88)</f>
        <v>26.283321750000002</v>
      </c>
      <c r="P88" s="194">
        <f aca="true" t="shared" si="224" ref="P88:AA88">O91*$B84/12</f>
        <v>26.283321750000002</v>
      </c>
      <c r="Q88" s="194">
        <f t="shared" si="224"/>
        <v>26.283321750000002</v>
      </c>
      <c r="R88" s="194">
        <f t="shared" si="224"/>
        <v>26.283321750000002</v>
      </c>
      <c r="S88" s="194">
        <f t="shared" si="224"/>
        <v>26.283321750000002</v>
      </c>
      <c r="T88" s="194">
        <f t="shared" si="224"/>
        <v>26.283321750000002</v>
      </c>
      <c r="U88" s="194">
        <f t="shared" si="224"/>
        <v>26.283321750000002</v>
      </c>
      <c r="V88" s="194">
        <f t="shared" si="224"/>
        <v>26.283321750000002</v>
      </c>
      <c r="W88" s="194">
        <f t="shared" si="224"/>
        <v>26.283321750000002</v>
      </c>
      <c r="X88" s="194">
        <f t="shared" si="224"/>
        <v>27.663196141875005</v>
      </c>
      <c r="Y88" s="194">
        <f t="shared" si="224"/>
        <v>27.36811548291976</v>
      </c>
      <c r="Z88" s="194">
        <f t="shared" si="224"/>
        <v>27.0713135201206</v>
      </c>
      <c r="AA88" s="194">
        <f t="shared" si="224"/>
        <v>26.77278021253845</v>
      </c>
      <c r="AB88" s="195">
        <f>SUM(P88:AA88)</f>
        <v>319.14197935745386</v>
      </c>
      <c r="AC88" s="194">
        <f aca="true" t="shared" si="225" ref="AC88:AN88">AB91*$B84/12</f>
        <v>26.472505460662067</v>
      </c>
      <c r="AD88" s="194">
        <f t="shared" si="225"/>
        <v>26.17047910606641</v>
      </c>
      <c r="AE88" s="194">
        <f t="shared" si="225"/>
        <v>25.866690931068945</v>
      </c>
      <c r="AF88" s="194">
        <f t="shared" si="225"/>
        <v>25.56113065838399</v>
      </c>
      <c r="AG88" s="194">
        <f t="shared" si="225"/>
        <v>25.25378795077505</v>
      </c>
      <c r="AH88" s="194">
        <f t="shared" si="225"/>
        <v>24.94465241070505</v>
      </c>
      <c r="AI88" s="194">
        <f t="shared" si="225"/>
        <v>24.63371357998464</v>
      </c>
      <c r="AJ88" s="194">
        <f t="shared" si="225"/>
        <v>24.320960939418367</v>
      </c>
      <c r="AK88" s="194">
        <f t="shared" si="225"/>
        <v>24.006383908448786</v>
      </c>
      <c r="AL88" s="194">
        <f t="shared" si="225"/>
        <v>23.689971844798553</v>
      </c>
      <c r="AM88" s="194">
        <f t="shared" si="225"/>
        <v>23.37171404411036</v>
      </c>
      <c r="AN88" s="194">
        <f t="shared" si="225"/>
        <v>23.051599739584816</v>
      </c>
      <c r="AO88" s="195">
        <f>SUM(AC88:AN88)</f>
        <v>297.34359057400707</v>
      </c>
      <c r="AP88" s="194">
        <f aca="true" t="shared" si="226" ref="AP88:BA88">AO91*$B84/12</f>
        <v>22.729618101616207</v>
      </c>
      <c r="AQ88" s="194">
        <f t="shared" si="226"/>
        <v>22.405758237426113</v>
      </c>
      <c r="AR88" s="194">
        <f t="shared" si="226"/>
        <v>22.08000919069491</v>
      </c>
      <c r="AS88" s="194">
        <f t="shared" si="226"/>
        <v>21.752359941191113</v>
      </c>
      <c r="AT88" s="194">
        <f t="shared" si="226"/>
        <v>21.422799404398535</v>
      </c>
      <c r="AU88" s="194">
        <f t="shared" si="226"/>
        <v>21.09131643114134</v>
      </c>
      <c r="AV88" s="194">
        <f t="shared" si="226"/>
        <v>20.757899807206808</v>
      </c>
      <c r="AW88" s="194">
        <f t="shared" si="226"/>
        <v>20.422538252965996</v>
      </c>
      <c r="AX88" s="194">
        <f t="shared" si="226"/>
        <v>20.085220422992112</v>
      </c>
      <c r="AY88" s="194">
        <f t="shared" si="226"/>
        <v>19.745934905676712</v>
      </c>
      <c r="AZ88" s="194">
        <f t="shared" si="226"/>
        <v>19.404670222843638</v>
      </c>
      <c r="BA88" s="194">
        <f t="shared" si="226"/>
        <v>19.061414829360707</v>
      </c>
      <c r="BB88" s="195">
        <f>SUM(AP88:BA88)</f>
        <v>250.95953974751419</v>
      </c>
      <c r="BC88" s="194">
        <f aca="true" t="shared" si="227" ref="BC88:BN88">BB91*$B84/12</f>
        <v>18.716157112749123</v>
      </c>
      <c r="BD88" s="194">
        <f t="shared" si="227"/>
        <v>18.36888539279064</v>
      </c>
      <c r="BE88" s="194">
        <f t="shared" si="227"/>
        <v>18.019587921132402</v>
      </c>
      <c r="BF88" s="194">
        <f t="shared" si="227"/>
        <v>17.668252880889487</v>
      </c>
      <c r="BG88" s="194">
        <f t="shared" si="227"/>
        <v>17.314868386245156</v>
      </c>
      <c r="BH88" s="194">
        <f t="shared" si="227"/>
        <v>16.959422482048733</v>
      </c>
      <c r="BI88" s="194">
        <f t="shared" si="227"/>
        <v>16.601903143411164</v>
      </c>
      <c r="BJ88" s="194">
        <f t="shared" si="227"/>
        <v>16.242298275298207</v>
      </c>
      <c r="BK88" s="194">
        <f t="shared" si="227"/>
        <v>15.880595712121258</v>
      </c>
      <c r="BL88" s="194">
        <f t="shared" si="227"/>
        <v>15.516783217325779</v>
      </c>
      <c r="BM88" s="194">
        <f t="shared" si="227"/>
        <v>15.150848482977324</v>
      </c>
      <c r="BN88" s="194">
        <f t="shared" si="227"/>
        <v>14.782779129345172</v>
      </c>
      <c r="BO88" s="195">
        <f>SUM(BC88:BN88)</f>
        <v>201.22238213633443</v>
      </c>
      <c r="BP88" s="194">
        <f aca="true" t="shared" si="228" ref="BP88:CA88">BO91*$B84/12</f>
        <v>14.412562704483497</v>
      </c>
      <c r="BQ88" s="194">
        <f t="shared" si="228"/>
        <v>14.040186683810129</v>
      </c>
      <c r="BR88" s="194">
        <f t="shared" si="228"/>
        <v>13.665638469682834</v>
      </c>
      <c r="BS88" s="194">
        <f t="shared" si="228"/>
        <v>13.28890539097313</v>
      </c>
      <c r="BT88" s="194">
        <f t="shared" si="228"/>
        <v>12.909974702637621</v>
      </c>
      <c r="BU88" s="194">
        <f t="shared" si="228"/>
        <v>12.52883358528682</v>
      </c>
      <c r="BV88" s="194">
        <f t="shared" si="228"/>
        <v>12.145469144751473</v>
      </c>
      <c r="BW88" s="194">
        <f t="shared" si="228"/>
        <v>11.759868411646337</v>
      </c>
      <c r="BX88" s="194">
        <f t="shared" si="228"/>
        <v>11.372018340931419</v>
      </c>
      <c r="BY88" s="194">
        <f t="shared" si="228"/>
        <v>10.981905811470666</v>
      </c>
      <c r="BZ88" s="194">
        <f t="shared" si="228"/>
        <v>10.589517625588057</v>
      </c>
      <c r="CA88" s="194">
        <f t="shared" si="228"/>
        <v>10.194840508621136</v>
      </c>
      <c r="CB88" s="195">
        <f>SUM(BP88:CA88)</f>
        <v>147.8897213798831</v>
      </c>
      <c r="CC88" s="194">
        <f aca="true" t="shared" si="229" ref="CC88:CN88">CB91*$B84/12</f>
        <v>9.797861108471905</v>
      </c>
      <c r="CD88" s="194">
        <f t="shared" si="229"/>
        <v>9.398565995155137</v>
      </c>
      <c r="CE88" s="194">
        <f t="shared" si="229"/>
        <v>8.996941660344023</v>
      </c>
      <c r="CF88" s="194">
        <f t="shared" si="229"/>
        <v>8.592974516913175</v>
      </c>
      <c r="CG88" s="194">
        <f t="shared" si="229"/>
        <v>8.18665089847898</v>
      </c>
      <c r="CH88" s="194">
        <f t="shared" si="229"/>
        <v>7.777957058937255</v>
      </c>
      <c r="CI88" s="194">
        <f t="shared" si="229"/>
        <v>7.366879171998202</v>
      </c>
      <c r="CJ88" s="194">
        <f t="shared" si="229"/>
        <v>6.953403330718671</v>
      </c>
      <c r="CK88" s="194">
        <f t="shared" si="229"/>
        <v>6.537515547031677</v>
      </c>
      <c r="CL88" s="194">
        <f t="shared" si="229"/>
        <v>6.119201751273175</v>
      </c>
      <c r="CM88" s="194">
        <f t="shared" si="229"/>
        <v>5.698447791706081</v>
      </c>
      <c r="CN88" s="194">
        <f t="shared" si="229"/>
        <v>5.275239434041513</v>
      </c>
      <c r="CO88" s="195">
        <f>SUM(CC88:CN88)</f>
        <v>90.70163826506979</v>
      </c>
      <c r="CP88" s="194">
        <f aca="true" t="shared" si="230" ref="CP88:DA88">CO91*$B84/12</f>
        <v>4.849562360957235</v>
      </c>
      <c r="CQ88" s="194">
        <f t="shared" si="230"/>
        <v>4.421402171613298</v>
      </c>
      <c r="CR88" s="194">
        <f t="shared" si="230"/>
        <v>3.9907443811648555</v>
      </c>
      <c r="CS88" s="194">
        <f t="shared" si="230"/>
        <v>3.5575744202721307</v>
      </c>
      <c r="CT88" s="194">
        <f t="shared" si="230"/>
        <v>3.1218776346075305</v>
      </c>
      <c r="CU88" s="194">
        <f t="shared" si="230"/>
        <v>2.683639284359888</v>
      </c>
      <c r="CV88" s="194">
        <f t="shared" si="230"/>
        <v>2.2428445437358002</v>
      </c>
      <c r="CW88" s="194">
        <f t="shared" si="230"/>
        <v>1.799478500458072</v>
      </c>
      <c r="CX88" s="194">
        <f t="shared" si="230"/>
        <v>1.3535261552612239</v>
      </c>
      <c r="CY88" s="194">
        <f t="shared" si="230"/>
        <v>0.9049724213840608</v>
      </c>
      <c r="CZ88" s="194">
        <f t="shared" si="230"/>
        <v>0.4538021240592807</v>
      </c>
      <c r="DA88" s="194">
        <f t="shared" si="230"/>
        <v>1.0627350851185233E-13</v>
      </c>
      <c r="DB88" s="195">
        <f>SUM(CP88:DA88)</f>
        <v>29.37942399787348</v>
      </c>
      <c r="DC88" s="194">
        <f aca="true" t="shared" si="231" ref="DC88:DN88">DB91*$B84/12</f>
        <v>1.0627350851185233E-13</v>
      </c>
      <c r="DD88" s="194">
        <f t="shared" si="231"/>
        <v>1.0627350851185233E-13</v>
      </c>
      <c r="DE88" s="194">
        <f t="shared" si="231"/>
        <v>1.0627350851185233E-13</v>
      </c>
      <c r="DF88" s="194">
        <f t="shared" si="231"/>
        <v>1.0627350851185233E-13</v>
      </c>
      <c r="DG88" s="194">
        <f t="shared" si="231"/>
        <v>1.0627350851185233E-13</v>
      </c>
      <c r="DH88" s="194">
        <f t="shared" si="231"/>
        <v>1.0627350851185233E-13</v>
      </c>
      <c r="DI88" s="194">
        <f t="shared" si="231"/>
        <v>1.0627350851185233E-13</v>
      </c>
      <c r="DJ88" s="194">
        <f t="shared" si="231"/>
        <v>1.0627350851185233E-13</v>
      </c>
      <c r="DK88" s="194">
        <f t="shared" si="231"/>
        <v>1.0627350851185233E-13</v>
      </c>
      <c r="DL88" s="194">
        <f t="shared" si="231"/>
        <v>1.0627350851185233E-13</v>
      </c>
      <c r="DM88" s="194">
        <f t="shared" si="231"/>
        <v>1.0627350851185233E-13</v>
      </c>
      <c r="DN88" s="194">
        <f t="shared" si="231"/>
        <v>1.0627350851185233E-13</v>
      </c>
      <c r="DO88" s="195">
        <f>SUM(DC88:DN88)</f>
        <v>1.2752821021422281E-12</v>
      </c>
    </row>
    <row r="89" spans="1:119" ht="12.75">
      <c r="A89" s="188" t="s">
        <v>14</v>
      </c>
      <c r="B89" s="193">
        <f>O89+AB89+AO89+BB89+BO89+CB89+CO89+DB89+DO89</f>
        <v>4742.262195749981</v>
      </c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9"/>
      <c r="O89" s="195">
        <f>SUM(C89:N89)</f>
        <v>0</v>
      </c>
      <c r="P89" s="199"/>
      <c r="Q89" s="199"/>
      <c r="R89" s="199"/>
      <c r="S89" s="199"/>
      <c r="T89" s="199"/>
      <c r="U89" s="199"/>
      <c r="V89" s="199"/>
      <c r="W89" s="199"/>
      <c r="X89" s="194">
        <f>$B93-X88</f>
        <v>50.58525582089989</v>
      </c>
      <c r="Y89" s="194">
        <f>$B93-Y88</f>
        <v>50.88033647985513</v>
      </c>
      <c r="Z89" s="194">
        <f>$B93-Z88</f>
        <v>51.1771384426543</v>
      </c>
      <c r="AA89" s="194">
        <f>$B93-AA88</f>
        <v>51.475671750236444</v>
      </c>
      <c r="AB89" s="195">
        <f>SUM(P89:AA89)</f>
        <v>204.11840249364576</v>
      </c>
      <c r="AC89" s="194">
        <f aca="true" t="shared" si="232" ref="AC89:AN89">$B93-AC88</f>
        <v>51.77594650211283</v>
      </c>
      <c r="AD89" s="194">
        <f t="shared" si="232"/>
        <v>52.077972856708485</v>
      </c>
      <c r="AE89" s="194">
        <f t="shared" si="232"/>
        <v>52.38176103170595</v>
      </c>
      <c r="AF89" s="194">
        <f t="shared" si="232"/>
        <v>52.687321304390906</v>
      </c>
      <c r="AG89" s="194">
        <f t="shared" si="232"/>
        <v>52.994664011999845</v>
      </c>
      <c r="AH89" s="194">
        <f t="shared" si="232"/>
        <v>53.30379955206985</v>
      </c>
      <c r="AI89" s="194">
        <f t="shared" si="232"/>
        <v>53.61473838279025</v>
      </c>
      <c r="AJ89" s="194">
        <f t="shared" si="232"/>
        <v>53.927491023356524</v>
      </c>
      <c r="AK89" s="194">
        <f t="shared" si="232"/>
        <v>54.24206805432611</v>
      </c>
      <c r="AL89" s="194">
        <f t="shared" si="232"/>
        <v>54.558480117976345</v>
      </c>
      <c r="AM89" s="194">
        <f t="shared" si="232"/>
        <v>54.87673791866453</v>
      </c>
      <c r="AN89" s="194">
        <f t="shared" si="232"/>
        <v>55.19685222319008</v>
      </c>
      <c r="AO89" s="195">
        <f>SUM(AC89:AN89)</f>
        <v>641.6378329792916</v>
      </c>
      <c r="AP89" s="194">
        <f aca="true" t="shared" si="233" ref="AP89:BA89">$B93-AP88</f>
        <v>55.51883386115868</v>
      </c>
      <c r="AQ89" s="194">
        <f t="shared" si="233"/>
        <v>55.84269372534878</v>
      </c>
      <c r="AR89" s="194">
        <f t="shared" si="233"/>
        <v>56.168442772079985</v>
      </c>
      <c r="AS89" s="194">
        <f t="shared" si="233"/>
        <v>56.49609202158378</v>
      </c>
      <c r="AT89" s="194">
        <f t="shared" si="233"/>
        <v>56.82565255837636</v>
      </c>
      <c r="AU89" s="194">
        <f t="shared" si="233"/>
        <v>57.15713553163356</v>
      </c>
      <c r="AV89" s="194">
        <f t="shared" si="233"/>
        <v>57.49055215556808</v>
      </c>
      <c r="AW89" s="194">
        <f t="shared" si="233"/>
        <v>57.8259137098089</v>
      </c>
      <c r="AX89" s="194">
        <f t="shared" si="233"/>
        <v>58.163231539782785</v>
      </c>
      <c r="AY89" s="194">
        <f t="shared" si="233"/>
        <v>58.50251705709818</v>
      </c>
      <c r="AZ89" s="194">
        <f t="shared" si="233"/>
        <v>58.84378173993126</v>
      </c>
      <c r="BA89" s="194">
        <f t="shared" si="233"/>
        <v>59.18703713341419</v>
      </c>
      <c r="BB89" s="195">
        <f>SUM(AP89:BA89)</f>
        <v>688.0218838057845</v>
      </c>
      <c r="BC89" s="194">
        <f aca="true" t="shared" si="234" ref="BC89:BN89">$B93-BC88</f>
        <v>59.53229485002577</v>
      </c>
      <c r="BD89" s="194">
        <f t="shared" si="234"/>
        <v>59.87956656998425</v>
      </c>
      <c r="BE89" s="194">
        <f t="shared" si="234"/>
        <v>60.228864041642495</v>
      </c>
      <c r="BF89" s="194">
        <f t="shared" si="234"/>
        <v>60.58019908188541</v>
      </c>
      <c r="BG89" s="194">
        <f t="shared" si="234"/>
        <v>60.93358357652974</v>
      </c>
      <c r="BH89" s="194">
        <f t="shared" si="234"/>
        <v>61.28902948072616</v>
      </c>
      <c r="BI89" s="194">
        <f t="shared" si="234"/>
        <v>61.64654881936373</v>
      </c>
      <c r="BJ89" s="194">
        <f t="shared" si="234"/>
        <v>62.00615368747668</v>
      </c>
      <c r="BK89" s="194">
        <f t="shared" si="234"/>
        <v>62.36785625065364</v>
      </c>
      <c r="BL89" s="194">
        <f t="shared" si="234"/>
        <v>62.73166874544911</v>
      </c>
      <c r="BM89" s="194">
        <f t="shared" si="234"/>
        <v>63.09760347979757</v>
      </c>
      <c r="BN89" s="194">
        <f t="shared" si="234"/>
        <v>63.46567283342972</v>
      </c>
      <c r="BO89" s="195">
        <f>SUM(BC89:BN89)</f>
        <v>737.7590414169644</v>
      </c>
      <c r="BP89" s="194">
        <f aca="true" t="shared" si="235" ref="BP89:CA89">$B93-BP88</f>
        <v>63.835889258291395</v>
      </c>
      <c r="BQ89" s="194">
        <f t="shared" si="235"/>
        <v>64.20826527896476</v>
      </c>
      <c r="BR89" s="194">
        <f t="shared" si="235"/>
        <v>64.58281349309206</v>
      </c>
      <c r="BS89" s="194">
        <f t="shared" si="235"/>
        <v>64.95954657180177</v>
      </c>
      <c r="BT89" s="194">
        <f t="shared" si="235"/>
        <v>65.33847726013727</v>
      </c>
      <c r="BU89" s="194">
        <f t="shared" si="235"/>
        <v>65.71961837748808</v>
      </c>
      <c r="BV89" s="194">
        <f t="shared" si="235"/>
        <v>66.10298281802342</v>
      </c>
      <c r="BW89" s="194">
        <f t="shared" si="235"/>
        <v>66.48858355112856</v>
      </c>
      <c r="BX89" s="194">
        <f t="shared" si="235"/>
        <v>66.87643362184347</v>
      </c>
      <c r="BY89" s="194">
        <f t="shared" si="235"/>
        <v>67.26654615130423</v>
      </c>
      <c r="BZ89" s="194">
        <f t="shared" si="235"/>
        <v>67.65893433718684</v>
      </c>
      <c r="CA89" s="194">
        <f t="shared" si="235"/>
        <v>68.05361145415375</v>
      </c>
      <c r="CB89" s="195">
        <f>SUM(BP89:CA89)</f>
        <v>791.0917021734156</v>
      </c>
      <c r="CC89" s="194">
        <f aca="true" t="shared" si="236" ref="CC89:CN89">$B93-CC88</f>
        <v>68.45059085430299</v>
      </c>
      <c r="CD89" s="194">
        <f t="shared" si="236"/>
        <v>68.84988596761976</v>
      </c>
      <c r="CE89" s="194">
        <f t="shared" si="236"/>
        <v>69.25151030243087</v>
      </c>
      <c r="CF89" s="194">
        <f t="shared" si="236"/>
        <v>69.65547744586172</v>
      </c>
      <c r="CG89" s="194">
        <f t="shared" si="236"/>
        <v>70.0618010642959</v>
      </c>
      <c r="CH89" s="194">
        <f t="shared" si="236"/>
        <v>70.47049490383763</v>
      </c>
      <c r="CI89" s="194">
        <f t="shared" si="236"/>
        <v>70.88157279077669</v>
      </c>
      <c r="CJ89" s="194">
        <f t="shared" si="236"/>
        <v>71.29504863205622</v>
      </c>
      <c r="CK89" s="194">
        <f t="shared" si="236"/>
        <v>71.71093641574322</v>
      </c>
      <c r="CL89" s="194">
        <f t="shared" si="236"/>
        <v>72.12925021150171</v>
      </c>
      <c r="CM89" s="194">
        <f t="shared" si="236"/>
        <v>72.5500041710688</v>
      </c>
      <c r="CN89" s="194">
        <f t="shared" si="236"/>
        <v>72.97321252873338</v>
      </c>
      <c r="CO89" s="195">
        <f>SUM(CC89:CN89)</f>
        <v>848.279785288229</v>
      </c>
      <c r="CP89" s="194">
        <f aca="true" t="shared" si="237" ref="CP89:CZ89">$B93-CP88</f>
        <v>73.39888960181766</v>
      </c>
      <c r="CQ89" s="194">
        <f t="shared" si="237"/>
        <v>73.8270497911616</v>
      </c>
      <c r="CR89" s="194">
        <f t="shared" si="237"/>
        <v>74.25770758161003</v>
      </c>
      <c r="CS89" s="194">
        <f t="shared" si="237"/>
        <v>74.69087754250276</v>
      </c>
      <c r="CT89" s="194">
        <f t="shared" si="237"/>
        <v>75.12657432816737</v>
      </c>
      <c r="CU89" s="194">
        <f t="shared" si="237"/>
        <v>75.56481267841501</v>
      </c>
      <c r="CV89" s="194">
        <f t="shared" si="237"/>
        <v>76.0056074190391</v>
      </c>
      <c r="CW89" s="194">
        <f t="shared" si="237"/>
        <v>76.44897346231681</v>
      </c>
      <c r="CX89" s="194">
        <f t="shared" si="237"/>
        <v>76.89492580751367</v>
      </c>
      <c r="CY89" s="194">
        <f t="shared" si="237"/>
        <v>77.34347954139083</v>
      </c>
      <c r="CZ89" s="194">
        <f t="shared" si="237"/>
        <v>77.79464983871561</v>
      </c>
      <c r="DA89" s="194"/>
      <c r="DB89" s="195">
        <f>SUM(CP89:DA89)</f>
        <v>831.3535475926504</v>
      </c>
      <c r="DC89" s="194"/>
      <c r="DD89" s="194"/>
      <c r="DE89" s="194"/>
      <c r="DF89" s="194"/>
      <c r="DG89" s="194"/>
      <c r="DH89" s="194"/>
      <c r="DI89" s="194"/>
      <c r="DJ89" s="194"/>
      <c r="DK89" s="194"/>
      <c r="DL89" s="194"/>
      <c r="DM89" s="194"/>
      <c r="DN89" s="194"/>
      <c r="DO89" s="195">
        <f>SUM(DC89:DN89)</f>
        <v>0</v>
      </c>
    </row>
    <row r="90" spans="1:119" ht="12.75">
      <c r="A90" s="188" t="s">
        <v>15</v>
      </c>
      <c r="B90" s="193">
        <f>O90+AB90+AO90+BB90+BO90+CB90+CO90+DB90+DO90</f>
        <v>1126.3717014581373</v>
      </c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9"/>
      <c r="O90" s="195">
        <f>SUM(C90:N90)</f>
        <v>0</v>
      </c>
      <c r="P90" s="199"/>
      <c r="Q90" s="199"/>
      <c r="R90" s="199"/>
      <c r="S90" s="199"/>
      <c r="T90" s="199"/>
      <c r="U90" s="199"/>
      <c r="V90" s="199"/>
      <c r="W90" s="199"/>
      <c r="X90" s="194">
        <f>X88</f>
        <v>27.663196141875005</v>
      </c>
      <c r="Y90" s="194">
        <f>Y88</f>
        <v>27.36811548291976</v>
      </c>
      <c r="Z90" s="194">
        <f>Z88</f>
        <v>27.0713135201206</v>
      </c>
      <c r="AA90" s="194">
        <f>AA88</f>
        <v>26.77278021253845</v>
      </c>
      <c r="AB90" s="195">
        <f>SUM(P90:AA90)</f>
        <v>108.87540535745381</v>
      </c>
      <c r="AC90" s="194">
        <f aca="true" t="shared" si="238" ref="AC90:AK90">AC88</f>
        <v>26.472505460662067</v>
      </c>
      <c r="AD90" s="194">
        <f t="shared" si="238"/>
        <v>26.17047910606641</v>
      </c>
      <c r="AE90" s="194">
        <f t="shared" si="238"/>
        <v>25.866690931068945</v>
      </c>
      <c r="AF90" s="194">
        <f t="shared" si="238"/>
        <v>25.56113065838399</v>
      </c>
      <c r="AG90" s="194">
        <f t="shared" si="238"/>
        <v>25.25378795077505</v>
      </c>
      <c r="AH90" s="194">
        <f t="shared" si="238"/>
        <v>24.94465241070505</v>
      </c>
      <c r="AI90" s="194">
        <f t="shared" si="238"/>
        <v>24.63371357998464</v>
      </c>
      <c r="AJ90" s="194">
        <f t="shared" si="238"/>
        <v>24.320960939418367</v>
      </c>
      <c r="AK90" s="194">
        <f t="shared" si="238"/>
        <v>24.006383908448786</v>
      </c>
      <c r="AL90" s="194">
        <f>AL88</f>
        <v>23.689971844798553</v>
      </c>
      <c r="AM90" s="194">
        <f>AM88</f>
        <v>23.37171404411036</v>
      </c>
      <c r="AN90" s="194">
        <f>AN88</f>
        <v>23.051599739584816</v>
      </c>
      <c r="AO90" s="195">
        <f>SUM(AC90:AN90)</f>
        <v>297.34359057400707</v>
      </c>
      <c r="AP90" s="194">
        <f aca="true" t="shared" si="239" ref="AP90:BA90">AP88</f>
        <v>22.729618101616207</v>
      </c>
      <c r="AQ90" s="194">
        <f t="shared" si="239"/>
        <v>22.405758237426113</v>
      </c>
      <c r="AR90" s="194">
        <f t="shared" si="239"/>
        <v>22.08000919069491</v>
      </c>
      <c r="AS90" s="194">
        <f t="shared" si="239"/>
        <v>21.752359941191113</v>
      </c>
      <c r="AT90" s="194">
        <f t="shared" si="239"/>
        <v>21.422799404398535</v>
      </c>
      <c r="AU90" s="194">
        <f t="shared" si="239"/>
        <v>21.09131643114134</v>
      </c>
      <c r="AV90" s="194">
        <f t="shared" si="239"/>
        <v>20.757899807206808</v>
      </c>
      <c r="AW90" s="194">
        <f t="shared" si="239"/>
        <v>20.422538252965996</v>
      </c>
      <c r="AX90" s="194">
        <f t="shared" si="239"/>
        <v>20.085220422992112</v>
      </c>
      <c r="AY90" s="194">
        <f t="shared" si="239"/>
        <v>19.745934905676712</v>
      </c>
      <c r="AZ90" s="194">
        <f t="shared" si="239"/>
        <v>19.404670222843638</v>
      </c>
      <c r="BA90" s="194">
        <f t="shared" si="239"/>
        <v>19.061414829360707</v>
      </c>
      <c r="BB90" s="195">
        <f>SUM(AP90:BA90)</f>
        <v>250.95953974751419</v>
      </c>
      <c r="BC90" s="194">
        <f aca="true" t="shared" si="240" ref="BC90:BN90">BC88</f>
        <v>18.716157112749123</v>
      </c>
      <c r="BD90" s="194">
        <f t="shared" si="240"/>
        <v>18.36888539279064</v>
      </c>
      <c r="BE90" s="194">
        <f t="shared" si="240"/>
        <v>18.019587921132402</v>
      </c>
      <c r="BF90" s="194">
        <f t="shared" si="240"/>
        <v>17.668252880889487</v>
      </c>
      <c r="BG90" s="194">
        <f t="shared" si="240"/>
        <v>17.314868386245156</v>
      </c>
      <c r="BH90" s="194">
        <f t="shared" si="240"/>
        <v>16.959422482048733</v>
      </c>
      <c r="BI90" s="194">
        <f t="shared" si="240"/>
        <v>16.601903143411164</v>
      </c>
      <c r="BJ90" s="194">
        <f t="shared" si="240"/>
        <v>16.242298275298207</v>
      </c>
      <c r="BK90" s="194">
        <f t="shared" si="240"/>
        <v>15.880595712121258</v>
      </c>
      <c r="BL90" s="194">
        <f t="shared" si="240"/>
        <v>15.516783217325779</v>
      </c>
      <c r="BM90" s="194">
        <f t="shared" si="240"/>
        <v>15.150848482977324</v>
      </c>
      <c r="BN90" s="194">
        <f t="shared" si="240"/>
        <v>14.782779129345172</v>
      </c>
      <c r="BO90" s="195">
        <f>SUM(BC90:BN90)</f>
        <v>201.22238213633443</v>
      </c>
      <c r="BP90" s="194">
        <f aca="true" t="shared" si="241" ref="BP90:CA90">BP88</f>
        <v>14.412562704483497</v>
      </c>
      <c r="BQ90" s="194">
        <f t="shared" si="241"/>
        <v>14.040186683810129</v>
      </c>
      <c r="BR90" s="194">
        <f t="shared" si="241"/>
        <v>13.665638469682834</v>
      </c>
      <c r="BS90" s="194">
        <f t="shared" si="241"/>
        <v>13.28890539097313</v>
      </c>
      <c r="BT90" s="194">
        <f t="shared" si="241"/>
        <v>12.909974702637621</v>
      </c>
      <c r="BU90" s="194">
        <f t="shared" si="241"/>
        <v>12.52883358528682</v>
      </c>
      <c r="BV90" s="194">
        <f t="shared" si="241"/>
        <v>12.145469144751473</v>
      </c>
      <c r="BW90" s="194">
        <f t="shared" si="241"/>
        <v>11.759868411646337</v>
      </c>
      <c r="BX90" s="194">
        <f t="shared" si="241"/>
        <v>11.372018340931419</v>
      </c>
      <c r="BY90" s="194">
        <f t="shared" si="241"/>
        <v>10.981905811470666</v>
      </c>
      <c r="BZ90" s="194">
        <f t="shared" si="241"/>
        <v>10.589517625588057</v>
      </c>
      <c r="CA90" s="194">
        <f t="shared" si="241"/>
        <v>10.194840508621136</v>
      </c>
      <c r="CB90" s="195">
        <f>SUM(BP90:CA90)</f>
        <v>147.8897213798831</v>
      </c>
      <c r="CC90" s="194">
        <f aca="true" t="shared" si="242" ref="CC90:CN90">CC88</f>
        <v>9.797861108471905</v>
      </c>
      <c r="CD90" s="194">
        <f t="shared" si="242"/>
        <v>9.398565995155137</v>
      </c>
      <c r="CE90" s="194">
        <f t="shared" si="242"/>
        <v>8.996941660344023</v>
      </c>
      <c r="CF90" s="194">
        <f t="shared" si="242"/>
        <v>8.592974516913175</v>
      </c>
      <c r="CG90" s="194">
        <f t="shared" si="242"/>
        <v>8.18665089847898</v>
      </c>
      <c r="CH90" s="194">
        <f t="shared" si="242"/>
        <v>7.777957058937255</v>
      </c>
      <c r="CI90" s="194">
        <f t="shared" si="242"/>
        <v>7.366879171998202</v>
      </c>
      <c r="CJ90" s="194">
        <f t="shared" si="242"/>
        <v>6.953403330718671</v>
      </c>
      <c r="CK90" s="194">
        <f t="shared" si="242"/>
        <v>6.537515547031677</v>
      </c>
      <c r="CL90" s="194">
        <f t="shared" si="242"/>
        <v>6.119201751273175</v>
      </c>
      <c r="CM90" s="194">
        <f t="shared" si="242"/>
        <v>5.698447791706081</v>
      </c>
      <c r="CN90" s="194">
        <f t="shared" si="242"/>
        <v>5.275239434041513</v>
      </c>
      <c r="CO90" s="195">
        <f>SUM(CC90:CN90)</f>
        <v>90.70163826506979</v>
      </c>
      <c r="CP90" s="194">
        <f aca="true" t="shared" si="243" ref="CP90:DA90">CP88</f>
        <v>4.849562360957235</v>
      </c>
      <c r="CQ90" s="194">
        <f t="shared" si="243"/>
        <v>4.421402171613298</v>
      </c>
      <c r="CR90" s="194">
        <f t="shared" si="243"/>
        <v>3.9907443811648555</v>
      </c>
      <c r="CS90" s="194">
        <f t="shared" si="243"/>
        <v>3.5575744202721307</v>
      </c>
      <c r="CT90" s="194">
        <f t="shared" si="243"/>
        <v>3.1218776346075305</v>
      </c>
      <c r="CU90" s="194">
        <f t="shared" si="243"/>
        <v>2.683639284359888</v>
      </c>
      <c r="CV90" s="194">
        <f t="shared" si="243"/>
        <v>2.2428445437358002</v>
      </c>
      <c r="CW90" s="194">
        <f t="shared" si="243"/>
        <v>1.799478500458072</v>
      </c>
      <c r="CX90" s="194">
        <f t="shared" si="243"/>
        <v>1.3535261552612239</v>
      </c>
      <c r="CY90" s="194">
        <f t="shared" si="243"/>
        <v>0.9049724213840608</v>
      </c>
      <c r="CZ90" s="194">
        <f t="shared" si="243"/>
        <v>0.4538021240592807</v>
      </c>
      <c r="DA90" s="194">
        <f t="shared" si="243"/>
        <v>1.0627350851185233E-13</v>
      </c>
      <c r="DB90" s="195">
        <f>SUM(CP90:DA90)</f>
        <v>29.37942399787348</v>
      </c>
      <c r="DC90" s="194">
        <f aca="true" t="shared" si="244" ref="DC90:DN90">DC88</f>
        <v>1.0627350851185233E-13</v>
      </c>
      <c r="DD90" s="194">
        <f t="shared" si="244"/>
        <v>1.0627350851185233E-13</v>
      </c>
      <c r="DE90" s="194">
        <f t="shared" si="244"/>
        <v>1.0627350851185233E-13</v>
      </c>
      <c r="DF90" s="194">
        <f t="shared" si="244"/>
        <v>1.0627350851185233E-13</v>
      </c>
      <c r="DG90" s="194">
        <f t="shared" si="244"/>
        <v>1.0627350851185233E-13</v>
      </c>
      <c r="DH90" s="194">
        <f t="shared" si="244"/>
        <v>1.0627350851185233E-13</v>
      </c>
      <c r="DI90" s="194">
        <f t="shared" si="244"/>
        <v>1.0627350851185233E-13</v>
      </c>
      <c r="DJ90" s="194">
        <f t="shared" si="244"/>
        <v>1.0627350851185233E-13</v>
      </c>
      <c r="DK90" s="194">
        <f t="shared" si="244"/>
        <v>1.0627350851185233E-13</v>
      </c>
      <c r="DL90" s="194">
        <f t="shared" si="244"/>
        <v>1.0627350851185233E-13</v>
      </c>
      <c r="DM90" s="194">
        <f t="shared" si="244"/>
        <v>1.0627350851185233E-13</v>
      </c>
      <c r="DN90" s="194">
        <f t="shared" si="244"/>
        <v>1.0627350851185233E-13</v>
      </c>
      <c r="DO90" s="195">
        <f>SUM(DC90:DN90)</f>
        <v>1.2752821021422281E-12</v>
      </c>
    </row>
    <row r="91" spans="1:119" ht="12.75">
      <c r="A91" s="188" t="s">
        <v>16</v>
      </c>
      <c r="B91" s="193">
        <f>DO91</f>
        <v>1.821831574488897E-11</v>
      </c>
      <c r="C91" s="194">
        <f>C86</f>
        <v>0</v>
      </c>
      <c r="D91" s="194">
        <f aca="true" t="shared" si="245" ref="D91:N91">C91+D86-D89+D87</f>
        <v>0</v>
      </c>
      <c r="E91" s="194">
        <f t="shared" si="245"/>
        <v>0</v>
      </c>
      <c r="F91" s="194">
        <f t="shared" si="245"/>
        <v>0</v>
      </c>
      <c r="G91" s="194">
        <f t="shared" si="245"/>
        <v>0</v>
      </c>
      <c r="H91" s="194">
        <f t="shared" si="245"/>
        <v>0</v>
      </c>
      <c r="I91" s="194">
        <f t="shared" si="245"/>
        <v>0</v>
      </c>
      <c r="J91" s="194">
        <f t="shared" si="245"/>
        <v>0</v>
      </c>
      <c r="K91" s="194">
        <f t="shared" si="245"/>
        <v>0</v>
      </c>
      <c r="L91" s="194">
        <f t="shared" si="245"/>
        <v>0</v>
      </c>
      <c r="M91" s="194">
        <f t="shared" si="245"/>
        <v>4505.7123</v>
      </c>
      <c r="N91" s="194">
        <f t="shared" si="245"/>
        <v>4505.7123</v>
      </c>
      <c r="O91" s="195">
        <f>N91</f>
        <v>4505.7123</v>
      </c>
      <c r="P91" s="194">
        <f aca="true" t="shared" si="246" ref="P91:AA91">O91+P86-P89+P87</f>
        <v>4505.7123</v>
      </c>
      <c r="Q91" s="194">
        <f t="shared" si="246"/>
        <v>4505.7123</v>
      </c>
      <c r="R91" s="194">
        <f t="shared" si="246"/>
        <v>4505.7123</v>
      </c>
      <c r="S91" s="194">
        <f t="shared" si="246"/>
        <v>4505.7123</v>
      </c>
      <c r="T91" s="194">
        <f t="shared" si="246"/>
        <v>4505.7123</v>
      </c>
      <c r="U91" s="194">
        <f t="shared" si="246"/>
        <v>4505.7123</v>
      </c>
      <c r="V91" s="194">
        <f t="shared" si="246"/>
        <v>4505.7123</v>
      </c>
      <c r="W91" s="194">
        <f t="shared" si="246"/>
        <v>4742.2621957500005</v>
      </c>
      <c r="X91" s="194">
        <f t="shared" si="246"/>
        <v>4691.676939929101</v>
      </c>
      <c r="Y91" s="194">
        <f t="shared" si="246"/>
        <v>4640.796603449246</v>
      </c>
      <c r="Z91" s="194">
        <f t="shared" si="246"/>
        <v>4589.619465006591</v>
      </c>
      <c r="AA91" s="194">
        <f t="shared" si="246"/>
        <v>4538.143793256354</v>
      </c>
      <c r="AB91" s="195">
        <f>AA91</f>
        <v>4538.143793256354</v>
      </c>
      <c r="AC91" s="194">
        <f aca="true" t="shared" si="247" ref="AC91:AN91">AB91+AC86-AC89+AC87</f>
        <v>4486.367846754241</v>
      </c>
      <c r="AD91" s="194">
        <f t="shared" si="247"/>
        <v>4434.289873897533</v>
      </c>
      <c r="AE91" s="194">
        <f t="shared" si="247"/>
        <v>4381.908112865827</v>
      </c>
      <c r="AF91" s="194">
        <f t="shared" si="247"/>
        <v>4329.220791561436</v>
      </c>
      <c r="AG91" s="194">
        <f t="shared" si="247"/>
        <v>4276.226127549437</v>
      </c>
      <c r="AH91" s="194">
        <f t="shared" si="247"/>
        <v>4222.922327997367</v>
      </c>
      <c r="AI91" s="194">
        <f t="shared" si="247"/>
        <v>4169.3075896145765</v>
      </c>
      <c r="AJ91" s="194">
        <f t="shared" si="247"/>
        <v>4115.38009859122</v>
      </c>
      <c r="AK91" s="194">
        <f t="shared" si="247"/>
        <v>4061.1380305368943</v>
      </c>
      <c r="AL91" s="194">
        <f t="shared" si="247"/>
        <v>4006.579550418918</v>
      </c>
      <c r="AM91" s="194">
        <f t="shared" si="247"/>
        <v>3951.7028125002535</v>
      </c>
      <c r="AN91" s="194">
        <f t="shared" si="247"/>
        <v>3896.5059602770634</v>
      </c>
      <c r="AO91" s="195">
        <f>AN91</f>
        <v>3896.5059602770634</v>
      </c>
      <c r="AP91" s="194">
        <f aca="true" t="shared" si="248" ref="AP91:BA91">AO91+AP86-AP89+AP87</f>
        <v>3840.9871264159046</v>
      </c>
      <c r="AQ91" s="194">
        <f t="shared" si="248"/>
        <v>3785.1444326905557</v>
      </c>
      <c r="AR91" s="194">
        <f t="shared" si="248"/>
        <v>3728.9759899184755</v>
      </c>
      <c r="AS91" s="194">
        <f t="shared" si="248"/>
        <v>3672.4798978968915</v>
      </c>
      <c r="AT91" s="194">
        <f t="shared" si="248"/>
        <v>3615.654245338515</v>
      </c>
      <c r="AU91" s="194">
        <f t="shared" si="248"/>
        <v>3558.4971098068813</v>
      </c>
      <c r="AV91" s="194">
        <f t="shared" si="248"/>
        <v>3501.0065576513134</v>
      </c>
      <c r="AW91" s="194">
        <f t="shared" si="248"/>
        <v>3443.1806439415045</v>
      </c>
      <c r="AX91" s="194">
        <f t="shared" si="248"/>
        <v>3385.0174124017217</v>
      </c>
      <c r="AY91" s="194">
        <f t="shared" si="248"/>
        <v>3326.5148953446237</v>
      </c>
      <c r="AZ91" s="194">
        <f t="shared" si="248"/>
        <v>3267.6711136046924</v>
      </c>
      <c r="BA91" s="194">
        <f t="shared" si="248"/>
        <v>3208.484076471278</v>
      </c>
      <c r="BB91" s="195">
        <f>BA91</f>
        <v>3208.484076471278</v>
      </c>
      <c r="BC91" s="194">
        <f aca="true" t="shared" si="249" ref="BC91:BN91">BB91+BC86-BC89+BC87</f>
        <v>3148.9517816212524</v>
      </c>
      <c r="BD91" s="194">
        <f t="shared" si="249"/>
        <v>3089.0722150512684</v>
      </c>
      <c r="BE91" s="194">
        <f t="shared" si="249"/>
        <v>3028.843351009626</v>
      </c>
      <c r="BF91" s="194">
        <f t="shared" si="249"/>
        <v>2968.2631519277406</v>
      </c>
      <c r="BG91" s="194">
        <f t="shared" si="249"/>
        <v>2907.329568351211</v>
      </c>
      <c r="BH91" s="194">
        <f t="shared" si="249"/>
        <v>2846.040538870485</v>
      </c>
      <c r="BI91" s="194">
        <f t="shared" si="249"/>
        <v>2784.393990051121</v>
      </c>
      <c r="BJ91" s="194">
        <f t="shared" si="249"/>
        <v>2722.387836363644</v>
      </c>
      <c r="BK91" s="194">
        <f t="shared" si="249"/>
        <v>2660.01998011299</v>
      </c>
      <c r="BL91" s="194">
        <f t="shared" si="249"/>
        <v>2597.288311367541</v>
      </c>
      <c r="BM91" s="194">
        <f t="shared" si="249"/>
        <v>2534.1907078877434</v>
      </c>
      <c r="BN91" s="194">
        <f t="shared" si="249"/>
        <v>2470.7250350543136</v>
      </c>
      <c r="BO91" s="195">
        <f>BN91</f>
        <v>2470.7250350543136</v>
      </c>
      <c r="BP91" s="194">
        <f aca="true" t="shared" si="250" ref="BP91:CA91">BO91+BP86-BP89+BP87</f>
        <v>2406.889145796022</v>
      </c>
      <c r="BQ91" s="194">
        <f t="shared" si="250"/>
        <v>2342.680880517057</v>
      </c>
      <c r="BR91" s="194">
        <f t="shared" si="250"/>
        <v>2278.098067023965</v>
      </c>
      <c r="BS91" s="194">
        <f t="shared" si="250"/>
        <v>2213.1385204521634</v>
      </c>
      <c r="BT91" s="194">
        <f t="shared" si="250"/>
        <v>2147.8000431920264</v>
      </c>
      <c r="BU91" s="194">
        <f t="shared" si="250"/>
        <v>2082.080424814538</v>
      </c>
      <c r="BV91" s="194">
        <f t="shared" si="250"/>
        <v>2015.9774419965147</v>
      </c>
      <c r="BW91" s="194">
        <f t="shared" si="250"/>
        <v>1949.488858445386</v>
      </c>
      <c r="BX91" s="194">
        <f t="shared" si="250"/>
        <v>1882.6124248235426</v>
      </c>
      <c r="BY91" s="194">
        <f t="shared" si="250"/>
        <v>1815.3458786722383</v>
      </c>
      <c r="BZ91" s="194">
        <f t="shared" si="250"/>
        <v>1747.6869443350515</v>
      </c>
      <c r="CA91" s="194">
        <f t="shared" si="250"/>
        <v>1679.6333328808978</v>
      </c>
      <c r="CB91" s="195">
        <f>CA91</f>
        <v>1679.6333328808978</v>
      </c>
      <c r="CC91" s="194">
        <f aca="true" t="shared" si="251" ref="CC91:CN91">CB91+CC86-CC89+CC87</f>
        <v>1611.1827420265947</v>
      </c>
      <c r="CD91" s="194">
        <f t="shared" si="251"/>
        <v>1542.332856058975</v>
      </c>
      <c r="CE91" s="194">
        <f t="shared" si="251"/>
        <v>1473.0813457565441</v>
      </c>
      <c r="CF91" s="194">
        <f t="shared" si="251"/>
        <v>1403.4258683106823</v>
      </c>
      <c r="CG91" s="194">
        <f t="shared" si="251"/>
        <v>1333.3640672463864</v>
      </c>
      <c r="CH91" s="194">
        <f t="shared" si="251"/>
        <v>1262.8935723425489</v>
      </c>
      <c r="CI91" s="194">
        <f t="shared" si="251"/>
        <v>1192.011999551772</v>
      </c>
      <c r="CJ91" s="194">
        <f t="shared" si="251"/>
        <v>1120.7169509197158</v>
      </c>
      <c r="CK91" s="194">
        <f t="shared" si="251"/>
        <v>1049.0060145039727</v>
      </c>
      <c r="CL91" s="194">
        <f t="shared" si="251"/>
        <v>976.876764292471</v>
      </c>
      <c r="CM91" s="194">
        <f t="shared" si="251"/>
        <v>904.3267601214021</v>
      </c>
      <c r="CN91" s="194">
        <f t="shared" si="251"/>
        <v>831.3535475926687</v>
      </c>
      <c r="CO91" s="195">
        <f>CN91</f>
        <v>831.3535475926687</v>
      </c>
      <c r="CP91" s="194">
        <f aca="true" t="shared" si="252" ref="CP91:DA91">CO91+CP86-CP89+CP87</f>
        <v>757.954657990851</v>
      </c>
      <c r="CQ91" s="194">
        <f t="shared" si="252"/>
        <v>684.1276081996895</v>
      </c>
      <c r="CR91" s="194">
        <f t="shared" si="252"/>
        <v>609.8699006180794</v>
      </c>
      <c r="CS91" s="194">
        <f t="shared" si="252"/>
        <v>535.1790230755767</v>
      </c>
      <c r="CT91" s="194">
        <f t="shared" si="252"/>
        <v>460.0524487474093</v>
      </c>
      <c r="CU91" s="194">
        <f t="shared" si="252"/>
        <v>384.4876360689943</v>
      </c>
      <c r="CV91" s="194">
        <f t="shared" si="252"/>
        <v>308.48202864995517</v>
      </c>
      <c r="CW91" s="194">
        <f t="shared" si="252"/>
        <v>232.03305518763835</v>
      </c>
      <c r="CX91" s="194">
        <f t="shared" si="252"/>
        <v>155.13812938012467</v>
      </c>
      <c r="CY91" s="194">
        <f t="shared" si="252"/>
        <v>77.79464983873383</v>
      </c>
      <c r="CZ91" s="194">
        <f t="shared" si="252"/>
        <v>1.821831574488897E-11</v>
      </c>
      <c r="DA91" s="194">
        <f t="shared" si="252"/>
        <v>1.821831574488897E-11</v>
      </c>
      <c r="DB91" s="195">
        <f>DA91</f>
        <v>1.821831574488897E-11</v>
      </c>
      <c r="DC91" s="194">
        <f aca="true" t="shared" si="253" ref="DC91:DN91">DB91+DC86-DC89+DC87</f>
        <v>1.821831574488897E-11</v>
      </c>
      <c r="DD91" s="194">
        <f t="shared" si="253"/>
        <v>1.821831574488897E-11</v>
      </c>
      <c r="DE91" s="194">
        <f t="shared" si="253"/>
        <v>1.821831574488897E-11</v>
      </c>
      <c r="DF91" s="194">
        <f t="shared" si="253"/>
        <v>1.821831574488897E-11</v>
      </c>
      <c r="DG91" s="194">
        <f t="shared" si="253"/>
        <v>1.821831574488897E-11</v>
      </c>
      <c r="DH91" s="194">
        <f t="shared" si="253"/>
        <v>1.821831574488897E-11</v>
      </c>
      <c r="DI91" s="194">
        <f t="shared" si="253"/>
        <v>1.821831574488897E-11</v>
      </c>
      <c r="DJ91" s="194">
        <f t="shared" si="253"/>
        <v>1.821831574488897E-11</v>
      </c>
      <c r="DK91" s="194">
        <f t="shared" si="253"/>
        <v>1.821831574488897E-11</v>
      </c>
      <c r="DL91" s="194">
        <f t="shared" si="253"/>
        <v>1.821831574488897E-11</v>
      </c>
      <c r="DM91" s="194">
        <f t="shared" si="253"/>
        <v>1.821831574488897E-11</v>
      </c>
      <c r="DN91" s="194">
        <f t="shared" si="253"/>
        <v>1.821831574488897E-11</v>
      </c>
      <c r="DO91" s="195">
        <f>DN91</f>
        <v>1.821831574488897E-11</v>
      </c>
    </row>
    <row r="92" spans="1:119" ht="12.75">
      <c r="A92" s="177" t="s">
        <v>78</v>
      </c>
      <c r="B92" s="284">
        <f>Исх!$C$46*12-Исх!$C$47</f>
        <v>75</v>
      </c>
      <c r="CP92" s="180"/>
      <c r="DB92" s="177"/>
      <c r="DO92" s="177"/>
    </row>
    <row r="93" spans="1:119" ht="12.75">
      <c r="A93" s="287" t="s">
        <v>253</v>
      </c>
      <c r="B93" s="288">
        <f>$W$91*$B$20/12/((1-(1+$B$20/12)^-$B92))</f>
        <v>78.2484519627749</v>
      </c>
      <c r="DB93" s="177"/>
      <c r="DO93" s="177"/>
    </row>
    <row r="94" spans="1:119" ht="7.5" customHeight="1">
      <c r="A94" s="285"/>
      <c r="B94" s="282"/>
      <c r="DB94" s="177"/>
      <c r="DO94" s="177"/>
    </row>
    <row r="95" spans="1:119" ht="12.75">
      <c r="A95" s="270" t="s">
        <v>241</v>
      </c>
      <c r="DB95" s="177"/>
      <c r="DO95" s="177"/>
    </row>
    <row r="96" spans="1:119" ht="12.75" hidden="1" outlineLevel="1">
      <c r="A96" s="271">
        <f>B86+B87-B89</f>
        <v>1.9099388737231493E-11</v>
      </c>
      <c r="DB96" s="177"/>
      <c r="DO96" s="177"/>
    </row>
    <row r="97" spans="1:119" ht="12.75" hidden="1" outlineLevel="1">
      <c r="A97" s="271">
        <f>B88-B87-B90</f>
        <v>0</v>
      </c>
      <c r="DB97" s="177"/>
      <c r="DO97" s="177"/>
    </row>
    <row r="98" ht="12.75" collapsed="1"/>
  </sheetData>
  <sheetProtection/>
  <mergeCells count="54">
    <mergeCell ref="DC68:DO68"/>
    <mergeCell ref="C84:O84"/>
    <mergeCell ref="P84:AB84"/>
    <mergeCell ref="AC84:AO84"/>
    <mergeCell ref="AP84:BB84"/>
    <mergeCell ref="BC84:BO84"/>
    <mergeCell ref="BP84:CB84"/>
    <mergeCell ref="CC84:CO84"/>
    <mergeCell ref="CP84:DB84"/>
    <mergeCell ref="DC84:DO84"/>
    <mergeCell ref="CP52:DB52"/>
    <mergeCell ref="DC52:DO52"/>
    <mergeCell ref="C68:O68"/>
    <mergeCell ref="P68:AB68"/>
    <mergeCell ref="AC68:AO68"/>
    <mergeCell ref="AP68:BB68"/>
    <mergeCell ref="BC68:BO68"/>
    <mergeCell ref="BP68:CB68"/>
    <mergeCell ref="CC68:CO68"/>
    <mergeCell ref="CP68:DB68"/>
    <mergeCell ref="CC36:CO36"/>
    <mergeCell ref="CP36:DB36"/>
    <mergeCell ref="DC36:DO36"/>
    <mergeCell ref="C52:O52"/>
    <mergeCell ref="P52:AB52"/>
    <mergeCell ref="AC52:AO52"/>
    <mergeCell ref="AP52:BB52"/>
    <mergeCell ref="BC52:BO52"/>
    <mergeCell ref="BP52:CB52"/>
    <mergeCell ref="CC52:CO52"/>
    <mergeCell ref="C36:O36"/>
    <mergeCell ref="P36:AB36"/>
    <mergeCell ref="AC36:AO36"/>
    <mergeCell ref="AP36:BB36"/>
    <mergeCell ref="BC36:BO36"/>
    <mergeCell ref="BP36:CB36"/>
    <mergeCell ref="DC20:DO20"/>
    <mergeCell ref="CP5:DB5"/>
    <mergeCell ref="DC5:DO5"/>
    <mergeCell ref="C20:O20"/>
    <mergeCell ref="P20:AB20"/>
    <mergeCell ref="AC20:AO20"/>
    <mergeCell ref="AP20:BB20"/>
    <mergeCell ref="BC20:BO20"/>
    <mergeCell ref="BP20:CB20"/>
    <mergeCell ref="CC20:CO20"/>
    <mergeCell ref="CP20:DB20"/>
    <mergeCell ref="CC5:CO5"/>
    <mergeCell ref="C5:O5"/>
    <mergeCell ref="P5:AB5"/>
    <mergeCell ref="AC5:AO5"/>
    <mergeCell ref="AP5:BB5"/>
    <mergeCell ref="BC5:BO5"/>
    <mergeCell ref="BP5:CB5"/>
  </mergeCells>
  <printOptions/>
  <pageMargins left="0.35433070866141736" right="0.1968503937007874" top="0.9" bottom="0.31496062992125984" header="0.1968503937007874" footer="0.2362204724409449"/>
  <pageSetup horizontalDpi="600" verticalDpi="600" orientation="landscape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2:S28"/>
  <sheetViews>
    <sheetView showGridLine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14" sqref="P14"/>
    </sheetView>
  </sheetViews>
  <sheetFormatPr defaultColWidth="8.875" defaultRowHeight="12.75" outlineLevelRow="1" outlineLevelCol="1"/>
  <cols>
    <col min="1" max="1" width="35.75390625" style="78" customWidth="1"/>
    <col min="2" max="2" width="8.75390625" style="78" customWidth="1"/>
    <col min="3" max="3" width="8.00390625" style="78" customWidth="1"/>
    <col min="4" max="4" width="10.00390625" style="78" customWidth="1"/>
    <col min="5" max="11" width="4.75390625" style="78" customWidth="1" outlineLevel="1"/>
    <col min="12" max="12" width="6.625" style="78" bestFit="1" customWidth="1" outlineLevel="1"/>
    <col min="13" max="13" width="6.375" style="78" customWidth="1" outlineLevel="1"/>
    <col min="14" max="16" width="7.625" style="78" bestFit="1" customWidth="1" outlineLevel="1"/>
    <col min="17" max="17" width="10.125" style="78" customWidth="1"/>
    <col min="18" max="18" width="4.125" style="78" customWidth="1"/>
    <col min="19" max="19" width="16.00390625" style="78" customWidth="1"/>
    <col min="20" max="20" width="12.875" style="78" bestFit="1" customWidth="1"/>
    <col min="21" max="16384" width="8.875" style="78" customWidth="1"/>
  </cols>
  <sheetData>
    <row r="2" spans="1:19" ht="12.75">
      <c r="A2" s="62" t="s">
        <v>258</v>
      </c>
      <c r="B2" s="173"/>
      <c r="Q2" s="147"/>
      <c r="R2" s="201"/>
      <c r="S2" s="171"/>
    </row>
    <row r="3" spans="1:19" ht="17.25" customHeight="1">
      <c r="A3" s="368" t="s">
        <v>185</v>
      </c>
      <c r="B3" s="369" t="s">
        <v>155</v>
      </c>
      <c r="C3" s="369" t="s">
        <v>156</v>
      </c>
      <c r="D3" s="370" t="s">
        <v>189</v>
      </c>
      <c r="E3" s="320">
        <v>2013</v>
      </c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2"/>
      <c r="Q3" s="91" t="s">
        <v>0</v>
      </c>
      <c r="R3" s="201"/>
      <c r="S3" s="202"/>
    </row>
    <row r="4" spans="1:17" ht="12.75">
      <c r="A4" s="368"/>
      <c r="B4" s="369"/>
      <c r="C4" s="369"/>
      <c r="D4" s="370"/>
      <c r="E4" s="203">
        <v>1</v>
      </c>
      <c r="F4" s="203">
        <v>2</v>
      </c>
      <c r="G4" s="203">
        <v>3</v>
      </c>
      <c r="H4" s="203">
        <v>4</v>
      </c>
      <c r="I4" s="203">
        <v>5</v>
      </c>
      <c r="J4" s="203">
        <v>6</v>
      </c>
      <c r="K4" s="203">
        <v>7</v>
      </c>
      <c r="L4" s="203">
        <v>8</v>
      </c>
      <c r="M4" s="203">
        <v>9</v>
      </c>
      <c r="N4" s="203">
        <v>10</v>
      </c>
      <c r="O4" s="203">
        <v>11</v>
      </c>
      <c r="P4" s="203">
        <v>12</v>
      </c>
      <c r="Q4" s="93">
        <v>2013</v>
      </c>
    </row>
    <row r="5" spans="1:19" s="62" customFormat="1" ht="12.75" hidden="1">
      <c r="A5" s="204" t="s">
        <v>184</v>
      </c>
      <c r="B5" s="205"/>
      <c r="C5" s="205"/>
      <c r="D5" s="144">
        <f aca="true" t="shared" si="0" ref="D5:Q5">SUM(D6:D7)</f>
        <v>0</v>
      </c>
      <c r="E5" s="144">
        <f t="shared" si="0"/>
        <v>0</v>
      </c>
      <c r="F5" s="144">
        <f t="shared" si="0"/>
        <v>0</v>
      </c>
      <c r="G5" s="144">
        <f t="shared" si="0"/>
        <v>0</v>
      </c>
      <c r="H5" s="144">
        <f t="shared" si="0"/>
        <v>0</v>
      </c>
      <c r="I5" s="144">
        <f t="shared" si="0"/>
        <v>0</v>
      </c>
      <c r="J5" s="144">
        <f t="shared" si="0"/>
        <v>0</v>
      </c>
      <c r="K5" s="144">
        <f t="shared" si="0"/>
        <v>0</v>
      </c>
      <c r="L5" s="144">
        <f t="shared" si="0"/>
        <v>0</v>
      </c>
      <c r="M5" s="144">
        <f t="shared" si="0"/>
        <v>0</v>
      </c>
      <c r="N5" s="144">
        <f t="shared" si="0"/>
        <v>0</v>
      </c>
      <c r="O5" s="144">
        <f t="shared" si="0"/>
        <v>0</v>
      </c>
      <c r="P5" s="144">
        <f t="shared" si="0"/>
        <v>0</v>
      </c>
      <c r="Q5" s="144">
        <f t="shared" si="0"/>
        <v>0</v>
      </c>
      <c r="S5" s="78"/>
    </row>
    <row r="6" spans="1:17" ht="12.75" hidden="1" outlineLevel="1">
      <c r="A6" s="252"/>
      <c r="B6" s="243"/>
      <c r="C6" s="243"/>
      <c r="D6" s="154">
        <f>B6*C6</f>
        <v>0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>
        <f>SUM(E6:P6)</f>
        <v>0</v>
      </c>
    </row>
    <row r="7" spans="1:17" ht="12.75" hidden="1" outlineLevel="1">
      <c r="A7" s="252"/>
      <c r="B7" s="84"/>
      <c r="C7" s="145"/>
      <c r="D7" s="154">
        <f>B7*C7</f>
        <v>0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5">
        <f>SUM(E7:P7)</f>
        <v>0</v>
      </c>
    </row>
    <row r="8" spans="1:17" ht="12.75" collapsed="1">
      <c r="A8" s="204" t="s">
        <v>105</v>
      </c>
      <c r="B8" s="205"/>
      <c r="C8" s="205"/>
      <c r="D8" s="144">
        <f aca="true" t="shared" si="1" ref="D8:Q8">SUM(D9:D12)</f>
        <v>5037.324600000001</v>
      </c>
      <c r="E8" s="144">
        <f t="shared" si="1"/>
        <v>0</v>
      </c>
      <c r="F8" s="144">
        <f t="shared" si="1"/>
        <v>0</v>
      </c>
      <c r="G8" s="144">
        <f t="shared" si="1"/>
        <v>0</v>
      </c>
      <c r="H8" s="144">
        <f t="shared" si="1"/>
        <v>0</v>
      </c>
      <c r="I8" s="144">
        <f t="shared" si="1"/>
        <v>0</v>
      </c>
      <c r="J8" s="144">
        <f t="shared" si="1"/>
        <v>0</v>
      </c>
      <c r="K8" s="144">
        <f t="shared" si="1"/>
        <v>0</v>
      </c>
      <c r="L8" s="144">
        <f t="shared" si="1"/>
        <v>0</v>
      </c>
      <c r="M8" s="144">
        <f t="shared" si="1"/>
        <v>0</v>
      </c>
      <c r="N8" s="144">
        <f t="shared" si="1"/>
        <v>2518.6623000000004</v>
      </c>
      <c r="O8" s="144">
        <f t="shared" si="1"/>
        <v>0</v>
      </c>
      <c r="P8" s="144">
        <f t="shared" si="1"/>
        <v>2518.6623000000004</v>
      </c>
      <c r="Q8" s="144">
        <f t="shared" si="1"/>
        <v>5037.324600000001</v>
      </c>
    </row>
    <row r="9" spans="1:19" ht="25.5" outlineLevel="1">
      <c r="A9" s="252" t="s">
        <v>323</v>
      </c>
      <c r="B9" s="145">
        <v>1</v>
      </c>
      <c r="C9" s="145">
        <f>11*Исх!$C$5*1.1*Исх!$C$19</f>
        <v>2071.4232</v>
      </c>
      <c r="D9" s="154">
        <f>B9*C9</f>
        <v>2071.4232</v>
      </c>
      <c r="E9" s="154"/>
      <c r="F9" s="154"/>
      <c r="G9" s="154"/>
      <c r="H9" s="154"/>
      <c r="I9" s="154"/>
      <c r="J9" s="154"/>
      <c r="K9" s="154"/>
      <c r="L9" s="154"/>
      <c r="M9" s="154"/>
      <c r="N9" s="154">
        <f>$D9/2</f>
        <v>1035.7116</v>
      </c>
      <c r="O9" s="154"/>
      <c r="P9" s="154">
        <f>$D9/2</f>
        <v>1035.7116</v>
      </c>
      <c r="Q9" s="155">
        <f>SUM(E9:P9)</f>
        <v>2071.4232</v>
      </c>
      <c r="S9" s="290" t="s">
        <v>321</v>
      </c>
    </row>
    <row r="10" spans="1:17" ht="12.75" outlineLevel="1">
      <c r="A10" s="252" t="s">
        <v>326</v>
      </c>
      <c r="B10" s="145">
        <v>1</v>
      </c>
      <c r="C10" s="145">
        <f>5*Исх!$C$5*1.1*Исх!$C$19</f>
        <v>941.5560000000002</v>
      </c>
      <c r="D10" s="154">
        <f>B10*C10</f>
        <v>941.5560000000002</v>
      </c>
      <c r="E10" s="154"/>
      <c r="F10" s="154"/>
      <c r="G10" s="154"/>
      <c r="H10" s="154"/>
      <c r="I10" s="154"/>
      <c r="J10" s="154"/>
      <c r="K10" s="154"/>
      <c r="L10" s="154"/>
      <c r="M10" s="154"/>
      <c r="N10" s="154">
        <f aca="true" t="shared" si="2" ref="N10:P12">$D10/2</f>
        <v>470.7780000000001</v>
      </c>
      <c r="O10" s="154"/>
      <c r="P10" s="154">
        <f t="shared" si="2"/>
        <v>470.7780000000001</v>
      </c>
      <c r="Q10" s="155">
        <f>SUM(E10:P10)</f>
        <v>941.5560000000002</v>
      </c>
    </row>
    <row r="11" spans="1:17" ht="12.75" outlineLevel="1">
      <c r="A11" s="252" t="s">
        <v>325</v>
      </c>
      <c r="B11" s="145">
        <v>1</v>
      </c>
      <c r="C11" s="145">
        <f>2*Исх!$C$5*1.1*Исх!$C$19</f>
        <v>376.6224000000001</v>
      </c>
      <c r="D11" s="154">
        <f>B11*C11</f>
        <v>376.6224000000001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>
        <f t="shared" si="2"/>
        <v>188.31120000000004</v>
      </c>
      <c r="O11" s="154"/>
      <c r="P11" s="154">
        <f t="shared" si="2"/>
        <v>188.31120000000004</v>
      </c>
      <c r="Q11" s="155">
        <f>SUM(E11:P11)</f>
        <v>376.6224000000001</v>
      </c>
    </row>
    <row r="12" spans="1:19" ht="25.5" outlineLevel="1">
      <c r="A12" s="252" t="s">
        <v>324</v>
      </c>
      <c r="B12" s="145">
        <v>1</v>
      </c>
      <c r="C12" s="145">
        <f>8.75*Исх!$C$5*1.1*Исх!$C$19</f>
        <v>1647.7230000000002</v>
      </c>
      <c r="D12" s="154">
        <f>B12*C12</f>
        <v>1647.7230000000002</v>
      </c>
      <c r="E12" s="154"/>
      <c r="F12" s="154"/>
      <c r="G12" s="154"/>
      <c r="H12" s="154"/>
      <c r="I12" s="154"/>
      <c r="J12" s="154"/>
      <c r="K12" s="154"/>
      <c r="L12" s="154"/>
      <c r="M12" s="154"/>
      <c r="N12" s="154">
        <f t="shared" si="2"/>
        <v>823.8615000000001</v>
      </c>
      <c r="O12" s="154"/>
      <c r="P12" s="154">
        <f t="shared" si="2"/>
        <v>823.8615000000001</v>
      </c>
      <c r="Q12" s="155">
        <f>SUM(E12:P12)</f>
        <v>1647.7230000000002</v>
      </c>
      <c r="S12" s="290" t="s">
        <v>322</v>
      </c>
    </row>
    <row r="13" spans="1:17" ht="12.75">
      <c r="A13" s="204" t="s">
        <v>190</v>
      </c>
      <c r="B13" s="205"/>
      <c r="C13" s="205"/>
      <c r="D13" s="144">
        <f aca="true" t="shared" si="3" ref="D13:Q13">SUM(D14:D15)</f>
        <v>1987.05</v>
      </c>
      <c r="E13" s="144">
        <f t="shared" si="3"/>
        <v>0</v>
      </c>
      <c r="F13" s="144">
        <f t="shared" si="3"/>
        <v>0</v>
      </c>
      <c r="G13" s="144">
        <f t="shared" si="3"/>
        <v>0</v>
      </c>
      <c r="H13" s="144">
        <f t="shared" si="3"/>
        <v>0</v>
      </c>
      <c r="I13" s="144">
        <f t="shared" si="3"/>
        <v>0</v>
      </c>
      <c r="J13" s="144">
        <f t="shared" si="3"/>
        <v>0</v>
      </c>
      <c r="K13" s="144">
        <f t="shared" si="3"/>
        <v>0</v>
      </c>
      <c r="L13" s="144">
        <f t="shared" si="3"/>
        <v>0</v>
      </c>
      <c r="M13" s="144">
        <f t="shared" si="3"/>
        <v>0</v>
      </c>
      <c r="N13" s="144">
        <f t="shared" si="3"/>
        <v>0</v>
      </c>
      <c r="O13" s="144">
        <f t="shared" si="3"/>
        <v>0</v>
      </c>
      <c r="P13" s="144">
        <f t="shared" si="3"/>
        <v>1987.05</v>
      </c>
      <c r="Q13" s="144">
        <f t="shared" si="3"/>
        <v>1987.05</v>
      </c>
    </row>
    <row r="14" spans="1:17" ht="12.75" outlineLevel="1">
      <c r="A14" s="279" t="s">
        <v>360</v>
      </c>
      <c r="B14" s="145">
        <v>1</v>
      </c>
      <c r="C14" s="145">
        <f>13*Исх!$C$5</f>
        <v>1987.05</v>
      </c>
      <c r="D14" s="154">
        <f>B14*C14</f>
        <v>1987.05</v>
      </c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>
        <f>D14</f>
        <v>1987.05</v>
      </c>
      <c r="Q14" s="155">
        <f>SUM(E14:P14)</f>
        <v>1987.05</v>
      </c>
    </row>
    <row r="15" spans="1:17" ht="12.75" outlineLevel="1">
      <c r="A15" s="279"/>
      <c r="B15" s="145"/>
      <c r="C15" s="145"/>
      <c r="D15" s="154">
        <f>B15*C15</f>
        <v>0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5">
        <f>SUM(E15:P15)</f>
        <v>0</v>
      </c>
    </row>
    <row r="16" spans="1:17" ht="12.75">
      <c r="A16" s="141" t="s">
        <v>0</v>
      </c>
      <c r="B16" s="168"/>
      <c r="C16" s="168"/>
      <c r="D16" s="168">
        <f aca="true" t="shared" si="4" ref="D16:Q16">D5+D8+D13</f>
        <v>7024.374600000001</v>
      </c>
      <c r="E16" s="168">
        <f t="shared" si="4"/>
        <v>0</v>
      </c>
      <c r="F16" s="168">
        <f t="shared" si="4"/>
        <v>0</v>
      </c>
      <c r="G16" s="168">
        <f t="shared" si="4"/>
        <v>0</v>
      </c>
      <c r="H16" s="168">
        <f t="shared" si="4"/>
        <v>0</v>
      </c>
      <c r="I16" s="168">
        <f t="shared" si="4"/>
        <v>0</v>
      </c>
      <c r="J16" s="168">
        <f t="shared" si="4"/>
        <v>0</v>
      </c>
      <c r="K16" s="168">
        <f t="shared" si="4"/>
        <v>0</v>
      </c>
      <c r="L16" s="168">
        <f t="shared" si="4"/>
        <v>0</v>
      </c>
      <c r="M16" s="168">
        <f t="shared" si="4"/>
        <v>0</v>
      </c>
      <c r="N16" s="168">
        <f t="shared" si="4"/>
        <v>2518.6623000000004</v>
      </c>
      <c r="O16" s="168">
        <f t="shared" si="4"/>
        <v>0</v>
      </c>
      <c r="P16" s="168">
        <f t="shared" si="4"/>
        <v>4505.7123</v>
      </c>
      <c r="Q16" s="168">
        <f t="shared" si="4"/>
        <v>7024.374600000001</v>
      </c>
    </row>
    <row r="17" ht="12.75">
      <c r="D17" s="201">
        <f>D16-Q16</f>
        <v>0</v>
      </c>
    </row>
    <row r="18" spans="2:4" ht="12.75">
      <c r="B18" s="147" t="s">
        <v>59</v>
      </c>
      <c r="C18" s="201" t="s">
        <v>43</v>
      </c>
      <c r="D18" s="206" t="s">
        <v>98</v>
      </c>
    </row>
    <row r="19" spans="1:4" ht="12.75">
      <c r="A19" s="78" t="s">
        <v>109</v>
      </c>
      <c r="B19" s="201">
        <f>D5</f>
        <v>0</v>
      </c>
      <c r="C19" s="201">
        <f>B19/Исх!$C$19</f>
        <v>0</v>
      </c>
      <c r="D19" s="169">
        <f>B19/Исх!$C$5</f>
        <v>0</v>
      </c>
    </row>
    <row r="20" spans="1:4" ht="12.75">
      <c r="A20" s="78" t="s">
        <v>105</v>
      </c>
      <c r="B20" s="201">
        <f>D8</f>
        <v>5037.324600000001</v>
      </c>
      <c r="C20" s="201">
        <f>B20/Исх!$C$19</f>
        <v>4497.61125</v>
      </c>
      <c r="D20" s="169">
        <f>B20/Исх!$C$5</f>
        <v>32.95600000000001</v>
      </c>
    </row>
    <row r="21" spans="1:12" ht="12.75">
      <c r="A21" s="78" t="s">
        <v>190</v>
      </c>
      <c r="B21" s="201">
        <f>D13</f>
        <v>1987.05</v>
      </c>
      <c r="C21" s="201">
        <f>B21/Исх!$C$19</f>
        <v>1774.1517857142856</v>
      </c>
      <c r="D21" s="169">
        <f>B21/Исх!$C$5</f>
        <v>13</v>
      </c>
      <c r="L21" s="173"/>
    </row>
    <row r="22" spans="1:4" ht="12.75">
      <c r="A22" s="62" t="s">
        <v>89</v>
      </c>
      <c r="B22" s="207">
        <f>SUM(B19:B21)</f>
        <v>7024.374600000001</v>
      </c>
      <c r="C22" s="207">
        <f>SUM(C19:C21)</f>
        <v>6271.763035714285</v>
      </c>
      <c r="D22" s="207">
        <f>SUM(D19:D21)</f>
        <v>45.95600000000001</v>
      </c>
    </row>
    <row r="25" spans="1:17" ht="12.75">
      <c r="A25" s="78" t="s">
        <v>252</v>
      </c>
      <c r="D25" s="201">
        <f>Q25</f>
        <v>0</v>
      </c>
      <c r="L25" s="201">
        <f>K25+L5</f>
        <v>0</v>
      </c>
      <c r="M25" s="201">
        <f>L25+M5</f>
        <v>0</v>
      </c>
      <c r="N25" s="201">
        <f>M25+N5</f>
        <v>0</v>
      </c>
      <c r="O25" s="201">
        <f>N25+O5</f>
        <v>0</v>
      </c>
      <c r="Q25" s="201">
        <f>P25</f>
        <v>0</v>
      </c>
    </row>
    <row r="26" spans="1:17" ht="12.75">
      <c r="A26" s="78" t="s">
        <v>267</v>
      </c>
      <c r="D26" s="201">
        <f>Q26</f>
        <v>0</v>
      </c>
      <c r="L26" s="201">
        <f>K26+L8</f>
        <v>0</v>
      </c>
      <c r="M26" s="201">
        <f>L26+M8</f>
        <v>0</v>
      </c>
      <c r="N26" s="201">
        <f>M26+N8</f>
        <v>2518.6623000000004</v>
      </c>
      <c r="O26" s="201">
        <f>N26+O8</f>
        <v>2518.6623000000004</v>
      </c>
      <c r="Q26" s="201">
        <f>P26</f>
        <v>0</v>
      </c>
    </row>
    <row r="27" spans="1:17" ht="12.75">
      <c r="A27" s="78" t="s">
        <v>268</v>
      </c>
      <c r="D27" s="201">
        <f>Q27</f>
        <v>7024.374600000001</v>
      </c>
      <c r="O27" s="201"/>
      <c r="P27" s="201">
        <f>D5+D8+D13</f>
        <v>7024.374600000001</v>
      </c>
      <c r="Q27" s="201">
        <f>SUM(E27:P27)</f>
        <v>7024.374600000001</v>
      </c>
    </row>
    <row r="28" spans="1:17" ht="12.75">
      <c r="A28" s="78" t="s">
        <v>302</v>
      </c>
      <c r="D28" s="201">
        <f>D27/Исх!$C$19</f>
        <v>6271.763035714286</v>
      </c>
      <c r="P28" s="201">
        <f>P27/Исх!$C$19</f>
        <v>6271.763035714286</v>
      </c>
      <c r="Q28" s="201">
        <f>Q27/Исх!$C$19</f>
        <v>6271.763035714286</v>
      </c>
    </row>
  </sheetData>
  <sheetProtection/>
  <mergeCells count="5">
    <mergeCell ref="E3:P3"/>
    <mergeCell ref="A3:A4"/>
    <mergeCell ref="B3:B4"/>
    <mergeCell ref="C3:C4"/>
    <mergeCell ref="D3:D4"/>
  </mergeCells>
  <hyperlinks>
    <hyperlink ref="S9" r:id="rId1" display="https://sites.google.com/site/gofroservice/home/oborudovanie-dla-proizvodstva-pasty-dla-rucek"/>
    <hyperlink ref="S12" r:id="rId2" display="https://sites.google.com/site/gofroservice/sterzni"/>
  </hyperlinks>
  <printOptions/>
  <pageMargins left="0.3" right="0.2362204724409449" top="0.7086614173228347" bottom="0.2755905511811024" header="0.5118110236220472" footer="0.1968503937007874"/>
  <pageSetup horizontalDpi="600" verticalDpi="600" orientation="landscape" paperSize="9" scale="96"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I13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A7" sqref="A7"/>
    </sheetView>
  </sheetViews>
  <sheetFormatPr defaultColWidth="9.00390625" defaultRowHeight="12.75"/>
  <cols>
    <col min="1" max="1" width="38.625" style="78" customWidth="1"/>
    <col min="2" max="2" width="7.875" style="78" hidden="1" customWidth="1"/>
    <col min="3" max="3" width="9.75390625" style="78" customWidth="1"/>
    <col min="4" max="16384" width="9.125" style="78" customWidth="1"/>
  </cols>
  <sheetData>
    <row r="1" spans="1:6" ht="12.75">
      <c r="A1" s="62" t="s">
        <v>74</v>
      </c>
      <c r="B1" s="62"/>
      <c r="C1" s="62"/>
      <c r="D1" s="62"/>
      <c r="E1" s="62"/>
      <c r="F1" s="62"/>
    </row>
    <row r="2" spans="1:9" ht="12.75">
      <c r="A2" s="208"/>
      <c r="B2" s="208"/>
      <c r="C2" s="208"/>
      <c r="D2" s="208"/>
      <c r="E2" s="208"/>
      <c r="F2" s="208"/>
      <c r="I2" s="147" t="str">
        <f>Исх!C10</f>
        <v>тыс.тг.</v>
      </c>
    </row>
    <row r="3" spans="1:9" ht="12.75">
      <c r="A3" s="217" t="s">
        <v>9</v>
      </c>
      <c r="B3" s="233">
        <v>2013</v>
      </c>
      <c r="C3" s="233">
        <f aca="true" t="shared" si="0" ref="C3:H3">B3+1</f>
        <v>2014</v>
      </c>
      <c r="D3" s="233">
        <f t="shared" si="0"/>
        <v>2015</v>
      </c>
      <c r="E3" s="233">
        <f t="shared" si="0"/>
        <v>2016</v>
      </c>
      <c r="F3" s="233">
        <f t="shared" si="0"/>
        <v>2017</v>
      </c>
      <c r="G3" s="233">
        <f t="shared" si="0"/>
        <v>2018</v>
      </c>
      <c r="H3" s="233">
        <f t="shared" si="0"/>
        <v>2019</v>
      </c>
      <c r="I3" s="233">
        <f>H3+1</f>
        <v>2020</v>
      </c>
    </row>
    <row r="4" spans="1:9" ht="12.75">
      <c r="A4" s="209" t="s">
        <v>370</v>
      </c>
      <c r="B4" s="210">
        <f>'2-ф2'!P5</f>
        <v>0</v>
      </c>
      <c r="C4" s="210">
        <f>'2-ф2'!AC5</f>
        <v>36313.91999999999</v>
      </c>
      <c r="D4" s="210">
        <f>'2-ф2'!AP5</f>
        <v>73440</v>
      </c>
      <c r="E4" s="210">
        <f>'2-ф2'!AQ5</f>
        <v>86400</v>
      </c>
      <c r="F4" s="210">
        <f>'2-ф2'!AR5</f>
        <v>86400</v>
      </c>
      <c r="G4" s="210">
        <f>'2-ф2'!AS5</f>
        <v>86400</v>
      </c>
      <c r="H4" s="210">
        <f>'2-ф2'!AT5</f>
        <v>86400</v>
      </c>
      <c r="I4" s="210">
        <f>'2-ф2'!AU5</f>
        <v>86400</v>
      </c>
    </row>
    <row r="5" spans="1:9" ht="12.75">
      <c r="A5" s="209" t="s">
        <v>90</v>
      </c>
      <c r="B5" s="211">
        <f aca="true" t="shared" si="1" ref="B5:H5">B4-B6</f>
        <v>-55.66771525000001</v>
      </c>
      <c r="C5" s="211">
        <f t="shared" si="1"/>
        <v>-804.0392117025913</v>
      </c>
      <c r="D5" s="211">
        <f t="shared" si="1"/>
        <v>11268.62960924764</v>
      </c>
      <c r="E5" s="211">
        <f t="shared" si="1"/>
        <v>15083.773546812634</v>
      </c>
      <c r="F5" s="211">
        <f t="shared" si="1"/>
        <v>14513.070002234497</v>
      </c>
      <c r="G5" s="211">
        <f t="shared" si="1"/>
        <v>13915.563265861187</v>
      </c>
      <c r="H5" s="211">
        <f t="shared" si="1"/>
        <v>13290.038383470004</v>
      </c>
      <c r="I5" s="211">
        <f>I4-I6</f>
        <v>12634.973552200594</v>
      </c>
    </row>
    <row r="6" spans="1:9" ht="12.75">
      <c r="A6" s="209" t="s">
        <v>371</v>
      </c>
      <c r="B6" s="212">
        <f aca="true" t="shared" si="2" ref="B6:H6">SUM(B7:B8)</f>
        <v>55.66771525000001</v>
      </c>
      <c r="C6" s="212">
        <f t="shared" si="2"/>
        <v>37117.95921170258</v>
      </c>
      <c r="D6" s="212">
        <f t="shared" si="2"/>
        <v>62171.37039075236</v>
      </c>
      <c r="E6" s="212">
        <f t="shared" si="2"/>
        <v>71316.22645318737</v>
      </c>
      <c r="F6" s="212">
        <f t="shared" si="2"/>
        <v>71886.9299977655</v>
      </c>
      <c r="G6" s="212">
        <f t="shared" si="2"/>
        <v>72484.43673413881</v>
      </c>
      <c r="H6" s="212">
        <f t="shared" si="2"/>
        <v>73109.96161653</v>
      </c>
      <c r="I6" s="212">
        <f>SUM(I7:I8)</f>
        <v>73765.0264477994</v>
      </c>
    </row>
    <row r="7" spans="1:9" ht="12.75">
      <c r="A7" s="209" t="s">
        <v>91</v>
      </c>
      <c r="B7" s="210">
        <f>'2-ф2'!P12+'2-ф2'!P11+'2-ф2'!P10</f>
        <v>55.66771525000001</v>
      </c>
      <c r="C7" s="210">
        <f>'2-ф2'!AC12+'2-ф2'!AC11+'2-ф2'!AC10</f>
        <v>14918.550209131157</v>
      </c>
      <c r="D7" s="210">
        <f>'2-ф2'!AP12+'2-ф2'!AP11+'2-ф2'!AP10</f>
        <v>17276.06310503809</v>
      </c>
      <c r="E7" s="210">
        <f>'2-ф2'!AQ12+'2-ф2'!AQ11+'2-ф2'!AQ10</f>
        <v>18498.2178817588</v>
      </c>
      <c r="F7" s="210">
        <f>'2-ф2'!AR12+'2-ф2'!AR11+'2-ф2'!AR10</f>
        <v>19068.921426336936</v>
      </c>
      <c r="G7" s="210">
        <f>'2-ф2'!AS12+'2-ф2'!AS11+'2-ф2'!AS10</f>
        <v>19666.428162710246</v>
      </c>
      <c r="H7" s="210">
        <f>'2-ф2'!AT12+'2-ф2'!AT11+'2-ф2'!AT10</f>
        <v>20291.953045101436</v>
      </c>
      <c r="I7" s="210">
        <f>'2-ф2'!AU12+'2-ф2'!AU11+'2-ф2'!AU10</f>
        <v>20947.017876370843</v>
      </c>
    </row>
    <row r="8" spans="1:9" ht="12.75">
      <c r="A8" s="209" t="s">
        <v>92</v>
      </c>
      <c r="B8" s="210">
        <f>'2-ф2'!P7</f>
        <v>0</v>
      </c>
      <c r="C8" s="210">
        <f>'2-ф2'!AC7</f>
        <v>22199.409002571425</v>
      </c>
      <c r="D8" s="210">
        <f>'2-ф2'!AP7</f>
        <v>44895.30728571427</v>
      </c>
      <c r="E8" s="210">
        <f>'2-ф2'!AQ7</f>
        <v>52818.00857142857</v>
      </c>
      <c r="F8" s="210">
        <f>'2-ф2'!AR7</f>
        <v>52818.00857142857</v>
      </c>
      <c r="G8" s="210">
        <f>'2-ф2'!AS7</f>
        <v>52818.00857142857</v>
      </c>
      <c r="H8" s="210">
        <f>'2-ф2'!AT7</f>
        <v>52818.00857142857</v>
      </c>
      <c r="I8" s="210">
        <f>'2-ф2'!AU7</f>
        <v>52818.00857142857</v>
      </c>
    </row>
    <row r="9" spans="1:9" ht="12.75">
      <c r="A9" s="209" t="s">
        <v>93</v>
      </c>
      <c r="B9" s="212">
        <f aca="true" t="shared" si="3" ref="B9:H9">B4-B8</f>
        <v>0</v>
      </c>
      <c r="C9" s="212">
        <f t="shared" si="3"/>
        <v>14114.510997428566</v>
      </c>
      <c r="D9" s="212">
        <f t="shared" si="3"/>
        <v>28544.69271428573</v>
      </c>
      <c r="E9" s="212">
        <f t="shared" si="3"/>
        <v>33581.99142857143</v>
      </c>
      <c r="F9" s="212">
        <f t="shared" si="3"/>
        <v>33581.99142857143</v>
      </c>
      <c r="G9" s="212">
        <f t="shared" si="3"/>
        <v>33581.99142857143</v>
      </c>
      <c r="H9" s="212">
        <f t="shared" si="3"/>
        <v>33581.99142857143</v>
      </c>
      <c r="I9" s="212">
        <f>I4-I8</f>
        <v>33581.99142857143</v>
      </c>
    </row>
    <row r="10" spans="1:9" ht="12.75">
      <c r="A10" s="209" t="s">
        <v>75</v>
      </c>
      <c r="B10" s="213" t="e">
        <f aca="true" t="shared" si="4" ref="B10:H10">B9/B4</f>
        <v>#DIV/0!</v>
      </c>
      <c r="C10" s="213">
        <f t="shared" si="4"/>
        <v>0.3886804563492063</v>
      </c>
      <c r="D10" s="213">
        <f t="shared" si="4"/>
        <v>0.38868045634920656</v>
      </c>
      <c r="E10" s="213">
        <f t="shared" si="4"/>
        <v>0.3886804563492064</v>
      </c>
      <c r="F10" s="213">
        <f t="shared" si="4"/>
        <v>0.3886804563492064</v>
      </c>
      <c r="G10" s="213">
        <f t="shared" si="4"/>
        <v>0.3886804563492064</v>
      </c>
      <c r="H10" s="213">
        <f t="shared" si="4"/>
        <v>0.3886804563492064</v>
      </c>
      <c r="I10" s="213">
        <f>I9/I4</f>
        <v>0.3886804563492064</v>
      </c>
    </row>
    <row r="11" spans="1:9" ht="12.75">
      <c r="A11" s="209" t="s">
        <v>94</v>
      </c>
      <c r="B11" s="212" t="e">
        <f aca="true" t="shared" si="5" ref="B11:H11">B7/B10</f>
        <v>#DIV/0!</v>
      </c>
      <c r="C11" s="212">
        <f t="shared" si="5"/>
        <v>38382.55812823202</v>
      </c>
      <c r="D11" s="212">
        <f>D7/D10</f>
        <v>44447.98502942109</v>
      </c>
      <c r="E11" s="212">
        <f t="shared" si="5"/>
        <v>47592.35402651489</v>
      </c>
      <c r="F11" s="212">
        <f t="shared" si="5"/>
        <v>49060.664396268585</v>
      </c>
      <c r="G11" s="212">
        <f t="shared" si="5"/>
        <v>50597.93421936585</v>
      </c>
      <c r="H11" s="212">
        <f t="shared" si="5"/>
        <v>52207.289339164294</v>
      </c>
      <c r="I11" s="212">
        <f>I7/I10</f>
        <v>53892.645061503135</v>
      </c>
    </row>
    <row r="12" spans="1:9" ht="25.5">
      <c r="A12" s="214" t="s">
        <v>76</v>
      </c>
      <c r="B12" s="215" t="e">
        <f aca="true" t="shared" si="6" ref="B12:H12">(B4-B11)/B4</f>
        <v>#DIV/0!</v>
      </c>
      <c r="C12" s="215">
        <f t="shared" si="6"/>
        <v>-0.05696543166455259</v>
      </c>
      <c r="D12" s="215">
        <f>(D4-D11)/D4</f>
        <v>0.39477144567781736</v>
      </c>
      <c r="E12" s="215">
        <f t="shared" si="6"/>
        <v>0.44916256913755914</v>
      </c>
      <c r="F12" s="215">
        <f t="shared" si="6"/>
        <v>0.4321682361542988</v>
      </c>
      <c r="G12" s="215">
        <f t="shared" si="6"/>
        <v>0.41437576134993226</v>
      </c>
      <c r="H12" s="215">
        <f t="shared" si="6"/>
        <v>0.39574896598189474</v>
      </c>
      <c r="I12" s="215">
        <f>(I4-I11)/I4</f>
        <v>0.3762425340103804</v>
      </c>
    </row>
    <row r="13" spans="1:9" ht="12.75">
      <c r="A13" s="209" t="s">
        <v>103</v>
      </c>
      <c r="B13" s="216" t="e">
        <f aca="true" t="shared" si="7" ref="B13:H13">100%-B12</f>
        <v>#DIV/0!</v>
      </c>
      <c r="C13" s="216">
        <f t="shared" si="7"/>
        <v>1.0569654316645525</v>
      </c>
      <c r="D13" s="216">
        <f t="shared" si="7"/>
        <v>0.6052285543221827</v>
      </c>
      <c r="E13" s="216">
        <f t="shared" si="7"/>
        <v>0.5508374308624409</v>
      </c>
      <c r="F13" s="216">
        <f t="shared" si="7"/>
        <v>0.5678317638457012</v>
      </c>
      <c r="G13" s="216">
        <f t="shared" si="7"/>
        <v>0.5856242386500677</v>
      </c>
      <c r="H13" s="216">
        <f t="shared" si="7"/>
        <v>0.6042510340181053</v>
      </c>
      <c r="I13" s="216">
        <f>100%-I12</f>
        <v>0.6237574659896197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66"/>
  <sheetViews>
    <sheetView showGridLines="0" zoomScalePageLayoutView="0" workbookViewId="0" topLeftCell="A1">
      <pane ySplit="4" topLeftCell="A5" activePane="bottomLeft" state="frozen"/>
      <selection pane="topLeft" activeCell="A34" sqref="A34"/>
      <selection pane="bottomLeft" activeCell="A23" sqref="A23"/>
    </sheetView>
  </sheetViews>
  <sheetFormatPr defaultColWidth="9.00390625" defaultRowHeight="12.75"/>
  <cols>
    <col min="1" max="1" width="49.75390625" style="72" customWidth="1"/>
    <col min="2" max="2" width="16.875" style="73" customWidth="1"/>
    <col min="3" max="3" width="12.75390625" style="71" customWidth="1"/>
    <col min="4" max="4" width="8.625" style="71" customWidth="1"/>
    <col min="5" max="8" width="9.125" style="71" customWidth="1"/>
    <col min="9" max="9" width="7.625" style="71" bestFit="1" customWidth="1"/>
    <col min="10" max="10" width="7.125" style="71" customWidth="1"/>
    <col min="11" max="11" width="6.625" style="71" customWidth="1"/>
    <col min="12" max="16384" width="9.125" style="71" customWidth="1"/>
  </cols>
  <sheetData>
    <row r="1" ht="13.5" customHeight="1">
      <c r="A1" s="229" t="s">
        <v>272</v>
      </c>
    </row>
    <row r="2" ht="13.5" customHeight="1">
      <c r="A2" s="229" t="s">
        <v>363</v>
      </c>
    </row>
    <row r="3" ht="13.5" customHeight="1"/>
    <row r="4" spans="1:5" ht="13.5" customHeight="1">
      <c r="A4" s="224" t="s">
        <v>204</v>
      </c>
      <c r="B4" s="253" t="s">
        <v>89</v>
      </c>
      <c r="C4" s="253">
        <v>2013</v>
      </c>
      <c r="D4" s="253">
        <v>2014</v>
      </c>
      <c r="E4" s="253" t="s">
        <v>168</v>
      </c>
    </row>
    <row r="5" spans="1:5" ht="13.5" customHeight="1">
      <c r="A5" s="220" t="s">
        <v>312</v>
      </c>
      <c r="B5" s="221">
        <f>'1-Ф3'!B20</f>
        <v>7024.374600000001</v>
      </c>
      <c r="C5" s="221">
        <f>'1-Ф3'!P20</f>
        <v>7024.374600000001</v>
      </c>
      <c r="D5" s="221">
        <f>'1-Ф3'!AC20</f>
        <v>0</v>
      </c>
      <c r="E5" s="226">
        <f>B5/$B$7</f>
        <v>0.3951678940022165</v>
      </c>
    </row>
    <row r="6" spans="1:5" ht="13.5" customHeight="1">
      <c r="A6" s="220" t="s">
        <v>167</v>
      </c>
      <c r="B6" s="221">
        <f>'1-Ф3'!B26-'1-Ф3'!B20</f>
        <v>10751.29672</v>
      </c>
      <c r="C6" s="221">
        <f>'1-Ф3'!P26-'1-Ф3'!P20</f>
        <v>2218.3563599999998</v>
      </c>
      <c r="D6" s="221">
        <f>'1-Ф3'!AC26-'1-Ф3'!AC20</f>
        <v>8532.94036</v>
      </c>
      <c r="E6" s="226">
        <f>B6/$B$7</f>
        <v>0.6048321059977835</v>
      </c>
    </row>
    <row r="7" spans="1:5" ht="13.5" customHeight="1">
      <c r="A7" s="222" t="s">
        <v>89</v>
      </c>
      <c r="B7" s="223">
        <f>SUM(B5:B6)</f>
        <v>17775.67132</v>
      </c>
      <c r="C7" s="223">
        <f>SUM(C5:C6)</f>
        <v>9242.73096</v>
      </c>
      <c r="D7" s="223">
        <f>SUM(D5:D6)</f>
        <v>8532.94036</v>
      </c>
      <c r="E7" s="227">
        <f>SUM(E5:E6)</f>
        <v>1</v>
      </c>
    </row>
    <row r="8" spans="1:2" ht="13.5" customHeight="1">
      <c r="A8" s="74"/>
      <c r="B8" s="75"/>
    </row>
    <row r="9" spans="1:5" ht="13.5" customHeight="1">
      <c r="A9" s="224" t="s">
        <v>205</v>
      </c>
      <c r="B9" s="253" t="s">
        <v>89</v>
      </c>
      <c r="C9" s="253">
        <f>C4</f>
        <v>2013</v>
      </c>
      <c r="D9" s="253">
        <f>D4</f>
        <v>2014</v>
      </c>
      <c r="E9" s="225" t="s">
        <v>168</v>
      </c>
    </row>
    <row r="10" spans="1:9" ht="12.75">
      <c r="A10" s="220" t="s">
        <v>311</v>
      </c>
      <c r="B10" s="221">
        <f>'1-Ф3'!B27</f>
        <v>10751.29672</v>
      </c>
      <c r="C10" s="221">
        <f>'1-Ф3'!P27</f>
        <v>2218.3563599999998</v>
      </c>
      <c r="D10" s="221">
        <f>'1-Ф3'!AC27</f>
        <v>8532.94036</v>
      </c>
      <c r="E10" s="226">
        <f>B10/$B$12</f>
        <v>0.6048321059977835</v>
      </c>
      <c r="H10" s="299">
        <f>B10/Исх!$C$5</f>
        <v>70.33887288191038</v>
      </c>
      <c r="I10" s="300" t="s">
        <v>98</v>
      </c>
    </row>
    <row r="11" spans="1:9" ht="13.5" customHeight="1">
      <c r="A11" s="220" t="s">
        <v>104</v>
      </c>
      <c r="B11" s="221">
        <f>'1-Ф3'!B28</f>
        <v>7024.374600000001</v>
      </c>
      <c r="C11" s="221">
        <f>'1-Ф3'!P28</f>
        <v>7024.374600000001</v>
      </c>
      <c r="D11" s="221">
        <f>'1-Ф3'!AC28</f>
        <v>0</v>
      </c>
      <c r="E11" s="226">
        <f>B11/$B$12</f>
        <v>0.3951678940022165</v>
      </c>
      <c r="H11" s="299">
        <f>B11/Исх!$C$5</f>
        <v>45.95600000000001</v>
      </c>
      <c r="I11" s="300" t="s">
        <v>98</v>
      </c>
    </row>
    <row r="12" spans="1:5" ht="12.75">
      <c r="A12" s="222" t="s">
        <v>89</v>
      </c>
      <c r="B12" s="223">
        <f>SUM(B10:B11)</f>
        <v>17775.67132</v>
      </c>
      <c r="C12" s="223">
        <f>SUM(C10:C11)</f>
        <v>9242.73096</v>
      </c>
      <c r="D12" s="223">
        <f>SUM(D10:D11)</f>
        <v>8532.94036</v>
      </c>
      <c r="E12" s="227">
        <f>SUM(E10:E11)</f>
        <v>1</v>
      </c>
    </row>
    <row r="13" spans="1:2" ht="12.75">
      <c r="A13" s="77"/>
      <c r="B13" s="76"/>
    </row>
    <row r="14" spans="1:2" ht="12.75">
      <c r="A14" s="298" t="s">
        <v>274</v>
      </c>
      <c r="B14" s="76"/>
    </row>
    <row r="15" spans="1:2" ht="12.75">
      <c r="A15" s="272" t="s">
        <v>273</v>
      </c>
      <c r="B15" s="273" t="s">
        <v>8</v>
      </c>
    </row>
    <row r="16" spans="1:2" ht="12.75">
      <c r="A16" s="220" t="s">
        <v>169</v>
      </c>
      <c r="B16" s="221" t="s">
        <v>170</v>
      </c>
    </row>
    <row r="17" spans="1:2" ht="12.75">
      <c r="A17" s="220" t="s">
        <v>171</v>
      </c>
      <c r="B17" s="277">
        <f>Исх!C45</f>
        <v>0.07</v>
      </c>
    </row>
    <row r="18" spans="1:2" ht="12.75">
      <c r="A18" s="220" t="s">
        <v>194</v>
      </c>
      <c r="B18" s="228">
        <f>Исх!C46</f>
        <v>7</v>
      </c>
    </row>
    <row r="19" spans="1:2" ht="12.75">
      <c r="A19" s="220" t="s">
        <v>172</v>
      </c>
      <c r="B19" s="221" t="s">
        <v>173</v>
      </c>
    </row>
    <row r="20" spans="1:2" ht="12.75">
      <c r="A20" s="220" t="s">
        <v>174</v>
      </c>
      <c r="B20" s="221">
        <f>Исх!C47</f>
        <v>9</v>
      </c>
    </row>
    <row r="21" spans="1:2" ht="12.75">
      <c r="A21" s="220" t="s">
        <v>175</v>
      </c>
      <c r="B21" s="221">
        <f>Исх!C48</f>
        <v>9</v>
      </c>
    </row>
    <row r="22" spans="1:2" ht="12.75">
      <c r="A22" s="220" t="s">
        <v>372</v>
      </c>
      <c r="B22" s="221" t="s">
        <v>255</v>
      </c>
    </row>
    <row r="24" spans="1:2" ht="12.75">
      <c r="A24" s="298" t="s">
        <v>256</v>
      </c>
      <c r="B24" s="71"/>
    </row>
    <row r="25" spans="1:8" ht="12.75">
      <c r="A25" s="224" t="s">
        <v>28</v>
      </c>
      <c r="B25" s="289">
        <v>2014</v>
      </c>
      <c r="C25" s="253">
        <f aca="true" t="shared" si="0" ref="C25:H25">B25+1</f>
        <v>2015</v>
      </c>
      <c r="D25" s="289">
        <f t="shared" si="0"/>
        <v>2016</v>
      </c>
      <c r="E25" s="289">
        <f t="shared" si="0"/>
        <v>2017</v>
      </c>
      <c r="F25" s="289">
        <f t="shared" si="0"/>
        <v>2018</v>
      </c>
      <c r="G25" s="289">
        <f t="shared" si="0"/>
        <v>2019</v>
      </c>
      <c r="H25" s="289">
        <f t="shared" si="0"/>
        <v>2020</v>
      </c>
    </row>
    <row r="26" spans="1:8" ht="12.75">
      <c r="A26" s="220" t="s">
        <v>275</v>
      </c>
      <c r="B26" s="221">
        <f>'2-ф2'!AC5</f>
        <v>36313.91999999999</v>
      </c>
      <c r="C26" s="221">
        <f>'2-ф2'!AP5</f>
        <v>73440</v>
      </c>
      <c r="D26" s="221">
        <f>'2-ф2'!AQ5</f>
        <v>86400</v>
      </c>
      <c r="E26" s="221">
        <f>'2-ф2'!AR5</f>
        <v>86400</v>
      </c>
      <c r="F26" s="221">
        <f>'2-ф2'!AS5</f>
        <v>86400</v>
      </c>
      <c r="G26" s="221">
        <f>'2-ф2'!AT5</f>
        <v>86400</v>
      </c>
      <c r="H26" s="221">
        <f>'2-ф2'!AU5</f>
        <v>86400</v>
      </c>
    </row>
    <row r="27" spans="1:8" ht="12.75">
      <c r="A27" s="220" t="s">
        <v>276</v>
      </c>
      <c r="B27" s="221">
        <f>'2-ф2'!AC9</f>
        <v>14114.510997428566</v>
      </c>
      <c r="C27" s="221">
        <f>'2-ф2'!AP9</f>
        <v>28544.69271428573</v>
      </c>
      <c r="D27" s="221">
        <f>'2-ф2'!AQ9</f>
        <v>33581.99142857143</v>
      </c>
      <c r="E27" s="221">
        <f>'2-ф2'!AR9</f>
        <v>33581.99142857143</v>
      </c>
      <c r="F27" s="221">
        <f>'2-ф2'!AS9</f>
        <v>33581.99142857143</v>
      </c>
      <c r="G27" s="221">
        <f>'2-ф2'!AT9</f>
        <v>33581.99142857143</v>
      </c>
      <c r="H27" s="221">
        <f>'2-ф2'!AU9</f>
        <v>33581.99142857143</v>
      </c>
    </row>
    <row r="28" spans="1:8" ht="12.75">
      <c r="A28" s="220" t="s">
        <v>277</v>
      </c>
      <c r="B28" s="221">
        <f>'2-ф2'!AC15</f>
        <v>-804.0392117025887</v>
      </c>
      <c r="C28" s="221">
        <f>'2-ф2'!AP15</f>
        <v>9107.348115160545</v>
      </c>
      <c r="D28" s="221">
        <f>'2-ф2'!AQ15</f>
        <v>12067.018837450107</v>
      </c>
      <c r="E28" s="221">
        <f>'2-ф2'!AR15</f>
        <v>11610.456001787597</v>
      </c>
      <c r="F28" s="221">
        <f>'2-ф2'!AS15</f>
        <v>11132.45061268895</v>
      </c>
      <c r="G28" s="221">
        <f>'2-ф2'!AT15</f>
        <v>10632.030706775999</v>
      </c>
      <c r="H28" s="221">
        <f>'2-ф2'!AU15</f>
        <v>10107.978841760472</v>
      </c>
    </row>
    <row r="29" spans="1:8" ht="12.75">
      <c r="A29" s="220" t="s">
        <v>278</v>
      </c>
      <c r="B29" s="226">
        <f>B28/B26</f>
        <v>-0.022141349975507707</v>
      </c>
      <c r="C29" s="226">
        <f aca="true" t="shared" si="1" ref="C29:H29">C28/C26</f>
        <v>0.12401073141558476</v>
      </c>
      <c r="D29" s="226">
        <f t="shared" si="1"/>
        <v>0.13966456987789475</v>
      </c>
      <c r="E29" s="226">
        <f t="shared" si="1"/>
        <v>0.13438027779846756</v>
      </c>
      <c r="F29" s="226">
        <f t="shared" si="1"/>
        <v>0.12884780801723322</v>
      </c>
      <c r="G29" s="226">
        <f t="shared" si="1"/>
        <v>0.12305591095805554</v>
      </c>
      <c r="H29" s="226">
        <f t="shared" si="1"/>
        <v>0.11699049585370917</v>
      </c>
    </row>
    <row r="30" spans="1:8" ht="12.75">
      <c r="A30" s="222" t="s">
        <v>313</v>
      </c>
      <c r="B30" s="223">
        <f>'1-Ф3'!AC33</f>
        <v>7743.625561355704</v>
      </c>
      <c r="C30" s="223">
        <f>'1-Ф3'!AP33</f>
        <v>8732.123185598823</v>
      </c>
      <c r="D30" s="223">
        <f>'1-Ф3'!AQ33</f>
        <v>11619.330241694815</v>
      </c>
      <c r="E30" s="223">
        <f>'1-Ф3'!AR33</f>
        <v>11085.065335550447</v>
      </c>
      <c r="F30" s="223">
        <f>'1-Ф3'!AS33</f>
        <v>10523.740787012113</v>
      </c>
      <c r="G30" s="223">
        <f>'1-Ф3'!AT33</f>
        <v>9933.978572886695</v>
      </c>
      <c r="H30" s="223">
        <f>'1-Ф3'!AU33</f>
        <v>9480.110137858233</v>
      </c>
    </row>
    <row r="32" spans="1:2" ht="12.75">
      <c r="A32" s="298" t="s">
        <v>279</v>
      </c>
      <c r="B32" s="71"/>
    </row>
    <row r="33" spans="1:2" ht="12.75">
      <c r="A33" s="224" t="s">
        <v>364</v>
      </c>
      <c r="B33" s="289">
        <f>'1-Ф3'!AY34</f>
        <v>2016</v>
      </c>
    </row>
    <row r="34" spans="1:2" ht="12.75">
      <c r="A34" s="220" t="s">
        <v>176</v>
      </c>
      <c r="B34" s="226">
        <f>'1-Ф3'!AY47</f>
        <v>0.4323026860692565</v>
      </c>
    </row>
    <row r="35" spans="1:2" ht="12.75">
      <c r="A35" s="220" t="s">
        <v>177</v>
      </c>
      <c r="B35" s="221">
        <f>'1-Ф3'!AY45</f>
        <v>6206.105745128707</v>
      </c>
    </row>
    <row r="36" spans="1:2" ht="12.75">
      <c r="A36" s="220" t="s">
        <v>314</v>
      </c>
      <c r="B36" s="228">
        <f>'1-Ф3'!AY46</f>
        <v>1.424610250882536</v>
      </c>
    </row>
    <row r="37" spans="1:2" ht="12.75">
      <c r="A37" s="220" t="s">
        <v>178</v>
      </c>
      <c r="B37" s="228">
        <f>'1-Ф3'!B48</f>
        <v>1.931773308483614</v>
      </c>
    </row>
    <row r="38" spans="1:2" ht="12.75">
      <c r="A38" s="220" t="s">
        <v>179</v>
      </c>
      <c r="B38" s="228">
        <f>'1-Ф3'!B49</f>
        <v>2.1900916429863213</v>
      </c>
    </row>
    <row r="40" ht="12.75">
      <c r="A40" s="229" t="s">
        <v>280</v>
      </c>
    </row>
    <row r="41" spans="1:8" ht="12.75">
      <c r="A41" s="224" t="s">
        <v>28</v>
      </c>
      <c r="B41" s="289">
        <v>2014</v>
      </c>
      <c r="C41" s="225">
        <f aca="true" t="shared" si="2" ref="C41:H41">B41+1</f>
        <v>2015</v>
      </c>
      <c r="D41" s="289">
        <f t="shared" si="2"/>
        <v>2016</v>
      </c>
      <c r="E41" s="289">
        <f t="shared" si="2"/>
        <v>2017</v>
      </c>
      <c r="F41" s="289">
        <f t="shared" si="2"/>
        <v>2018</v>
      </c>
      <c r="G41" s="289">
        <f t="shared" si="2"/>
        <v>2019</v>
      </c>
      <c r="H41" s="289">
        <f t="shared" si="2"/>
        <v>2020</v>
      </c>
    </row>
    <row r="42" spans="1:8" ht="12.75">
      <c r="A42" s="220" t="s">
        <v>200</v>
      </c>
      <c r="B42" s="226">
        <f>Производство!AC6</f>
        <v>0.4499999999999999</v>
      </c>
      <c r="C42" s="226">
        <f>Производство!AP6</f>
        <v>0.85</v>
      </c>
      <c r="D42" s="226">
        <f>Производство!AQ6</f>
        <v>1</v>
      </c>
      <c r="E42" s="226">
        <f>Производство!AR6</f>
        <v>1</v>
      </c>
      <c r="F42" s="226">
        <f>Производство!AS6</f>
        <v>1</v>
      </c>
      <c r="G42" s="226">
        <f>Производство!AT6</f>
        <v>1</v>
      </c>
      <c r="H42" s="226">
        <f>Производство!AU6</f>
        <v>1</v>
      </c>
    </row>
    <row r="43" spans="1:8" ht="12.75">
      <c r="A43" s="220" t="s">
        <v>366</v>
      </c>
      <c r="B43" s="221">
        <f>Производство!AC7</f>
        <v>1814.3999999999996</v>
      </c>
      <c r="C43" s="221">
        <f>Производство!AP7</f>
        <v>3427.2</v>
      </c>
      <c r="D43" s="221">
        <f>Производство!AQ7</f>
        <v>4032</v>
      </c>
      <c r="E43" s="221">
        <f>Производство!AR7</f>
        <v>4032</v>
      </c>
      <c r="F43" s="221">
        <f>Производство!AS7</f>
        <v>4032</v>
      </c>
      <c r="G43" s="221">
        <f>Производство!AT7</f>
        <v>4032</v>
      </c>
      <c r="H43" s="221">
        <f>Производство!AU7</f>
        <v>4032</v>
      </c>
    </row>
    <row r="45" ht="12.75">
      <c r="A45" s="229" t="s">
        <v>180</v>
      </c>
    </row>
    <row r="46" spans="1:8" ht="12.75">
      <c r="A46" s="371" t="s">
        <v>181</v>
      </c>
      <c r="B46" s="373" t="s">
        <v>288</v>
      </c>
      <c r="C46" s="373"/>
      <c r="D46" s="373"/>
      <c r="E46" s="373"/>
      <c r="F46" s="373"/>
      <c r="G46" s="373"/>
      <c r="H46" s="311" t="s">
        <v>315</v>
      </c>
    </row>
    <row r="47" spans="1:8" ht="12.75">
      <c r="A47" s="372"/>
      <c r="B47" s="289" t="s">
        <v>281</v>
      </c>
      <c r="C47" s="289" t="s">
        <v>282</v>
      </c>
      <c r="D47" s="289" t="s">
        <v>283</v>
      </c>
      <c r="E47" s="289" t="s">
        <v>284</v>
      </c>
      <c r="F47" s="289" t="s">
        <v>285</v>
      </c>
      <c r="G47" s="289" t="s">
        <v>286</v>
      </c>
      <c r="H47" s="289" t="s">
        <v>287</v>
      </c>
    </row>
    <row r="48" spans="1:8" ht="25.5">
      <c r="A48" s="230" t="s">
        <v>257</v>
      </c>
      <c r="B48" s="231"/>
      <c r="C48" s="231"/>
      <c r="D48" s="226"/>
      <c r="E48" s="226"/>
      <c r="F48" s="226"/>
      <c r="G48" s="226"/>
      <c r="H48" s="226"/>
    </row>
    <row r="49" spans="1:8" ht="12.75">
      <c r="A49" s="220" t="s">
        <v>369</v>
      </c>
      <c r="B49" s="226"/>
      <c r="C49" s="231"/>
      <c r="D49" s="231"/>
      <c r="E49" s="226"/>
      <c r="F49" s="226"/>
      <c r="G49" s="226"/>
      <c r="H49" s="226"/>
    </row>
    <row r="50" spans="1:8" ht="12.75">
      <c r="A50" s="220" t="s">
        <v>182</v>
      </c>
      <c r="B50" s="226"/>
      <c r="C50" s="226"/>
      <c r="D50" s="231"/>
      <c r="E50" s="226"/>
      <c r="F50" s="226"/>
      <c r="G50" s="226"/>
      <c r="H50" s="226"/>
    </row>
    <row r="51" spans="1:8" ht="12.75">
      <c r="A51" s="220" t="s">
        <v>183</v>
      </c>
      <c r="B51" s="226"/>
      <c r="C51" s="226"/>
      <c r="D51" s="231"/>
      <c r="E51" s="231"/>
      <c r="F51" s="226"/>
      <c r="G51" s="226"/>
      <c r="H51" s="226"/>
    </row>
    <row r="52" spans="1:8" ht="12.75">
      <c r="A52" s="220" t="s">
        <v>316</v>
      </c>
      <c r="B52" s="226"/>
      <c r="C52" s="226"/>
      <c r="D52" s="226"/>
      <c r="E52" s="231"/>
      <c r="F52" s="226"/>
      <c r="G52" s="226"/>
      <c r="H52" s="226"/>
    </row>
    <row r="53" spans="1:8" ht="12.75">
      <c r="A53" s="220" t="s">
        <v>319</v>
      </c>
      <c r="B53" s="226"/>
      <c r="C53" s="226"/>
      <c r="D53" s="226"/>
      <c r="E53" s="226"/>
      <c r="F53" s="231"/>
      <c r="G53" s="226"/>
      <c r="H53" s="226"/>
    </row>
    <row r="54" spans="1:8" ht="12.75">
      <c r="A54" s="220" t="s">
        <v>367</v>
      </c>
      <c r="B54" s="226"/>
      <c r="C54" s="226"/>
      <c r="D54" s="226"/>
      <c r="E54" s="226"/>
      <c r="F54" s="226"/>
      <c r="G54" s="231"/>
      <c r="H54" s="226"/>
    </row>
    <row r="55" spans="1:8" ht="12.75">
      <c r="A55" s="220" t="s">
        <v>368</v>
      </c>
      <c r="B55" s="221"/>
      <c r="C55" s="226"/>
      <c r="D55" s="226"/>
      <c r="E55" s="226"/>
      <c r="F55" s="226"/>
      <c r="G55" s="231"/>
      <c r="H55" s="226"/>
    </row>
    <row r="56" spans="1:8" ht="12.75">
      <c r="A56" s="220" t="s">
        <v>317</v>
      </c>
      <c r="B56" s="221"/>
      <c r="C56" s="226"/>
      <c r="D56" s="226"/>
      <c r="E56" s="226"/>
      <c r="F56" s="226"/>
      <c r="G56" s="226"/>
      <c r="H56" s="231"/>
    </row>
    <row r="57" spans="1:8" ht="12.75">
      <c r="A57" s="220" t="s">
        <v>318</v>
      </c>
      <c r="B57" s="221"/>
      <c r="C57" s="221"/>
      <c r="D57" s="226"/>
      <c r="E57" s="226"/>
      <c r="F57" s="226"/>
      <c r="G57" s="226"/>
      <c r="H57" s="231"/>
    </row>
    <row r="59" ht="12.75">
      <c r="A59" s="229" t="s">
        <v>186</v>
      </c>
    </row>
    <row r="61" spans="1:2" ht="12.75">
      <c r="A61" s="272" t="s">
        <v>188</v>
      </c>
      <c r="B61" s="273" t="s">
        <v>189</v>
      </c>
    </row>
    <row r="62" spans="1:2" ht="12.75">
      <c r="A62" s="220" t="s">
        <v>41</v>
      </c>
      <c r="B62" s="221">
        <f>'1-Ф3'!B16</f>
        <v>19052.763053456656</v>
      </c>
    </row>
    <row r="63" spans="1:2" ht="12.75">
      <c r="A63" s="220" t="s">
        <v>213</v>
      </c>
      <c r="B63" s="221">
        <f>'1-Ф3'!B15</f>
        <v>16048.765244202863</v>
      </c>
    </row>
    <row r="64" spans="1:2" ht="12.75">
      <c r="A64" s="220" t="s">
        <v>187</v>
      </c>
      <c r="B64" s="221">
        <f>(ФОТ!K22-ФОТ!J22)*12*7</f>
        <v>17195.807999999997</v>
      </c>
    </row>
    <row r="65" spans="1:2" ht="12.75">
      <c r="A65" s="220" t="s">
        <v>365</v>
      </c>
      <c r="B65" s="221">
        <f>SUM(Пост!C21:I21)*12</f>
        <v>130.27213525</v>
      </c>
    </row>
    <row r="66" spans="1:2" ht="12.75">
      <c r="A66" s="222" t="s">
        <v>0</v>
      </c>
      <c r="B66" s="223">
        <f>SUM(B62:B65)</f>
        <v>52427.60843290952</v>
      </c>
    </row>
  </sheetData>
  <sheetProtection/>
  <mergeCells count="2">
    <mergeCell ref="A46:A47"/>
    <mergeCell ref="B46:G46"/>
  </mergeCells>
  <printOptions/>
  <pageMargins left="0.3" right="0.25" top="0.51" bottom="0.86" header="0.3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H30"/>
  <sheetViews>
    <sheetView showGridLines="0" showZeros="0" tabSelected="1" zoomScalePageLayoutView="0" workbookViewId="0" topLeftCell="A1">
      <pane xSplit="3" ySplit="4" topLeftCell="J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8" sqref="A8"/>
    </sheetView>
  </sheetViews>
  <sheetFormatPr defaultColWidth="10.125" defaultRowHeight="12.75" outlineLevelCol="1"/>
  <cols>
    <col min="1" max="1" width="38.125" style="88" customWidth="1"/>
    <col min="2" max="2" width="11.375" style="88" customWidth="1"/>
    <col min="3" max="3" width="3.875" style="88" customWidth="1"/>
    <col min="4" max="4" width="7.125" style="88" hidden="1" customWidth="1" outlineLevel="1"/>
    <col min="5" max="5" width="8.25390625" style="88" hidden="1" customWidth="1" outlineLevel="1"/>
    <col min="6" max="11" width="7.00390625" style="88" hidden="1" customWidth="1" outlineLevel="1"/>
    <col min="12" max="12" width="8.75390625" style="88" hidden="1" customWidth="1" outlineLevel="1"/>
    <col min="13" max="13" width="7.875" style="88" hidden="1" customWidth="1" outlineLevel="1"/>
    <col min="14" max="15" width="8.625" style="88" hidden="1" customWidth="1" outlineLevel="1"/>
    <col min="16" max="16" width="9.125" style="88" customWidth="1" collapsed="1"/>
    <col min="17" max="28" width="8.375" style="88" hidden="1" customWidth="1" outlineLevel="1"/>
    <col min="29" max="29" width="9.125" style="88" customWidth="1" collapsed="1"/>
    <col min="30" max="41" width="8.375" style="88" hidden="1" customWidth="1" outlineLevel="1"/>
    <col min="42" max="42" width="9.125" style="88" customWidth="1" collapsed="1"/>
    <col min="43" max="47" width="9.75390625" style="88" bestFit="1" customWidth="1"/>
    <col min="48" max="16384" width="10.125" style="88" customWidth="1"/>
  </cols>
  <sheetData>
    <row r="1" spans="1:3" ht="21" customHeight="1">
      <c r="A1" s="62" t="s">
        <v>110</v>
      </c>
      <c r="B1" s="87"/>
      <c r="C1" s="87"/>
    </row>
    <row r="2" spans="1:3" ht="17.25" customHeight="1">
      <c r="A2" s="62"/>
      <c r="B2" s="12" t="str">
        <f>Исх!$C$10</f>
        <v>тыс.тг.</v>
      </c>
      <c r="C2" s="89"/>
    </row>
    <row r="3" spans="1:47" ht="12.75" customHeight="1">
      <c r="A3" s="329" t="s">
        <v>3</v>
      </c>
      <c r="B3" s="333" t="s">
        <v>89</v>
      </c>
      <c r="C3" s="91"/>
      <c r="D3" s="328">
        <v>2013</v>
      </c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>
        <v>2014</v>
      </c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0">
        <v>2015</v>
      </c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2"/>
      <c r="AQ3" s="92">
        <f>AD3+1</f>
        <v>2016</v>
      </c>
      <c r="AR3" s="92">
        <f>AQ3+1</f>
        <v>2017</v>
      </c>
      <c r="AS3" s="92">
        <f>AR3+1</f>
        <v>2018</v>
      </c>
      <c r="AT3" s="92">
        <f>AS3+1</f>
        <v>2019</v>
      </c>
      <c r="AU3" s="92">
        <f>AT3+1</f>
        <v>2020</v>
      </c>
    </row>
    <row r="4" spans="1:47" ht="12.75">
      <c r="A4" s="330"/>
      <c r="B4" s="333"/>
      <c r="C4" s="93"/>
      <c r="D4" s="94">
        <v>1</v>
      </c>
      <c r="E4" s="94">
        <f aca="true" t="shared" si="0" ref="E4:O4">D4+1</f>
        <v>2</v>
      </c>
      <c r="F4" s="94">
        <f t="shared" si="0"/>
        <v>3</v>
      </c>
      <c r="G4" s="94">
        <f t="shared" si="0"/>
        <v>4</v>
      </c>
      <c r="H4" s="94">
        <f t="shared" si="0"/>
        <v>5</v>
      </c>
      <c r="I4" s="94">
        <f t="shared" si="0"/>
        <v>6</v>
      </c>
      <c r="J4" s="94">
        <f t="shared" si="0"/>
        <v>7</v>
      </c>
      <c r="K4" s="94">
        <f t="shared" si="0"/>
        <v>8</v>
      </c>
      <c r="L4" s="94">
        <f t="shared" si="0"/>
        <v>9</v>
      </c>
      <c r="M4" s="94">
        <f t="shared" si="0"/>
        <v>10</v>
      </c>
      <c r="N4" s="94">
        <f t="shared" si="0"/>
        <v>11</v>
      </c>
      <c r="O4" s="94">
        <f t="shared" si="0"/>
        <v>12</v>
      </c>
      <c r="P4" s="90" t="s">
        <v>0</v>
      </c>
      <c r="Q4" s="94">
        <v>1</v>
      </c>
      <c r="R4" s="94">
        <f aca="true" t="shared" si="1" ref="R4:AB4">Q4+1</f>
        <v>2</v>
      </c>
      <c r="S4" s="94">
        <f t="shared" si="1"/>
        <v>3</v>
      </c>
      <c r="T4" s="94">
        <f t="shared" si="1"/>
        <v>4</v>
      </c>
      <c r="U4" s="94">
        <f t="shared" si="1"/>
        <v>5</v>
      </c>
      <c r="V4" s="94">
        <f t="shared" si="1"/>
        <v>6</v>
      </c>
      <c r="W4" s="94">
        <f t="shared" si="1"/>
        <v>7</v>
      </c>
      <c r="X4" s="94">
        <f t="shared" si="1"/>
        <v>8</v>
      </c>
      <c r="Y4" s="94">
        <f t="shared" si="1"/>
        <v>9</v>
      </c>
      <c r="Z4" s="94">
        <f t="shared" si="1"/>
        <v>10</v>
      </c>
      <c r="AA4" s="94">
        <f t="shared" si="1"/>
        <v>11</v>
      </c>
      <c r="AB4" s="94">
        <f t="shared" si="1"/>
        <v>12</v>
      </c>
      <c r="AC4" s="90" t="s">
        <v>0</v>
      </c>
      <c r="AD4" s="94">
        <v>1</v>
      </c>
      <c r="AE4" s="94">
        <f aca="true" t="shared" si="2" ref="AE4:AO4">AD4+1</f>
        <v>2</v>
      </c>
      <c r="AF4" s="94">
        <f t="shared" si="2"/>
        <v>3</v>
      </c>
      <c r="AG4" s="94">
        <f t="shared" si="2"/>
        <v>4</v>
      </c>
      <c r="AH4" s="94">
        <f t="shared" si="2"/>
        <v>5</v>
      </c>
      <c r="AI4" s="94">
        <f t="shared" si="2"/>
        <v>6</v>
      </c>
      <c r="AJ4" s="94">
        <f t="shared" si="2"/>
        <v>7</v>
      </c>
      <c r="AK4" s="94">
        <f t="shared" si="2"/>
        <v>8</v>
      </c>
      <c r="AL4" s="94">
        <f t="shared" si="2"/>
        <v>9</v>
      </c>
      <c r="AM4" s="94">
        <f t="shared" si="2"/>
        <v>10</v>
      </c>
      <c r="AN4" s="94">
        <f t="shared" si="2"/>
        <v>11</v>
      </c>
      <c r="AO4" s="94">
        <f t="shared" si="2"/>
        <v>12</v>
      </c>
      <c r="AP4" s="90" t="s">
        <v>0</v>
      </c>
      <c r="AQ4" s="90" t="s">
        <v>111</v>
      </c>
      <c r="AR4" s="90" t="s">
        <v>111</v>
      </c>
      <c r="AS4" s="90" t="s">
        <v>111</v>
      </c>
      <c r="AT4" s="90" t="s">
        <v>111</v>
      </c>
      <c r="AU4" s="90" t="s">
        <v>111</v>
      </c>
    </row>
    <row r="5" spans="1:48" s="89" customFormat="1" ht="15" customHeight="1">
      <c r="A5" s="95" t="s">
        <v>373</v>
      </c>
      <c r="B5" s="96">
        <f>SUM(B6:B6)</f>
        <v>541753.9199999999</v>
      </c>
      <c r="C5" s="97"/>
      <c r="D5" s="97">
        <f aca="true" t="shared" si="3" ref="D5:AU5">SUM(D6:D6)</f>
        <v>0</v>
      </c>
      <c r="E5" s="97">
        <f t="shared" si="3"/>
        <v>0</v>
      </c>
      <c r="F5" s="97">
        <f t="shared" si="3"/>
        <v>0</v>
      </c>
      <c r="G5" s="97">
        <f t="shared" si="3"/>
        <v>0</v>
      </c>
      <c r="H5" s="97">
        <f t="shared" si="3"/>
        <v>0</v>
      </c>
      <c r="I5" s="97">
        <f t="shared" si="3"/>
        <v>0</v>
      </c>
      <c r="J5" s="97">
        <f t="shared" si="3"/>
        <v>0</v>
      </c>
      <c r="K5" s="97">
        <f t="shared" si="3"/>
        <v>0</v>
      </c>
      <c r="L5" s="97">
        <f t="shared" si="3"/>
        <v>0</v>
      </c>
      <c r="M5" s="97">
        <f t="shared" si="3"/>
        <v>0</v>
      </c>
      <c r="N5" s="97">
        <f t="shared" si="3"/>
        <v>0</v>
      </c>
      <c r="O5" s="97">
        <f t="shared" si="3"/>
        <v>0</v>
      </c>
      <c r="P5" s="97">
        <f t="shared" si="3"/>
        <v>0</v>
      </c>
      <c r="Q5" s="97">
        <f t="shared" si="3"/>
        <v>1866.2399999999996</v>
      </c>
      <c r="R5" s="97">
        <f t="shared" si="3"/>
        <v>1866.2399999999996</v>
      </c>
      <c r="S5" s="97">
        <f t="shared" si="3"/>
        <v>1866.2399999999996</v>
      </c>
      <c r="T5" s="97">
        <f t="shared" si="3"/>
        <v>1866.2399999999996</v>
      </c>
      <c r="U5" s="97">
        <f t="shared" si="3"/>
        <v>1866.2399999999996</v>
      </c>
      <c r="V5" s="97">
        <f t="shared" si="3"/>
        <v>1049.7599999999998</v>
      </c>
      <c r="W5" s="97">
        <f t="shared" si="3"/>
        <v>1049.7599999999998</v>
      </c>
      <c r="X5" s="97">
        <f t="shared" si="3"/>
        <v>8164.799999999997</v>
      </c>
      <c r="Y5" s="97">
        <f t="shared" si="3"/>
        <v>6609.599999999999</v>
      </c>
      <c r="Z5" s="97">
        <f t="shared" si="3"/>
        <v>3499.199999999999</v>
      </c>
      <c r="AA5" s="97">
        <f t="shared" si="3"/>
        <v>3499.199999999999</v>
      </c>
      <c r="AB5" s="97">
        <f t="shared" si="3"/>
        <v>3110.3999999999996</v>
      </c>
      <c r="AC5" s="97">
        <f t="shared" si="3"/>
        <v>36313.91999999999</v>
      </c>
      <c r="AD5" s="97">
        <f t="shared" si="3"/>
        <v>4406.4</v>
      </c>
      <c r="AE5" s="97">
        <f t="shared" si="3"/>
        <v>4406.4</v>
      </c>
      <c r="AF5" s="97">
        <f t="shared" si="3"/>
        <v>4406.4</v>
      </c>
      <c r="AG5" s="97">
        <f t="shared" si="3"/>
        <v>4406.4</v>
      </c>
      <c r="AH5" s="97">
        <f t="shared" si="3"/>
        <v>4406.4</v>
      </c>
      <c r="AI5" s="97">
        <f t="shared" si="3"/>
        <v>2203.2</v>
      </c>
      <c r="AJ5" s="97">
        <f t="shared" si="3"/>
        <v>2203.2</v>
      </c>
      <c r="AK5" s="97">
        <f t="shared" si="3"/>
        <v>15422.399999999998</v>
      </c>
      <c r="AL5" s="97">
        <f t="shared" si="3"/>
        <v>12484.8</v>
      </c>
      <c r="AM5" s="97">
        <f t="shared" si="3"/>
        <v>6609.599999999999</v>
      </c>
      <c r="AN5" s="97">
        <f t="shared" si="3"/>
        <v>6609.599999999999</v>
      </c>
      <c r="AO5" s="97">
        <f t="shared" si="3"/>
        <v>5875.199999999999</v>
      </c>
      <c r="AP5" s="97">
        <f t="shared" si="3"/>
        <v>73440</v>
      </c>
      <c r="AQ5" s="97">
        <f t="shared" si="3"/>
        <v>86400</v>
      </c>
      <c r="AR5" s="97">
        <f t="shared" si="3"/>
        <v>86400</v>
      </c>
      <c r="AS5" s="97">
        <f t="shared" si="3"/>
        <v>86400</v>
      </c>
      <c r="AT5" s="97">
        <f t="shared" si="3"/>
        <v>86400</v>
      </c>
      <c r="AU5" s="97">
        <f t="shared" si="3"/>
        <v>86400</v>
      </c>
      <c r="AV5" s="98"/>
    </row>
    <row r="6" spans="1:48" s="89" customFormat="1" ht="12.75">
      <c r="A6" s="291" t="str">
        <f>Дох!A6</f>
        <v>Ручка шариковая</v>
      </c>
      <c r="B6" s="96">
        <f>P6+AC6+AP6+AQ6+AR6+AS6+AT6+AU6</f>
        <v>541753.9199999999</v>
      </c>
      <c r="C6" s="97"/>
      <c r="D6" s="99">
        <f>Производство!D10*Дох!$C6/1000</f>
        <v>0</v>
      </c>
      <c r="E6" s="99">
        <f>Производство!E10*Дох!$C6/1000</f>
        <v>0</v>
      </c>
      <c r="F6" s="99">
        <f>Производство!F10*Дох!$C6/1000</f>
        <v>0</v>
      </c>
      <c r="G6" s="99">
        <f>Производство!G10*Дох!$C6/1000</f>
        <v>0</v>
      </c>
      <c r="H6" s="99">
        <f>Производство!H10*Дох!$C6/1000</f>
        <v>0</v>
      </c>
      <c r="I6" s="99">
        <f>Производство!I10*Дох!$C6/1000</f>
        <v>0</v>
      </c>
      <c r="J6" s="99">
        <f>Производство!J10*Дох!$C6/1000</f>
        <v>0</v>
      </c>
      <c r="K6" s="99">
        <f>Производство!K10*Дох!$C6/1000</f>
        <v>0</v>
      </c>
      <c r="L6" s="99">
        <f>Производство!L10*Дох!$C6/1000</f>
        <v>0</v>
      </c>
      <c r="M6" s="99">
        <f>Производство!M10*Дох!$C6/1000</f>
        <v>0</v>
      </c>
      <c r="N6" s="99">
        <f>Производство!N10*Дох!$C6/1000</f>
        <v>0</v>
      </c>
      <c r="O6" s="99">
        <f>Производство!O10*Дох!$C6/1000</f>
        <v>0</v>
      </c>
      <c r="P6" s="97">
        <f>SUM(D6:O6)</f>
        <v>0</v>
      </c>
      <c r="Q6" s="99">
        <f>Производство!Q10*Дох!$C6</f>
        <v>1866.2399999999996</v>
      </c>
      <c r="R6" s="99">
        <f>Производство!R10*Дох!$C6</f>
        <v>1866.2399999999996</v>
      </c>
      <c r="S6" s="99">
        <f>Производство!S10*Дох!$C6</f>
        <v>1866.2399999999996</v>
      </c>
      <c r="T6" s="99">
        <f>Производство!T10*Дох!$C6</f>
        <v>1866.2399999999996</v>
      </c>
      <c r="U6" s="99">
        <f>Производство!U10*Дох!$C6</f>
        <v>1866.2399999999996</v>
      </c>
      <c r="V6" s="99">
        <f>Производство!V10*Дох!$C6</f>
        <v>1049.7599999999998</v>
      </c>
      <c r="W6" s="99">
        <f>Производство!W10*Дох!$C6</f>
        <v>1049.7599999999998</v>
      </c>
      <c r="X6" s="99">
        <f>Производство!X10*Дох!$C6</f>
        <v>8164.799999999997</v>
      </c>
      <c r="Y6" s="99">
        <f>Производство!Y10*Дох!$C6</f>
        <v>6609.599999999999</v>
      </c>
      <c r="Z6" s="99">
        <f>Производство!Z10*Дох!$C6</f>
        <v>3499.199999999999</v>
      </c>
      <c r="AA6" s="99">
        <f>Производство!AA10*Дох!$C6</f>
        <v>3499.199999999999</v>
      </c>
      <c r="AB6" s="99">
        <f>Производство!AB10*Дох!$C6</f>
        <v>3110.3999999999996</v>
      </c>
      <c r="AC6" s="97">
        <f>SUM(Q6:AB6)</f>
        <v>36313.91999999999</v>
      </c>
      <c r="AD6" s="99">
        <f>Производство!AD10*Дох!$C6</f>
        <v>4406.4</v>
      </c>
      <c r="AE6" s="99">
        <f>Производство!AE10*Дох!$C6</f>
        <v>4406.4</v>
      </c>
      <c r="AF6" s="99">
        <f>Производство!AF10*Дох!$C6</f>
        <v>4406.4</v>
      </c>
      <c r="AG6" s="99">
        <f>Производство!AG10*Дох!$C6</f>
        <v>4406.4</v>
      </c>
      <c r="AH6" s="99">
        <f>Производство!AH10*Дох!$C6</f>
        <v>4406.4</v>
      </c>
      <c r="AI6" s="99">
        <f>Производство!AI10*Дох!$C6</f>
        <v>2203.2</v>
      </c>
      <c r="AJ6" s="99">
        <f>Производство!AJ10*Дох!$C6</f>
        <v>2203.2</v>
      </c>
      <c r="AK6" s="99">
        <f>Производство!AK10*Дох!$C6</f>
        <v>15422.399999999998</v>
      </c>
      <c r="AL6" s="99">
        <f>Производство!AL10*Дох!$C6</f>
        <v>12484.8</v>
      </c>
      <c r="AM6" s="99">
        <f>Производство!AM10*Дох!$C6</f>
        <v>6609.599999999999</v>
      </c>
      <c r="AN6" s="99">
        <f>Производство!AN10*Дох!$C6</f>
        <v>6609.599999999999</v>
      </c>
      <c r="AO6" s="99">
        <f>Производство!AO10*Дох!$C6</f>
        <v>5875.199999999999</v>
      </c>
      <c r="AP6" s="97">
        <f>SUM(AD6:AO6)</f>
        <v>73440</v>
      </c>
      <c r="AQ6" s="99">
        <f>Производство!AQ10*Дох!$C6</f>
        <v>86400</v>
      </c>
      <c r="AR6" s="99">
        <f>Производство!AR10*Дох!$C6</f>
        <v>86400</v>
      </c>
      <c r="AS6" s="99">
        <f>Производство!AS10*Дох!$C6</f>
        <v>86400</v>
      </c>
      <c r="AT6" s="99">
        <f>Производство!AT10*Дох!$C6</f>
        <v>86400</v>
      </c>
      <c r="AU6" s="99">
        <f>Производство!AU10*Дох!$C6</f>
        <v>86400</v>
      </c>
      <c r="AV6" s="98"/>
    </row>
    <row r="7" spans="1:47" ht="15" customHeight="1">
      <c r="A7" s="95" t="s">
        <v>374</v>
      </c>
      <c r="B7" s="96">
        <f>SUM(B8:B8)</f>
        <v>331184.75914542854</v>
      </c>
      <c r="C7" s="97"/>
      <c r="D7" s="97">
        <f aca="true" t="shared" si="4" ref="D7:AU7">SUM(D8:D8)</f>
        <v>0</v>
      </c>
      <c r="E7" s="97">
        <f t="shared" si="4"/>
        <v>0</v>
      </c>
      <c r="F7" s="97">
        <f t="shared" si="4"/>
        <v>0</v>
      </c>
      <c r="G7" s="97">
        <f t="shared" si="4"/>
        <v>0</v>
      </c>
      <c r="H7" s="97">
        <f t="shared" si="4"/>
        <v>0</v>
      </c>
      <c r="I7" s="97">
        <f t="shared" si="4"/>
        <v>0</v>
      </c>
      <c r="J7" s="97">
        <f t="shared" si="4"/>
        <v>0</v>
      </c>
      <c r="K7" s="97">
        <f t="shared" si="4"/>
        <v>0</v>
      </c>
      <c r="L7" s="97">
        <f t="shared" si="4"/>
        <v>0</v>
      </c>
      <c r="M7" s="97">
        <f t="shared" si="4"/>
        <v>0</v>
      </c>
      <c r="N7" s="97">
        <f t="shared" si="4"/>
        <v>0</v>
      </c>
      <c r="O7" s="97">
        <f t="shared" si="4"/>
        <v>0</v>
      </c>
      <c r="P7" s="97">
        <f t="shared" si="4"/>
        <v>0</v>
      </c>
      <c r="Q7" s="97">
        <f t="shared" si="4"/>
        <v>1140.868985142857</v>
      </c>
      <c r="R7" s="97">
        <f t="shared" si="4"/>
        <v>1140.868985142857</v>
      </c>
      <c r="S7" s="97">
        <f t="shared" si="4"/>
        <v>1140.868985142857</v>
      </c>
      <c r="T7" s="97">
        <f t="shared" si="4"/>
        <v>1140.868985142857</v>
      </c>
      <c r="U7" s="97">
        <f t="shared" si="4"/>
        <v>1140.868985142857</v>
      </c>
      <c r="V7" s="97">
        <f t="shared" si="4"/>
        <v>641.7388041428569</v>
      </c>
      <c r="W7" s="97">
        <f t="shared" si="4"/>
        <v>641.7388041428569</v>
      </c>
      <c r="X7" s="97">
        <f t="shared" si="4"/>
        <v>4991.301809999998</v>
      </c>
      <c r="Y7" s="97">
        <f t="shared" si="4"/>
        <v>4040.577655714285</v>
      </c>
      <c r="Z7" s="97">
        <f t="shared" si="4"/>
        <v>2139.1293471428567</v>
      </c>
      <c r="AA7" s="97">
        <f t="shared" si="4"/>
        <v>2139.1293471428567</v>
      </c>
      <c r="AB7" s="97">
        <f t="shared" si="4"/>
        <v>1901.4483085714282</v>
      </c>
      <c r="AC7" s="97">
        <f t="shared" si="4"/>
        <v>22199.409002571425</v>
      </c>
      <c r="AD7" s="97">
        <f t="shared" si="4"/>
        <v>2693.7184371428566</v>
      </c>
      <c r="AE7" s="97">
        <f t="shared" si="4"/>
        <v>2693.7184371428566</v>
      </c>
      <c r="AF7" s="97">
        <f t="shared" si="4"/>
        <v>2693.7184371428566</v>
      </c>
      <c r="AG7" s="97">
        <f t="shared" si="4"/>
        <v>2693.7184371428566</v>
      </c>
      <c r="AH7" s="97">
        <f t="shared" si="4"/>
        <v>2693.7184371428566</v>
      </c>
      <c r="AI7" s="97">
        <f t="shared" si="4"/>
        <v>1346.8592185714283</v>
      </c>
      <c r="AJ7" s="97">
        <f t="shared" si="4"/>
        <v>1346.8592185714283</v>
      </c>
      <c r="AK7" s="97">
        <f t="shared" si="4"/>
        <v>9428.014529999999</v>
      </c>
      <c r="AL7" s="97">
        <f t="shared" si="4"/>
        <v>7632.202238571428</v>
      </c>
      <c r="AM7" s="97">
        <f t="shared" si="4"/>
        <v>4040.577655714285</v>
      </c>
      <c r="AN7" s="97">
        <f t="shared" si="4"/>
        <v>4040.577655714285</v>
      </c>
      <c r="AO7" s="97">
        <f t="shared" si="4"/>
        <v>3591.6245828571423</v>
      </c>
      <c r="AP7" s="97">
        <f t="shared" si="4"/>
        <v>44895.30728571427</v>
      </c>
      <c r="AQ7" s="97">
        <f t="shared" si="4"/>
        <v>52818.00857142857</v>
      </c>
      <c r="AR7" s="97">
        <f t="shared" si="4"/>
        <v>52818.00857142857</v>
      </c>
      <c r="AS7" s="97">
        <f t="shared" si="4"/>
        <v>52818.00857142857</v>
      </c>
      <c r="AT7" s="97">
        <f t="shared" si="4"/>
        <v>52818.00857142857</v>
      </c>
      <c r="AU7" s="97">
        <f t="shared" si="4"/>
        <v>52818.00857142857</v>
      </c>
    </row>
    <row r="8" spans="1:47" ht="12.75">
      <c r="A8" s="291" t="s">
        <v>199</v>
      </c>
      <c r="B8" s="96">
        <f>P8+AC8+AP8+AQ8+AR8+AS8+AT8+AU8</f>
        <v>331184.75914542854</v>
      </c>
      <c r="C8" s="97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7">
        <f>SUM(D8:O8)</f>
        <v>0</v>
      </c>
      <c r="Q8" s="99">
        <f>Производство!Q10*'Расх перем'!$E$11</f>
        <v>1140.868985142857</v>
      </c>
      <c r="R8" s="99">
        <f>Производство!R10*'Расх перем'!$E$11</f>
        <v>1140.868985142857</v>
      </c>
      <c r="S8" s="99">
        <f>Производство!S10*'Расх перем'!$E$11</f>
        <v>1140.868985142857</v>
      </c>
      <c r="T8" s="99">
        <f>Производство!T10*'Расх перем'!$E$11</f>
        <v>1140.868985142857</v>
      </c>
      <c r="U8" s="99">
        <f>Производство!U10*'Расх перем'!$E$11</f>
        <v>1140.868985142857</v>
      </c>
      <c r="V8" s="99">
        <f>Производство!V10*'Расх перем'!$E$11</f>
        <v>641.7388041428569</v>
      </c>
      <c r="W8" s="99">
        <f>Производство!W10*'Расх перем'!$E$11</f>
        <v>641.7388041428569</v>
      </c>
      <c r="X8" s="99">
        <f>Производство!X10*'Расх перем'!$E$11</f>
        <v>4991.301809999998</v>
      </c>
      <c r="Y8" s="99">
        <f>Производство!Y10*'Расх перем'!$E$11</f>
        <v>4040.577655714285</v>
      </c>
      <c r="Z8" s="99">
        <f>Производство!Z10*'Расх перем'!$E$11</f>
        <v>2139.1293471428567</v>
      </c>
      <c r="AA8" s="99">
        <f>Производство!AA10*'Расх перем'!$E$11</f>
        <v>2139.1293471428567</v>
      </c>
      <c r="AB8" s="99">
        <f>Производство!AB10*'Расх перем'!$E$11</f>
        <v>1901.4483085714282</v>
      </c>
      <c r="AC8" s="97">
        <f>SUM(Q8:AB8)</f>
        <v>22199.409002571425</v>
      </c>
      <c r="AD8" s="99">
        <f>Производство!AD10*'Расх перем'!$E$11</f>
        <v>2693.7184371428566</v>
      </c>
      <c r="AE8" s="99">
        <f>Производство!AE10*'Расх перем'!$E$11</f>
        <v>2693.7184371428566</v>
      </c>
      <c r="AF8" s="99">
        <f>Производство!AF10*'Расх перем'!$E$11</f>
        <v>2693.7184371428566</v>
      </c>
      <c r="AG8" s="99">
        <f>Производство!AG10*'Расх перем'!$E$11</f>
        <v>2693.7184371428566</v>
      </c>
      <c r="AH8" s="99">
        <f>Производство!AH10*'Расх перем'!$E$11</f>
        <v>2693.7184371428566</v>
      </c>
      <c r="AI8" s="99">
        <f>Производство!AI10*'Расх перем'!$E$11</f>
        <v>1346.8592185714283</v>
      </c>
      <c r="AJ8" s="99">
        <f>Производство!AJ10*'Расх перем'!$E$11</f>
        <v>1346.8592185714283</v>
      </c>
      <c r="AK8" s="99">
        <f>Производство!AK10*'Расх перем'!$E$11</f>
        <v>9428.014529999999</v>
      </c>
      <c r="AL8" s="99">
        <f>Производство!AL10*'Расх перем'!$E$11</f>
        <v>7632.202238571428</v>
      </c>
      <c r="AM8" s="99">
        <f>Производство!AM10*'Расх перем'!$E$11</f>
        <v>4040.577655714285</v>
      </c>
      <c r="AN8" s="99">
        <f>Производство!AN10*'Расх перем'!$E$11</f>
        <v>4040.577655714285</v>
      </c>
      <c r="AO8" s="99">
        <f>Производство!AO10*'Расх перем'!$E$11</f>
        <v>3591.6245828571423</v>
      </c>
      <c r="AP8" s="97">
        <f>SUM(AD8:AO8)</f>
        <v>44895.30728571427</v>
      </c>
      <c r="AQ8" s="99">
        <f>Производство!AQ10*'Расх перем'!$E$11</f>
        <v>52818.00857142857</v>
      </c>
      <c r="AR8" s="99">
        <f>Производство!AR10*'Расх перем'!$E$11</f>
        <v>52818.00857142857</v>
      </c>
      <c r="AS8" s="99">
        <f>Производство!AS10*'Расх перем'!$E$11</f>
        <v>52818.00857142857</v>
      </c>
      <c r="AT8" s="99">
        <f>Производство!AT10*'Расх перем'!$E$11</f>
        <v>52818.00857142857</v>
      </c>
      <c r="AU8" s="99">
        <f>Производство!AU10*'Расх перем'!$E$11</f>
        <v>52818.00857142857</v>
      </c>
    </row>
    <row r="9" spans="1:47" s="89" customFormat="1" ht="15" customHeight="1">
      <c r="A9" s="95" t="s">
        <v>17</v>
      </c>
      <c r="B9" s="96">
        <f>B5-B7</f>
        <v>210569.16085457138</v>
      </c>
      <c r="C9" s="100"/>
      <c r="D9" s="97">
        <f aca="true" t="shared" si="5" ref="D9:AU9">D5-D7</f>
        <v>0</v>
      </c>
      <c r="E9" s="97">
        <f t="shared" si="5"/>
        <v>0</v>
      </c>
      <c r="F9" s="97">
        <f t="shared" si="5"/>
        <v>0</v>
      </c>
      <c r="G9" s="97">
        <f t="shared" si="5"/>
        <v>0</v>
      </c>
      <c r="H9" s="97">
        <f t="shared" si="5"/>
        <v>0</v>
      </c>
      <c r="I9" s="97">
        <f t="shared" si="5"/>
        <v>0</v>
      </c>
      <c r="J9" s="97">
        <f t="shared" si="5"/>
        <v>0</v>
      </c>
      <c r="K9" s="97">
        <f t="shared" si="5"/>
        <v>0</v>
      </c>
      <c r="L9" s="97">
        <f t="shared" si="5"/>
        <v>0</v>
      </c>
      <c r="M9" s="97">
        <f t="shared" si="5"/>
        <v>0</v>
      </c>
      <c r="N9" s="97">
        <f t="shared" si="5"/>
        <v>0</v>
      </c>
      <c r="O9" s="97">
        <f t="shared" si="5"/>
        <v>0</v>
      </c>
      <c r="P9" s="97">
        <f t="shared" si="5"/>
        <v>0</v>
      </c>
      <c r="Q9" s="97">
        <f t="shared" si="5"/>
        <v>725.3710148571427</v>
      </c>
      <c r="R9" s="97">
        <f t="shared" si="5"/>
        <v>725.3710148571427</v>
      </c>
      <c r="S9" s="97">
        <f t="shared" si="5"/>
        <v>725.3710148571427</v>
      </c>
      <c r="T9" s="97">
        <f t="shared" si="5"/>
        <v>725.3710148571427</v>
      </c>
      <c r="U9" s="97">
        <f t="shared" si="5"/>
        <v>725.3710148571427</v>
      </c>
      <c r="V9" s="97">
        <f t="shared" si="5"/>
        <v>408.02119585714286</v>
      </c>
      <c r="W9" s="97">
        <f t="shared" si="5"/>
        <v>408.02119585714286</v>
      </c>
      <c r="X9" s="97">
        <f t="shared" si="5"/>
        <v>3173.4981899999993</v>
      </c>
      <c r="Y9" s="97">
        <f t="shared" si="5"/>
        <v>2569.0223442857146</v>
      </c>
      <c r="Z9" s="97">
        <f t="shared" si="5"/>
        <v>1360.0706528571422</v>
      </c>
      <c r="AA9" s="97">
        <f t="shared" si="5"/>
        <v>1360.0706528571422</v>
      </c>
      <c r="AB9" s="97">
        <f t="shared" si="5"/>
        <v>1208.9516914285714</v>
      </c>
      <c r="AC9" s="97">
        <f t="shared" si="5"/>
        <v>14114.510997428566</v>
      </c>
      <c r="AD9" s="97">
        <f t="shared" si="5"/>
        <v>1712.681562857143</v>
      </c>
      <c r="AE9" s="97">
        <f t="shared" si="5"/>
        <v>1712.681562857143</v>
      </c>
      <c r="AF9" s="97">
        <f t="shared" si="5"/>
        <v>1712.681562857143</v>
      </c>
      <c r="AG9" s="97">
        <f t="shared" si="5"/>
        <v>1712.681562857143</v>
      </c>
      <c r="AH9" s="97">
        <f t="shared" si="5"/>
        <v>1712.681562857143</v>
      </c>
      <c r="AI9" s="97">
        <f t="shared" si="5"/>
        <v>856.3407814285715</v>
      </c>
      <c r="AJ9" s="97">
        <f t="shared" si="5"/>
        <v>856.3407814285715</v>
      </c>
      <c r="AK9" s="97">
        <f t="shared" si="5"/>
        <v>5994.385469999999</v>
      </c>
      <c r="AL9" s="97">
        <f t="shared" si="5"/>
        <v>4852.597761428571</v>
      </c>
      <c r="AM9" s="97">
        <f t="shared" si="5"/>
        <v>2569.0223442857146</v>
      </c>
      <c r="AN9" s="97">
        <f t="shared" si="5"/>
        <v>2569.0223442857146</v>
      </c>
      <c r="AO9" s="97">
        <f t="shared" si="5"/>
        <v>2283.5754171428566</v>
      </c>
      <c r="AP9" s="97">
        <f t="shared" si="5"/>
        <v>28544.69271428573</v>
      </c>
      <c r="AQ9" s="97">
        <f t="shared" si="5"/>
        <v>33581.99142857143</v>
      </c>
      <c r="AR9" s="97">
        <f t="shared" si="5"/>
        <v>33581.99142857143</v>
      </c>
      <c r="AS9" s="97">
        <f t="shared" si="5"/>
        <v>33581.99142857143</v>
      </c>
      <c r="AT9" s="97">
        <f t="shared" si="5"/>
        <v>33581.99142857143</v>
      </c>
      <c r="AU9" s="97">
        <f t="shared" si="5"/>
        <v>33581.99142857143</v>
      </c>
    </row>
    <row r="10" spans="1:47" ht="15" customHeight="1">
      <c r="A10" s="101" t="s">
        <v>144</v>
      </c>
      <c r="B10" s="96">
        <f>P10+AC10+AP10+AQ10+AR10+AS10+AT10+AU10</f>
        <v>124207.79986616297</v>
      </c>
      <c r="C10" s="97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7">
        <f aca="true" t="shared" si="6" ref="P10:P15">SUM(D10:O10)</f>
        <v>0</v>
      </c>
      <c r="Q10" s="99">
        <f>Пост!$D$16+Пост!$D$18+Пост!$D$21</f>
        <v>1149.4773328571428</v>
      </c>
      <c r="R10" s="99">
        <f>Пост!$D$16+Пост!$D$18+Пост!$D$21</f>
        <v>1149.4773328571428</v>
      </c>
      <c r="S10" s="99">
        <f>Пост!$D$16+Пост!$D$18+Пост!$D$21</f>
        <v>1149.4773328571428</v>
      </c>
      <c r="T10" s="99">
        <f>Пост!$D$16+Пост!$D$18+Пост!$D$21</f>
        <v>1149.4773328571428</v>
      </c>
      <c r="U10" s="99">
        <f>Пост!$D$16+Пост!$D$18+Пост!$D$21</f>
        <v>1149.4773328571428</v>
      </c>
      <c r="V10" s="99">
        <f>Пост!$D$16+Пост!$D$18+Пост!$D$21</f>
        <v>1149.4773328571428</v>
      </c>
      <c r="W10" s="99">
        <f>Пост!$D$16+Пост!$D$18+Пост!$D$21</f>
        <v>1149.4773328571428</v>
      </c>
      <c r="X10" s="99">
        <f>Пост!$D$16+Пост!$D$18+Пост!$D$21</f>
        <v>1149.4773328571428</v>
      </c>
      <c r="Y10" s="99">
        <f>Пост!$D$16+Пост!$D$18+Пост!$D$21</f>
        <v>1149.4773328571428</v>
      </c>
      <c r="Z10" s="99">
        <f>Пост!$D$16+Пост!$D$18+Пост!$D$21</f>
        <v>1149.4773328571428</v>
      </c>
      <c r="AA10" s="99">
        <f>Пост!$D$16+Пост!$D$18+Пост!$D$21</f>
        <v>1149.4773328571428</v>
      </c>
      <c r="AB10" s="99">
        <f>Пост!$D$16+Пост!$D$18+Пост!$D$21</f>
        <v>1149.4773328571428</v>
      </c>
      <c r="AC10" s="97">
        <f aca="true" t="shared" si="7" ref="AC10:AC15">SUM(Q10:AB10)</f>
        <v>13793.727994285713</v>
      </c>
      <c r="AD10" s="99">
        <f>Пост!$E$16+Пост!$E$18+Пост!$E$21</f>
        <v>1348.9518691428568</v>
      </c>
      <c r="AE10" s="99">
        <f>Пост!$E$16+Пост!$E$18+Пост!$E$21</f>
        <v>1348.9518691428568</v>
      </c>
      <c r="AF10" s="99">
        <f>Пост!$E$16+Пост!$E$18+Пост!$E$21</f>
        <v>1348.9518691428568</v>
      </c>
      <c r="AG10" s="99">
        <f>Пост!$E$16+Пост!$E$18+Пост!$E$21</f>
        <v>1348.9518691428568</v>
      </c>
      <c r="AH10" s="99">
        <f>Пост!$E$16+Пост!$E$18+Пост!$E$21</f>
        <v>1348.9518691428568</v>
      </c>
      <c r="AI10" s="99">
        <f>Пост!$E$16+Пост!$E$18+Пост!$E$21</f>
        <v>1348.9518691428568</v>
      </c>
      <c r="AJ10" s="99">
        <f>Пост!$E$16+Пост!$E$18+Пост!$E$21</f>
        <v>1348.9518691428568</v>
      </c>
      <c r="AK10" s="99">
        <f>Пост!$E$16+Пост!$E$18+Пост!$E$21</f>
        <v>1348.9518691428568</v>
      </c>
      <c r="AL10" s="99">
        <f>Пост!$E$16+Пост!$E$18+Пост!$E$21</f>
        <v>1348.9518691428568</v>
      </c>
      <c r="AM10" s="99">
        <f>Пост!$E$16+Пост!$E$18+Пост!$E$21</f>
        <v>1348.9518691428568</v>
      </c>
      <c r="AN10" s="99">
        <f>Пост!$E$16+Пост!$E$18+Пост!$E$21</f>
        <v>1348.9518691428568</v>
      </c>
      <c r="AO10" s="99">
        <f>Пост!$E$16+Пост!$E$18+Пост!$E$21</f>
        <v>1348.9518691428568</v>
      </c>
      <c r="AP10" s="97">
        <f aca="true" t="shared" si="8" ref="AP10:AP15">SUM(AD10:AO10)</f>
        <v>16187.422429714281</v>
      </c>
      <c r="AQ10" s="99">
        <f>(Пост!F16+Пост!F18+Пост!F21)*12</f>
        <v>17482.040872628575</v>
      </c>
      <c r="AR10" s="99">
        <f>(Пост!G16+Пост!G18+Пост!G21)*12</f>
        <v>18130.44648768857</v>
      </c>
      <c r="AS10" s="99">
        <f>(Пост!H16+Пост!H18+Пост!H21)*12</f>
        <v>18811.272383501568</v>
      </c>
      <c r="AT10" s="99">
        <f>(Пост!I16+Пост!I18+Пост!I21)*12</f>
        <v>19526.139574105215</v>
      </c>
      <c r="AU10" s="99">
        <f>(Пост!J16+Пост!J18+Пост!J21)*12</f>
        <v>20276.75012423905</v>
      </c>
    </row>
    <row r="11" spans="1:47" ht="15" customHeight="1">
      <c r="A11" s="101" t="s">
        <v>77</v>
      </c>
      <c r="B11" s="96">
        <f>P11+AC11+AP11+AQ11+AR11+AS11+AT11+AU11</f>
        <v>4390.234125</v>
      </c>
      <c r="C11" s="97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>
        <f>Пост!$C$31/12</f>
        <v>0</v>
      </c>
      <c r="O11" s="99">
        <f>Пост!$C$31/12</f>
        <v>0</v>
      </c>
      <c r="P11" s="97">
        <f t="shared" si="6"/>
        <v>0</v>
      </c>
      <c r="Q11" s="99">
        <f>Пост!$D$31/12</f>
        <v>52.26469196428571</v>
      </c>
      <c r="R11" s="99">
        <f>Пост!$D$31/12</f>
        <v>52.26469196428571</v>
      </c>
      <c r="S11" s="99">
        <f>Пост!$D$31/12</f>
        <v>52.26469196428571</v>
      </c>
      <c r="T11" s="99">
        <f>Пост!$D$31/12</f>
        <v>52.26469196428571</v>
      </c>
      <c r="U11" s="99">
        <f>Пост!$D$31/12</f>
        <v>52.26469196428571</v>
      </c>
      <c r="V11" s="99">
        <f>Пост!$D$31/12</f>
        <v>52.26469196428571</v>
      </c>
      <c r="W11" s="99">
        <f>Пост!$D$31/12</f>
        <v>52.26469196428571</v>
      </c>
      <c r="X11" s="99">
        <f>Пост!$D$31/12</f>
        <v>52.26469196428571</v>
      </c>
      <c r="Y11" s="99">
        <f>Пост!$D$31/12</f>
        <v>52.26469196428571</v>
      </c>
      <c r="Z11" s="99">
        <f>Пост!$D$31/12</f>
        <v>52.26469196428571</v>
      </c>
      <c r="AA11" s="99">
        <f>Пост!$D$31/12</f>
        <v>52.26469196428571</v>
      </c>
      <c r="AB11" s="99">
        <f>Пост!$D$31/12</f>
        <v>52.26469196428571</v>
      </c>
      <c r="AC11" s="97">
        <f t="shared" si="7"/>
        <v>627.1763035714285</v>
      </c>
      <c r="AD11" s="99">
        <f>Пост!$E$31/12</f>
        <v>52.26469196428571</v>
      </c>
      <c r="AE11" s="99">
        <f>Пост!$E$31/12</f>
        <v>52.26469196428571</v>
      </c>
      <c r="AF11" s="99">
        <f>Пост!$E$31/12</f>
        <v>52.26469196428571</v>
      </c>
      <c r="AG11" s="99">
        <f>Пост!$E$31/12</f>
        <v>52.26469196428571</v>
      </c>
      <c r="AH11" s="99">
        <f>Пост!$E$31/12</f>
        <v>52.26469196428571</v>
      </c>
      <c r="AI11" s="99">
        <f>Пост!$E$31/12</f>
        <v>52.26469196428571</v>
      </c>
      <c r="AJ11" s="99">
        <f>Пост!$E$31/12</f>
        <v>52.26469196428571</v>
      </c>
      <c r="AK11" s="99">
        <f>Пост!$E$31/12</f>
        <v>52.26469196428571</v>
      </c>
      <c r="AL11" s="99">
        <f>Пост!$E$31/12</f>
        <v>52.26469196428571</v>
      </c>
      <c r="AM11" s="99">
        <f>Пост!$E$31/12</f>
        <v>52.26469196428571</v>
      </c>
      <c r="AN11" s="99">
        <f>Пост!$E$31/12</f>
        <v>52.26469196428571</v>
      </c>
      <c r="AO11" s="99">
        <f>Пост!$E$31/12</f>
        <v>52.26469196428571</v>
      </c>
      <c r="AP11" s="97">
        <f t="shared" si="8"/>
        <v>627.1763035714285</v>
      </c>
      <c r="AQ11" s="99">
        <f>Пост!F31</f>
        <v>627.1763035714285</v>
      </c>
      <c r="AR11" s="99">
        <f>Пост!G31</f>
        <v>627.1763035714285</v>
      </c>
      <c r="AS11" s="99">
        <f>Пост!H31</f>
        <v>627.1763035714285</v>
      </c>
      <c r="AT11" s="99">
        <f>Пост!I31</f>
        <v>627.1763035714285</v>
      </c>
      <c r="AU11" s="99">
        <f>Пост!J31</f>
        <v>627.1763035714285</v>
      </c>
    </row>
    <row r="12" spans="1:47" ht="15" customHeight="1">
      <c r="A12" s="101" t="s">
        <v>27</v>
      </c>
      <c r="B12" s="96">
        <f>P12+AC12+AP12+AQ12+AR12+AS12+AT12+AU12</f>
        <v>2124.7854305345368</v>
      </c>
      <c r="C12" s="97"/>
      <c r="D12" s="99">
        <f>кр!C24</f>
        <v>0</v>
      </c>
      <c r="E12" s="99">
        <f>кр!D24</f>
        <v>0</v>
      </c>
      <c r="F12" s="99">
        <f>кр!E24</f>
        <v>0</v>
      </c>
      <c r="G12" s="99">
        <f>кр!F24</f>
        <v>0</v>
      </c>
      <c r="H12" s="99">
        <f>кр!G24</f>
        <v>0</v>
      </c>
      <c r="I12" s="99">
        <f>кр!H24</f>
        <v>0</v>
      </c>
      <c r="J12" s="99">
        <f>кр!I24</f>
        <v>0</v>
      </c>
      <c r="K12" s="99">
        <f>кр!J24</f>
        <v>0</v>
      </c>
      <c r="L12" s="99">
        <f>кр!K24</f>
        <v>0</v>
      </c>
      <c r="M12" s="99">
        <f>кр!L24</f>
        <v>0</v>
      </c>
      <c r="N12" s="99">
        <f>кр!M24</f>
        <v>14.692196750000003</v>
      </c>
      <c r="O12" s="99">
        <f>кр!N24</f>
        <v>40.97551850000001</v>
      </c>
      <c r="P12" s="97">
        <f t="shared" si="6"/>
        <v>55.66771525000001</v>
      </c>
      <c r="Q12" s="99">
        <f>кр!P24</f>
        <v>40.97551850000001</v>
      </c>
      <c r="R12" s="99">
        <f>кр!Q24</f>
        <v>40.97551850000001</v>
      </c>
      <c r="S12" s="99">
        <f>кр!R24</f>
        <v>40.97551850000001</v>
      </c>
      <c r="T12" s="99">
        <f>кр!S24</f>
        <v>40.97551850000001</v>
      </c>
      <c r="U12" s="99">
        <f>кр!T24</f>
        <v>40.97551850000001</v>
      </c>
      <c r="V12" s="99">
        <f>кр!U24</f>
        <v>40.97551850000001</v>
      </c>
      <c r="W12" s="99">
        <f>кр!V24</f>
        <v>40.97551850000001</v>
      </c>
      <c r="X12" s="99">
        <f>кр!W24</f>
        <v>41.74685882937501</v>
      </c>
      <c r="Y12" s="99">
        <f>кр!X24</f>
        <v>42.96178515495431</v>
      </c>
      <c r="Z12" s="99">
        <f>кр!Y24</f>
        <v>42.50079423264997</v>
      </c>
      <c r="AA12" s="99">
        <f>кр!Z24</f>
        <v>42.03711419663219</v>
      </c>
      <c r="AB12" s="99">
        <f>кр!AA24</f>
        <v>41.57072936040431</v>
      </c>
      <c r="AC12" s="97">
        <f t="shared" si="7"/>
        <v>497.6459112740159</v>
      </c>
      <c r="AD12" s="99">
        <f>кр!AC24</f>
        <v>41.10162394596509</v>
      </c>
      <c r="AE12" s="99">
        <f>кр!AD24</f>
        <v>40.629782083274975</v>
      </c>
      <c r="AF12" s="99">
        <f>кр!AE24</f>
        <v>40.15518780971917</v>
      </c>
      <c r="AG12" s="99">
        <f>кр!AF24</f>
        <v>39.677825069567625</v>
      </c>
      <c r="AH12" s="99">
        <f>кр!AG24</f>
        <v>39.197677713431865</v>
      </c>
      <c r="AI12" s="99">
        <f>кр!AH24</f>
        <v>38.71472949771865</v>
      </c>
      <c r="AJ12" s="99">
        <f>кр!AI24</f>
        <v>38.22896408408043</v>
      </c>
      <c r="AK12" s="99">
        <f>кр!AJ24</f>
        <v>37.74036503886266</v>
      </c>
      <c r="AL12" s="99">
        <f>кр!AK24</f>
        <v>37.24891583254779</v>
      </c>
      <c r="AM12" s="99">
        <f>кр!AL24</f>
        <v>36.754599839196075</v>
      </c>
      <c r="AN12" s="99">
        <f>кр!AM24</f>
        <v>36.25740033588315</v>
      </c>
      <c r="AO12" s="99">
        <f>кр!AN24</f>
        <v>35.75730050213423</v>
      </c>
      <c r="AP12" s="97">
        <f t="shared" si="8"/>
        <v>461.46437175238174</v>
      </c>
      <c r="AQ12" s="99">
        <f>кр!BB24</f>
        <v>389.0007055587966</v>
      </c>
      <c r="AR12" s="99">
        <f>кр!BO24</f>
        <v>311.29863507693807</v>
      </c>
      <c r="AS12" s="99">
        <f>кр!CB24</f>
        <v>227.97947563724895</v>
      </c>
      <c r="AT12" s="99">
        <f>кр!CO24</f>
        <v>138.63716742479124</v>
      </c>
      <c r="AU12" s="99">
        <f>кр!DB24</f>
        <v>43.09144856036421</v>
      </c>
    </row>
    <row r="13" spans="1:47" ht="15" customHeight="1">
      <c r="A13" s="101" t="s">
        <v>202</v>
      </c>
      <c r="B13" s="96">
        <f>P13+AC13+AP13+AQ13+AR13+AS13+AT13+AU13</f>
        <v>79846.34143287395</v>
      </c>
      <c r="C13" s="100"/>
      <c r="D13" s="99">
        <f>D9-D10-D12-D11</f>
        <v>0</v>
      </c>
      <c r="E13" s="99">
        <f aca="true" t="shared" si="9" ref="E13:O13">E9-E10-E12-E11</f>
        <v>0</v>
      </c>
      <c r="F13" s="99">
        <f t="shared" si="9"/>
        <v>0</v>
      </c>
      <c r="G13" s="99">
        <f t="shared" si="9"/>
        <v>0</v>
      </c>
      <c r="H13" s="99">
        <f t="shared" si="9"/>
        <v>0</v>
      </c>
      <c r="I13" s="99">
        <f t="shared" si="9"/>
        <v>0</v>
      </c>
      <c r="J13" s="99">
        <f t="shared" si="9"/>
        <v>0</v>
      </c>
      <c r="K13" s="99">
        <f t="shared" si="9"/>
        <v>0</v>
      </c>
      <c r="L13" s="99">
        <f t="shared" si="9"/>
        <v>0</v>
      </c>
      <c r="M13" s="99">
        <f t="shared" si="9"/>
        <v>0</v>
      </c>
      <c r="N13" s="99">
        <f t="shared" si="9"/>
        <v>-14.692196750000003</v>
      </c>
      <c r="O13" s="99">
        <f t="shared" si="9"/>
        <v>-40.97551850000001</v>
      </c>
      <c r="P13" s="97">
        <f t="shared" si="6"/>
        <v>-55.66771525000001</v>
      </c>
      <c r="Q13" s="99">
        <f aca="true" t="shared" si="10" ref="Q13:AB13">Q9-Q10-Q12-Q11</f>
        <v>-517.3465284642858</v>
      </c>
      <c r="R13" s="99">
        <f t="shared" si="10"/>
        <v>-517.3465284642858</v>
      </c>
      <c r="S13" s="99">
        <f t="shared" si="10"/>
        <v>-517.3465284642858</v>
      </c>
      <c r="T13" s="99">
        <f t="shared" si="10"/>
        <v>-517.3465284642858</v>
      </c>
      <c r="U13" s="99">
        <f t="shared" si="10"/>
        <v>-517.3465284642858</v>
      </c>
      <c r="V13" s="99">
        <f t="shared" si="10"/>
        <v>-834.6963474642856</v>
      </c>
      <c r="W13" s="99">
        <f t="shared" si="10"/>
        <v>-834.6963474642856</v>
      </c>
      <c r="X13" s="99">
        <f t="shared" si="10"/>
        <v>1930.0093063491959</v>
      </c>
      <c r="Y13" s="99">
        <f t="shared" si="10"/>
        <v>1324.3185343093319</v>
      </c>
      <c r="Z13" s="99">
        <f t="shared" si="10"/>
        <v>115.82783380306381</v>
      </c>
      <c r="AA13" s="99">
        <f t="shared" si="10"/>
        <v>116.2915138390816</v>
      </c>
      <c r="AB13" s="99">
        <f t="shared" si="10"/>
        <v>-34.36106275326138</v>
      </c>
      <c r="AC13" s="97">
        <f t="shared" si="7"/>
        <v>-804.0392117025887</v>
      </c>
      <c r="AD13" s="99">
        <f aca="true" t="shared" si="11" ref="AD13:AO13">AD9-AD10-AD12-AD11</f>
        <v>270.3633778040354</v>
      </c>
      <c r="AE13" s="99">
        <f t="shared" si="11"/>
        <v>270.83521966672555</v>
      </c>
      <c r="AF13" s="99">
        <f t="shared" si="11"/>
        <v>271.30981394028134</v>
      </c>
      <c r="AG13" s="99">
        <f t="shared" si="11"/>
        <v>271.7871766804329</v>
      </c>
      <c r="AH13" s="99">
        <f t="shared" si="11"/>
        <v>272.26732403656865</v>
      </c>
      <c r="AI13" s="99">
        <f t="shared" si="11"/>
        <v>-583.5905091762896</v>
      </c>
      <c r="AJ13" s="99">
        <f t="shared" si="11"/>
        <v>-583.1047437626514</v>
      </c>
      <c r="AK13" s="99">
        <f t="shared" si="11"/>
        <v>4555.428543853995</v>
      </c>
      <c r="AL13" s="99">
        <f t="shared" si="11"/>
        <v>3414.132284488881</v>
      </c>
      <c r="AM13" s="99">
        <f t="shared" si="11"/>
        <v>1131.051183339376</v>
      </c>
      <c r="AN13" s="99">
        <f t="shared" si="11"/>
        <v>1131.5483828426889</v>
      </c>
      <c r="AO13" s="99">
        <f t="shared" si="11"/>
        <v>846.6015555335798</v>
      </c>
      <c r="AP13" s="97">
        <f t="shared" si="8"/>
        <v>11268.629609247624</v>
      </c>
      <c r="AQ13" s="99">
        <f>AQ9-AQ10-AQ12-AQ11</f>
        <v>15083.773546812634</v>
      </c>
      <c r="AR13" s="99">
        <f>AR9-AR10-AR12-AR11</f>
        <v>14513.070002234497</v>
      </c>
      <c r="AS13" s="99">
        <f>AS9-AS10-AS12-AS11</f>
        <v>13915.563265861188</v>
      </c>
      <c r="AT13" s="99">
        <f>AT9-AT10-AT12-AT11</f>
        <v>13290.038383469999</v>
      </c>
      <c r="AU13" s="99">
        <f>AU9-AU10-AU12-AU11</f>
        <v>12634.97355220059</v>
      </c>
    </row>
    <row r="14" spans="1:47" ht="15" customHeight="1">
      <c r="A14" s="101" t="s">
        <v>213</v>
      </c>
      <c r="B14" s="96">
        <f>P14+AC14+AP14+AQ14+AR14+AS14+AT14+AU14</f>
        <v>16048.765244202863</v>
      </c>
      <c r="C14" s="97"/>
      <c r="D14" s="132">
        <f>IF(D13+C16&lt;0,0,IF(C16&lt;0,(C16+D13)*Исх!$C$20,D13*Исх!$C$20))</f>
        <v>0</v>
      </c>
      <c r="E14" s="132">
        <f>IF(E13+D16&lt;0,0,IF(D16&lt;0,(D16+E13)*Исх!$C$20,E13*Исх!$C$20))</f>
        <v>0</v>
      </c>
      <c r="F14" s="132">
        <f>IF(F13+E16&lt;0,0,IF(E16&lt;0,(E16+F13)*Исх!$C$20,F13*Исх!$C$20))</f>
        <v>0</v>
      </c>
      <c r="G14" s="132">
        <f>IF(G13+F16&lt;0,0,IF(F16&lt;0,(F16+G13)*Исх!$C$20,G13*Исх!$C$20))</f>
        <v>0</v>
      </c>
      <c r="H14" s="132">
        <f>IF(H13+G16&lt;0,0,IF(G16&lt;0,(G16+H13)*Исх!$C$20,H13*Исх!$C$20))</f>
        <v>0</v>
      </c>
      <c r="I14" s="132">
        <f>IF(I13+H16&lt;0,0,IF(H16&lt;0,(H16+I13)*Исх!$C$20,I13*Исх!$C$20))</f>
        <v>0</v>
      </c>
      <c r="J14" s="132">
        <f>IF(J13+I16&lt;0,0,IF(I16&lt;0,(I16+J13)*Исх!$C$20,J13*Исх!$C$20))</f>
        <v>0</v>
      </c>
      <c r="K14" s="132">
        <f>IF(K13+J16&lt;0,0,IF(J16&lt;0,(J16+K13)*Исх!$C$20,K13*Исх!$C$20))</f>
        <v>0</v>
      </c>
      <c r="L14" s="132">
        <f>IF(L13+K16&lt;0,0,IF(K16&lt;0,(K16+L13)*Исх!$C$20,L13*Исх!$C$20))</f>
        <v>0</v>
      </c>
      <c r="M14" s="132">
        <f>IF(M13+L16&lt;0,0,IF(L16&lt;0,(L16+M13)*Исх!$C$20,M13*Исх!$C$20))</f>
        <v>0</v>
      </c>
      <c r="N14" s="132">
        <f>IF(N13+M16&lt;0,0,IF(M16&lt;0,(M16+N13)*Исх!$C$20,N13*Исх!$C$20))</f>
        <v>0</v>
      </c>
      <c r="O14" s="132">
        <f>IF(O13+N16&lt;0,0,IF(N16&lt;0,(N16+O13)*Исх!$C$20,O13*Исх!$C$20))</f>
        <v>0</v>
      </c>
      <c r="P14" s="97">
        <f t="shared" si="6"/>
        <v>0</v>
      </c>
      <c r="Q14" s="132">
        <f>IF(Q13+P16&lt;0,0,IF(P16&lt;0,(P16+Q13)*Исх!$C$20,Q13*Исх!$C$20))</f>
        <v>0</v>
      </c>
      <c r="R14" s="132">
        <f>IF(R13+Q16&lt;0,0,IF(Q16&lt;0,(Q16+R13)*Исх!$C$20,R13*Исх!$C$20))</f>
        <v>0</v>
      </c>
      <c r="S14" s="132">
        <f>IF(S13+R16&lt;0,0,IF(R16&lt;0,(R16+S13)*Исх!$C$20,S13*Исх!$C$20))</f>
        <v>0</v>
      </c>
      <c r="T14" s="132">
        <f>IF(T13+S16&lt;0,0,IF(S16&lt;0,(S16+T13)*Исх!$C$20,T13*Исх!$C$20))</f>
        <v>0</v>
      </c>
      <c r="U14" s="132">
        <f>IF(U13+T16&lt;0,0,IF(T16&lt;0,(T16+U13)*Исх!$C$20,U13*Исх!$C$20))</f>
        <v>0</v>
      </c>
      <c r="V14" s="132">
        <f>IF(V13+U16&lt;0,0,IF(U16&lt;0,(U16+V13)*Исх!$C$20,V13*Исх!$C$20))</f>
        <v>0</v>
      </c>
      <c r="W14" s="132">
        <f>IF(W13+V16&lt;0,0,IF(V16&lt;0,(V16+W13)*Исх!$C$20,W13*Исх!$C$20))</f>
        <v>0</v>
      </c>
      <c r="X14" s="132">
        <f>IF(X13+W16&lt;0,0,IF(W16&lt;0,(W16+X13)*Исх!$C$20,X13*Исх!$C$20))</f>
        <v>0</v>
      </c>
      <c r="Y14" s="132">
        <f>IF(Y13+X16&lt;0,0,IF(X16&lt;0,(X16+Y13)*Исх!$C$20,Y13*Исх!$C$20))</f>
        <v>0</v>
      </c>
      <c r="Z14" s="132">
        <f>IF(Z13+Y16&lt;0,0,IF(Y16&lt;0,(Y16+Z13)*Исх!$C$20,Z13*Исх!$C$20))</f>
        <v>0</v>
      </c>
      <c r="AA14" s="132">
        <f>IF(AA13+Z16&lt;0,0,IF(Z16&lt;0,(Z16+AA13)*Исх!$C$20,AA13*Исх!$C$20))</f>
        <v>0</v>
      </c>
      <c r="AB14" s="132">
        <f>IF(AB13+AA16&lt;0,0,IF(AA16&lt;0,(AA16+AB13)*Исх!$C$20,AB13*Исх!$C$20))</f>
        <v>0</v>
      </c>
      <c r="AC14" s="97">
        <f t="shared" si="7"/>
        <v>0</v>
      </c>
      <c r="AD14" s="132">
        <f>IF(AD13+AC16&lt;0,0,IF(AC16&lt;0,(AC16+AD13)*Исх!$C$20,AD13*Исх!$C$20))</f>
        <v>0</v>
      </c>
      <c r="AE14" s="132">
        <f>IF(AE13+AD16&lt;0,0,IF(AD16&lt;0,(AD16+AE13)*Исх!$C$20,AE13*Исх!$C$20))</f>
        <v>0</v>
      </c>
      <c r="AF14" s="132">
        <f>IF(AF13+AE16&lt;0,0,IF(AE16&lt;0,(AE16+AF13)*Исх!$C$20,AF13*Исх!$C$20))</f>
        <v>0</v>
      </c>
      <c r="AG14" s="132">
        <f>IF(AG13+AF16&lt;0,0,IF(AF16&lt;0,(AF16+AG13)*Исх!$C$20,AG13*Исх!$C$20))</f>
        <v>44.91773222777737</v>
      </c>
      <c r="AH14" s="132">
        <f>IF(AH13+AG16&lt;0,0,IF(AG16&lt;0,(AG16+AH13)*Исх!$C$20,AH13*Исх!$C$20))</f>
        <v>54.453464807313736</v>
      </c>
      <c r="AI14" s="132">
        <f>IF(AI13+AH16&lt;0,0,IF(AH16&lt;0,(AH16+AI13)*Исх!$C$20,AI13*Исх!$C$20))</f>
        <v>0</v>
      </c>
      <c r="AJ14" s="132">
        <f>IF(AJ13+AI16&lt;0,0,IF(AI16&lt;0,(AI16+AJ13)*Исх!$C$20,AJ13*Исх!$C$20))</f>
        <v>0</v>
      </c>
      <c r="AK14" s="132">
        <f>IF(AK13+AJ16&lt;0,0,IF(AJ16&lt;0,(AJ16+AK13)*Исх!$C$20,AK13*Исх!$C$20))</f>
        <v>757.2436158110836</v>
      </c>
      <c r="AL14" s="132">
        <f>IF(AL13+AK16&lt;0,0,IF(AK16&lt;0,(AK16+AL13)*Исх!$C$20,AL13*Исх!$C$20))</f>
        <v>682.8264568977762</v>
      </c>
      <c r="AM14" s="132">
        <f>IF(AM13+AL16&lt;0,0,IF(AL16&lt;0,(AL16+AM13)*Исх!$C$20,AM13*Исх!$C$20))</f>
        <v>226.2102366678752</v>
      </c>
      <c r="AN14" s="132">
        <f>IF(AN13+AM16&lt;0,0,IF(AM16&lt;0,(AM16+AN13)*Исх!$C$20,AN13*Исх!$C$20))</f>
        <v>226.30967656853778</v>
      </c>
      <c r="AO14" s="132">
        <f>IF(AO13+AN16&lt;0,0,IF(AN16&lt;0,(AN16+AO13)*Исх!$C$20,AO13*Исх!$C$20))</f>
        <v>169.32031110671596</v>
      </c>
      <c r="AP14" s="97">
        <f t="shared" si="8"/>
        <v>2161.28149408708</v>
      </c>
      <c r="AQ14" s="132">
        <f>IF(AQ13+AP16&lt;0,0,IF(AP16&lt;0,(AP16+AQ13)*Исх!$C$20,AQ13*Исх!$C$20))</f>
        <v>3016.754709362527</v>
      </c>
      <c r="AR14" s="132">
        <f>IF(AR13+AQ16&lt;0,0,IF(AQ16&lt;0,(AQ16+AR13)*Исх!$C$20,AR13*Исх!$C$20))</f>
        <v>2902.6140004469</v>
      </c>
      <c r="AS14" s="132">
        <f>IF(AS13+AR16&lt;0,0,IF(AR16&lt;0,(AR16+AS13)*Исх!$C$20,AS13*Исх!$C$20))</f>
        <v>2783.112653172238</v>
      </c>
      <c r="AT14" s="132">
        <f>IF(AT13+AS16&lt;0,0,IF(AS16&lt;0,(AS16+AT13)*Исх!$C$20,AT13*Исх!$C$20))</f>
        <v>2658.007676694</v>
      </c>
      <c r="AU14" s="132">
        <f>IF(AU13+AT16&lt;0,0,IF(AT16&lt;0,(AT16+AU13)*Исх!$C$20,AU13*Исх!$C$20))</f>
        <v>2526.994710440118</v>
      </c>
    </row>
    <row r="15" spans="1:47" ht="15" customHeight="1">
      <c r="A15" s="101" t="s">
        <v>4</v>
      </c>
      <c r="B15" s="96">
        <f>B13-B14</f>
        <v>63797.57618867108</v>
      </c>
      <c r="C15" s="100"/>
      <c r="D15" s="99">
        <f aca="true" t="shared" si="12" ref="D15:Q15">D13-D14</f>
        <v>0</v>
      </c>
      <c r="E15" s="99">
        <f>E13-E14</f>
        <v>0</v>
      </c>
      <c r="F15" s="99">
        <f t="shared" si="12"/>
        <v>0</v>
      </c>
      <c r="G15" s="99">
        <f t="shared" si="12"/>
        <v>0</v>
      </c>
      <c r="H15" s="99">
        <f t="shared" si="12"/>
        <v>0</v>
      </c>
      <c r="I15" s="99">
        <f t="shared" si="12"/>
        <v>0</v>
      </c>
      <c r="J15" s="99">
        <f t="shared" si="12"/>
        <v>0</v>
      </c>
      <c r="K15" s="99">
        <f t="shared" si="12"/>
        <v>0</v>
      </c>
      <c r="L15" s="99">
        <f t="shared" si="12"/>
        <v>0</v>
      </c>
      <c r="M15" s="99">
        <f t="shared" si="12"/>
        <v>0</v>
      </c>
      <c r="N15" s="99">
        <f t="shared" si="12"/>
        <v>-14.692196750000003</v>
      </c>
      <c r="O15" s="99">
        <f t="shared" si="12"/>
        <v>-40.97551850000001</v>
      </c>
      <c r="P15" s="97">
        <f t="shared" si="6"/>
        <v>-55.66771525000001</v>
      </c>
      <c r="Q15" s="99">
        <f t="shared" si="12"/>
        <v>-517.3465284642858</v>
      </c>
      <c r="R15" s="99">
        <f aca="true" t="shared" si="13" ref="R15:AR15">R13-R14</f>
        <v>-517.3465284642858</v>
      </c>
      <c r="S15" s="99">
        <f t="shared" si="13"/>
        <v>-517.3465284642858</v>
      </c>
      <c r="T15" s="99">
        <f t="shared" si="13"/>
        <v>-517.3465284642858</v>
      </c>
      <c r="U15" s="99">
        <f t="shared" si="13"/>
        <v>-517.3465284642858</v>
      </c>
      <c r="V15" s="99">
        <f t="shared" si="13"/>
        <v>-834.6963474642856</v>
      </c>
      <c r="W15" s="99">
        <f t="shared" si="13"/>
        <v>-834.6963474642856</v>
      </c>
      <c r="X15" s="99">
        <f t="shared" si="13"/>
        <v>1930.0093063491959</v>
      </c>
      <c r="Y15" s="99">
        <f t="shared" si="13"/>
        <v>1324.3185343093319</v>
      </c>
      <c r="Z15" s="99">
        <f t="shared" si="13"/>
        <v>115.82783380306381</v>
      </c>
      <c r="AA15" s="99">
        <f t="shared" si="13"/>
        <v>116.2915138390816</v>
      </c>
      <c r="AB15" s="99">
        <f t="shared" si="13"/>
        <v>-34.36106275326138</v>
      </c>
      <c r="AC15" s="97">
        <f t="shared" si="7"/>
        <v>-804.0392117025887</v>
      </c>
      <c r="AD15" s="99">
        <f aca="true" t="shared" si="14" ref="AD15:AO15">AD13-AD14</f>
        <v>270.3633778040354</v>
      </c>
      <c r="AE15" s="99">
        <f t="shared" si="14"/>
        <v>270.83521966672555</v>
      </c>
      <c r="AF15" s="99">
        <f t="shared" si="14"/>
        <v>271.30981394028134</v>
      </c>
      <c r="AG15" s="99">
        <f t="shared" si="14"/>
        <v>226.8694444526555</v>
      </c>
      <c r="AH15" s="99">
        <f t="shared" si="14"/>
        <v>217.81385922925492</v>
      </c>
      <c r="AI15" s="99">
        <f t="shared" si="14"/>
        <v>-583.5905091762896</v>
      </c>
      <c r="AJ15" s="99">
        <f t="shared" si="14"/>
        <v>-583.1047437626514</v>
      </c>
      <c r="AK15" s="99">
        <f t="shared" si="14"/>
        <v>3798.184928042911</v>
      </c>
      <c r="AL15" s="99">
        <f t="shared" si="14"/>
        <v>2731.305827591105</v>
      </c>
      <c r="AM15" s="99">
        <f t="shared" si="14"/>
        <v>904.8409466715008</v>
      </c>
      <c r="AN15" s="99">
        <f t="shared" si="14"/>
        <v>905.2387062741511</v>
      </c>
      <c r="AO15" s="99">
        <f t="shared" si="14"/>
        <v>677.2812444268639</v>
      </c>
      <c r="AP15" s="97">
        <f t="shared" si="8"/>
        <v>9107.348115160545</v>
      </c>
      <c r="AQ15" s="99">
        <f t="shared" si="13"/>
        <v>12067.018837450107</v>
      </c>
      <c r="AR15" s="99">
        <f t="shared" si="13"/>
        <v>11610.456001787597</v>
      </c>
      <c r="AS15" s="99">
        <f>AS13-AS14</f>
        <v>11132.45061268895</v>
      </c>
      <c r="AT15" s="99">
        <f>AT13-AT14</f>
        <v>10632.030706775999</v>
      </c>
      <c r="AU15" s="99">
        <f>AU13-AU14</f>
        <v>10107.978841760472</v>
      </c>
    </row>
    <row r="16" spans="1:47" ht="15" customHeight="1">
      <c r="A16" s="101" t="s">
        <v>32</v>
      </c>
      <c r="B16" s="102">
        <f>AU16</f>
        <v>63797.57618867108</v>
      </c>
      <c r="C16" s="103"/>
      <c r="D16" s="99">
        <f>C16+D15</f>
        <v>0</v>
      </c>
      <c r="E16" s="99">
        <f>D16+E15</f>
        <v>0</v>
      </c>
      <c r="F16" s="99">
        <f aca="true" t="shared" si="15" ref="F16:O16">E16+F15</f>
        <v>0</v>
      </c>
      <c r="G16" s="99">
        <f t="shared" si="15"/>
        <v>0</v>
      </c>
      <c r="H16" s="99">
        <f t="shared" si="15"/>
        <v>0</v>
      </c>
      <c r="I16" s="99">
        <f t="shared" si="15"/>
        <v>0</v>
      </c>
      <c r="J16" s="99">
        <f t="shared" si="15"/>
        <v>0</v>
      </c>
      <c r="K16" s="99">
        <f t="shared" si="15"/>
        <v>0</v>
      </c>
      <c r="L16" s="99">
        <f t="shared" si="15"/>
        <v>0</v>
      </c>
      <c r="M16" s="99">
        <f t="shared" si="15"/>
        <v>0</v>
      </c>
      <c r="N16" s="99">
        <f t="shared" si="15"/>
        <v>-14.692196750000003</v>
      </c>
      <c r="O16" s="99">
        <f t="shared" si="15"/>
        <v>-55.66771525000001</v>
      </c>
      <c r="P16" s="97">
        <f>O16</f>
        <v>-55.66771525000001</v>
      </c>
      <c r="Q16" s="99">
        <f>P16+Q15</f>
        <v>-573.0142437142858</v>
      </c>
      <c r="R16" s="99">
        <f aca="true" t="shared" si="16" ref="R16:AA16">Q16+R15</f>
        <v>-1090.3607721785716</v>
      </c>
      <c r="S16" s="99">
        <f t="shared" si="16"/>
        <v>-1607.7073006428573</v>
      </c>
      <c r="T16" s="99">
        <f t="shared" si="16"/>
        <v>-2125.053829107143</v>
      </c>
      <c r="U16" s="99">
        <f t="shared" si="16"/>
        <v>-2642.4003575714287</v>
      </c>
      <c r="V16" s="99">
        <f t="shared" si="16"/>
        <v>-3477.0967050357144</v>
      </c>
      <c r="W16" s="99">
        <f t="shared" si="16"/>
        <v>-4311.7930525</v>
      </c>
      <c r="X16" s="99">
        <f t="shared" si="16"/>
        <v>-2381.7837461508043</v>
      </c>
      <c r="Y16" s="99">
        <f t="shared" si="16"/>
        <v>-1057.4652118414724</v>
      </c>
      <c r="Z16" s="99">
        <f t="shared" si="16"/>
        <v>-941.6373780384085</v>
      </c>
      <c r="AA16" s="99">
        <f t="shared" si="16"/>
        <v>-825.3458641993269</v>
      </c>
      <c r="AB16" s="99">
        <f>AA16+AB15</f>
        <v>-859.7069269525883</v>
      </c>
      <c r="AC16" s="97">
        <f>AB16</f>
        <v>-859.7069269525883</v>
      </c>
      <c r="AD16" s="99">
        <f aca="true" t="shared" si="17" ref="AD16:AO16">AC16+AD15</f>
        <v>-589.3435491485529</v>
      </c>
      <c r="AE16" s="99">
        <f t="shared" si="17"/>
        <v>-318.5083294818274</v>
      </c>
      <c r="AF16" s="99">
        <f t="shared" si="17"/>
        <v>-47.198515541546044</v>
      </c>
      <c r="AG16" s="99">
        <f t="shared" si="17"/>
        <v>179.67092891110946</v>
      </c>
      <c r="AH16" s="99">
        <f t="shared" si="17"/>
        <v>397.48478814036434</v>
      </c>
      <c r="AI16" s="99">
        <f t="shared" si="17"/>
        <v>-186.10572103592528</v>
      </c>
      <c r="AJ16" s="99">
        <f t="shared" si="17"/>
        <v>-769.2104647985767</v>
      </c>
      <c r="AK16" s="99">
        <f t="shared" si="17"/>
        <v>3028.9744632443344</v>
      </c>
      <c r="AL16" s="99">
        <f t="shared" si="17"/>
        <v>5760.280290835439</v>
      </c>
      <c r="AM16" s="99">
        <f t="shared" si="17"/>
        <v>6665.12123750694</v>
      </c>
      <c r="AN16" s="99">
        <f t="shared" si="17"/>
        <v>7570.359943781091</v>
      </c>
      <c r="AO16" s="99">
        <f t="shared" si="17"/>
        <v>8247.641188207956</v>
      </c>
      <c r="AP16" s="97">
        <f>AO16</f>
        <v>8247.641188207956</v>
      </c>
      <c r="AQ16" s="99">
        <f>AP16+AQ15</f>
        <v>20314.660025658064</v>
      </c>
      <c r="AR16" s="99">
        <f>AQ16+AR15</f>
        <v>31925.116027445663</v>
      </c>
      <c r="AS16" s="99">
        <f>AR16+AS15</f>
        <v>43057.56664013461</v>
      </c>
      <c r="AT16" s="99">
        <f>AS16+AT15</f>
        <v>53689.59734691061</v>
      </c>
      <c r="AU16" s="99">
        <f>AT16+AU15</f>
        <v>63797.57618867108</v>
      </c>
    </row>
    <row r="17" spans="1:190" ht="15" customHeight="1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</row>
    <row r="18" spans="1:47" ht="12.75">
      <c r="A18" s="106" t="s">
        <v>53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</row>
    <row r="19" spans="1:60" s="110" customFormat="1" ht="12.75">
      <c r="A19" s="331" t="s">
        <v>3</v>
      </c>
      <c r="B19" s="334" t="s">
        <v>89</v>
      </c>
      <c r="C19" s="107"/>
      <c r="D19" s="324">
        <f>D3</f>
        <v>2013</v>
      </c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7"/>
      <c r="Q19" s="324">
        <f>Q3</f>
        <v>2014</v>
      </c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7"/>
      <c r="AD19" s="323">
        <f>AD3</f>
        <v>2015</v>
      </c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5"/>
      <c r="AQ19" s="108">
        <f>AQ3</f>
        <v>2016</v>
      </c>
      <c r="AR19" s="108">
        <f>AR3</f>
        <v>2017</v>
      </c>
      <c r="AS19" s="108">
        <f>AS3</f>
        <v>2018</v>
      </c>
      <c r="AT19" s="108">
        <f>AT3</f>
        <v>2019</v>
      </c>
      <c r="AU19" s="108">
        <f>AU3</f>
        <v>2020</v>
      </c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</row>
    <row r="20" spans="1:60" s="110" customFormat="1" ht="12.75">
      <c r="A20" s="332"/>
      <c r="B20" s="335"/>
      <c r="C20" s="111"/>
      <c r="D20" s="112">
        <f>D4</f>
        <v>1</v>
      </c>
      <c r="E20" s="112">
        <f aca="true" t="shared" si="18" ref="E20:O20">E4</f>
        <v>2</v>
      </c>
      <c r="F20" s="112">
        <f t="shared" si="18"/>
        <v>3</v>
      </c>
      <c r="G20" s="112">
        <f t="shared" si="18"/>
        <v>4</v>
      </c>
      <c r="H20" s="112">
        <f t="shared" si="18"/>
        <v>5</v>
      </c>
      <c r="I20" s="112">
        <f t="shared" si="18"/>
        <v>6</v>
      </c>
      <c r="J20" s="112">
        <f t="shared" si="18"/>
        <v>7</v>
      </c>
      <c r="K20" s="112">
        <f t="shared" si="18"/>
        <v>8</v>
      </c>
      <c r="L20" s="112">
        <f t="shared" si="18"/>
        <v>9</v>
      </c>
      <c r="M20" s="112">
        <f t="shared" si="18"/>
        <v>10</v>
      </c>
      <c r="N20" s="112">
        <f t="shared" si="18"/>
        <v>11</v>
      </c>
      <c r="O20" s="112">
        <f t="shared" si="18"/>
        <v>12</v>
      </c>
      <c r="P20" s="113" t="s">
        <v>0</v>
      </c>
      <c r="Q20" s="112">
        <f>Q4</f>
        <v>1</v>
      </c>
      <c r="R20" s="112">
        <f aca="true" t="shared" si="19" ref="R20:AB20">R4</f>
        <v>2</v>
      </c>
      <c r="S20" s="112">
        <f t="shared" si="19"/>
        <v>3</v>
      </c>
      <c r="T20" s="112">
        <f t="shared" si="19"/>
        <v>4</v>
      </c>
      <c r="U20" s="112">
        <f t="shared" si="19"/>
        <v>5</v>
      </c>
      <c r="V20" s="112">
        <f t="shared" si="19"/>
        <v>6</v>
      </c>
      <c r="W20" s="112">
        <f t="shared" si="19"/>
        <v>7</v>
      </c>
      <c r="X20" s="112">
        <f t="shared" si="19"/>
        <v>8</v>
      </c>
      <c r="Y20" s="112">
        <f t="shared" si="19"/>
        <v>9</v>
      </c>
      <c r="Z20" s="112">
        <f t="shared" si="19"/>
        <v>10</v>
      </c>
      <c r="AA20" s="112">
        <f t="shared" si="19"/>
        <v>11</v>
      </c>
      <c r="AB20" s="112">
        <f t="shared" si="19"/>
        <v>12</v>
      </c>
      <c r="AC20" s="113" t="s">
        <v>0</v>
      </c>
      <c r="AD20" s="112">
        <f>AD4</f>
        <v>1</v>
      </c>
      <c r="AE20" s="112">
        <f aca="true" t="shared" si="20" ref="AE20:AO20">AE4</f>
        <v>2</v>
      </c>
      <c r="AF20" s="112">
        <f t="shared" si="20"/>
        <v>3</v>
      </c>
      <c r="AG20" s="112">
        <f t="shared" si="20"/>
        <v>4</v>
      </c>
      <c r="AH20" s="112">
        <f t="shared" si="20"/>
        <v>5</v>
      </c>
      <c r="AI20" s="112">
        <f t="shared" si="20"/>
        <v>6</v>
      </c>
      <c r="AJ20" s="112">
        <f t="shared" si="20"/>
        <v>7</v>
      </c>
      <c r="AK20" s="112">
        <f t="shared" si="20"/>
        <v>8</v>
      </c>
      <c r="AL20" s="112">
        <f t="shared" si="20"/>
        <v>9</v>
      </c>
      <c r="AM20" s="112">
        <f t="shared" si="20"/>
        <v>10</v>
      </c>
      <c r="AN20" s="112">
        <f t="shared" si="20"/>
        <v>11</v>
      </c>
      <c r="AO20" s="112">
        <f t="shared" si="20"/>
        <v>12</v>
      </c>
      <c r="AP20" s="113" t="s">
        <v>0</v>
      </c>
      <c r="AQ20" s="113" t="s">
        <v>111</v>
      </c>
      <c r="AR20" s="113" t="s">
        <v>111</v>
      </c>
      <c r="AS20" s="113" t="s">
        <v>111</v>
      </c>
      <c r="AT20" s="113" t="s">
        <v>111</v>
      </c>
      <c r="AU20" s="113" t="s">
        <v>111</v>
      </c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</row>
    <row r="21" spans="1:60" s="110" customFormat="1" ht="12.75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</row>
    <row r="22" spans="1:60" s="110" customFormat="1" ht="12.75">
      <c r="A22" s="114" t="s">
        <v>162</v>
      </c>
      <c r="B22" s="96">
        <f>P22+AC22+AP22+AQ22+AR22+AS22+AT22+AU22</f>
        <v>65010.4704</v>
      </c>
      <c r="C22" s="116"/>
      <c r="D22" s="116">
        <f aca="true" t="shared" si="21" ref="D22:O22">D5*ндс</f>
        <v>0</v>
      </c>
      <c r="E22" s="116">
        <f t="shared" si="21"/>
        <v>0</v>
      </c>
      <c r="F22" s="116">
        <f t="shared" si="21"/>
        <v>0</v>
      </c>
      <c r="G22" s="116">
        <f t="shared" si="21"/>
        <v>0</v>
      </c>
      <c r="H22" s="116">
        <f t="shared" si="21"/>
        <v>0</v>
      </c>
      <c r="I22" s="116">
        <f t="shared" si="21"/>
        <v>0</v>
      </c>
      <c r="J22" s="116">
        <f t="shared" si="21"/>
        <v>0</v>
      </c>
      <c r="K22" s="116">
        <f t="shared" si="21"/>
        <v>0</v>
      </c>
      <c r="L22" s="116">
        <f t="shared" si="21"/>
        <v>0</v>
      </c>
      <c r="M22" s="116">
        <f t="shared" si="21"/>
        <v>0</v>
      </c>
      <c r="N22" s="116">
        <f t="shared" si="21"/>
        <v>0</v>
      </c>
      <c r="O22" s="116">
        <f t="shared" si="21"/>
        <v>0</v>
      </c>
      <c r="P22" s="117">
        <f>SUM(D22:O22)</f>
        <v>0</v>
      </c>
      <c r="Q22" s="116">
        <f aca="true" t="shared" si="22" ref="Q22:AB22">Q5*ндс</f>
        <v>223.94879999999995</v>
      </c>
      <c r="R22" s="116">
        <f t="shared" si="22"/>
        <v>223.94879999999995</v>
      </c>
      <c r="S22" s="116">
        <f t="shared" si="22"/>
        <v>223.94879999999995</v>
      </c>
      <c r="T22" s="116">
        <f t="shared" si="22"/>
        <v>223.94879999999995</v>
      </c>
      <c r="U22" s="116">
        <f t="shared" si="22"/>
        <v>223.94879999999995</v>
      </c>
      <c r="V22" s="116">
        <f t="shared" si="22"/>
        <v>125.97119999999997</v>
      </c>
      <c r="W22" s="116">
        <f t="shared" si="22"/>
        <v>125.97119999999997</v>
      </c>
      <c r="X22" s="116">
        <f t="shared" si="22"/>
        <v>979.7759999999996</v>
      </c>
      <c r="Y22" s="116">
        <f t="shared" si="22"/>
        <v>793.1519999999999</v>
      </c>
      <c r="Z22" s="116">
        <f t="shared" si="22"/>
        <v>419.9039999999998</v>
      </c>
      <c r="AA22" s="116">
        <f t="shared" si="22"/>
        <v>419.9039999999998</v>
      </c>
      <c r="AB22" s="116">
        <f t="shared" si="22"/>
        <v>373.24799999999993</v>
      </c>
      <c r="AC22" s="117">
        <f>SUM(Q22:AB22)</f>
        <v>4357.670399999999</v>
      </c>
      <c r="AD22" s="116">
        <f aca="true" t="shared" si="23" ref="AD22:AO22">AD5*ндс</f>
        <v>528.7679999999999</v>
      </c>
      <c r="AE22" s="116">
        <f t="shared" si="23"/>
        <v>528.7679999999999</v>
      </c>
      <c r="AF22" s="116">
        <f t="shared" si="23"/>
        <v>528.7679999999999</v>
      </c>
      <c r="AG22" s="116">
        <f t="shared" si="23"/>
        <v>528.7679999999999</v>
      </c>
      <c r="AH22" s="116">
        <f t="shared" si="23"/>
        <v>528.7679999999999</v>
      </c>
      <c r="AI22" s="116">
        <f t="shared" si="23"/>
        <v>264.38399999999996</v>
      </c>
      <c r="AJ22" s="116">
        <f t="shared" si="23"/>
        <v>264.38399999999996</v>
      </c>
      <c r="AK22" s="116">
        <f t="shared" si="23"/>
        <v>1850.6879999999996</v>
      </c>
      <c r="AL22" s="116">
        <f t="shared" si="23"/>
        <v>1498.176</v>
      </c>
      <c r="AM22" s="116">
        <f t="shared" si="23"/>
        <v>793.1519999999999</v>
      </c>
      <c r="AN22" s="116">
        <f t="shared" si="23"/>
        <v>793.1519999999999</v>
      </c>
      <c r="AO22" s="116">
        <f t="shared" si="23"/>
        <v>705.0239999999999</v>
      </c>
      <c r="AP22" s="117">
        <f>SUM(AD22:AO22)</f>
        <v>8812.8</v>
      </c>
      <c r="AQ22" s="116">
        <f>AQ5*ндс</f>
        <v>10368</v>
      </c>
      <c r="AR22" s="116">
        <f>AR5*ндс</f>
        <v>10368</v>
      </c>
      <c r="AS22" s="116">
        <f>AS5*ндс</f>
        <v>10368</v>
      </c>
      <c r="AT22" s="116">
        <f>AT5*ндс</f>
        <v>10368</v>
      </c>
      <c r="AU22" s="116">
        <f>AU5*ндс</f>
        <v>10368</v>
      </c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</row>
    <row r="23" spans="1:60" s="110" customFormat="1" ht="12.75">
      <c r="A23" s="114" t="s">
        <v>163</v>
      </c>
      <c r="B23" s="96">
        <f>P23+AC23+AP23+AQ23+AR23+AS23+AT23+AU23</f>
        <v>45205.09578225763</v>
      </c>
      <c r="C23" s="116"/>
      <c r="D23" s="116"/>
      <c r="E23" s="116"/>
      <c r="F23" s="116"/>
      <c r="G23" s="116"/>
      <c r="H23" s="116"/>
      <c r="I23" s="283">
        <f>('1-Ф3'!I12/Исх!$C$19-'2-ф2'!I8)*ндс</f>
        <v>0</v>
      </c>
      <c r="J23" s="116"/>
      <c r="K23" s="116"/>
      <c r="L23" s="116"/>
      <c r="M23" s="116"/>
      <c r="N23" s="116"/>
      <c r="O23" s="116">
        <f>('1-Ф3'!O12/Исх!$C$19)*ндс</f>
        <v>237.68103857142853</v>
      </c>
      <c r="P23" s="117">
        <f>SUM(D23:O23)</f>
        <v>237.68103857142853</v>
      </c>
      <c r="Q23" s="116">
        <f>('1-Ф3'!Q12/Исх!$C$19+Q10-Пост!$D$5-Пост!$D$18-Пост!$D$21)*ндс</f>
        <v>195.3931328571428</v>
      </c>
      <c r="R23" s="116">
        <f>('1-Ф3'!R12/Исх!$C$19+R10-Пост!$D$5-Пост!$D$18-Пост!$D$21)*ндс</f>
        <v>195.3931328571428</v>
      </c>
      <c r="S23" s="116">
        <f>('1-Ф3'!S12/Исх!$C$19+S10-Пост!$D$5-Пост!$D$18-Пост!$D$21)*ндс</f>
        <v>195.3931328571428</v>
      </c>
      <c r="T23" s="116">
        <f>('1-Ф3'!T12/Исх!$C$19+T10-Пост!$D$5-Пост!$D$18-Пост!$D$21)*ндс</f>
        <v>248.2111414285714</v>
      </c>
      <c r="U23" s="116">
        <f>('1-Ф3'!U12/Исх!$C$19+U10-Пост!$D$5-Пост!$D$18-Пост!$D$21)*ндс</f>
        <v>248.2111414285714</v>
      </c>
      <c r="V23" s="116">
        <f>('1-Ф3'!V12/Исх!$C$19+V10-Пост!$D$5-Пост!$D$18-Пост!$D$21)*ндс</f>
        <v>248.2111414285714</v>
      </c>
      <c r="W23" s="116">
        <f>('1-Ф3'!W12/Исх!$C$19+W10-Пост!$D$5-Пост!$D$18-Пост!$D$21)*ндс</f>
        <v>301.02914999999996</v>
      </c>
      <c r="X23" s="116">
        <f>('1-Ф3'!X12/Исх!$C$19+X10-Пост!$D$5-Пост!$D$18-Пост!$D$21)*ндс</f>
        <v>301.02914999999996</v>
      </c>
      <c r="Y23" s="116">
        <f>('1-Ф3'!Y12/Исх!$C$19+Y10-Пост!$D$5-Пост!$D$18-Пост!$D$21)*ндс</f>
        <v>301.02914999999996</v>
      </c>
      <c r="Z23" s="116">
        <f>('1-Ф3'!Z12/Исх!$C$19+Z10-Пост!$D$5-Пост!$D$18-Пост!$D$21)*ндс</f>
        <v>353.8471585714285</v>
      </c>
      <c r="AA23" s="116">
        <f>('1-Ф3'!AA12/Исх!$C$19+AA10-Пост!$D$5-Пост!$D$18-Пост!$D$21)*ндс</f>
        <v>353.8471585714285</v>
      </c>
      <c r="AB23" s="116">
        <f>('1-Ф3'!AB12/Исх!$C$19+AB10-Пост!$D$5-Пост!$D$18-Пост!$D$21)*ндс</f>
        <v>353.8471585714285</v>
      </c>
      <c r="AC23" s="117">
        <f>SUM(Q23:AB23)</f>
        <v>3295.4417485714284</v>
      </c>
      <c r="AD23" s="116">
        <f>('1-Ф3'!AD12/Исх!$C$19+AD10-Пост!$E$5-Пост!$E$18-Пост!$E$21)*ндс</f>
        <v>425.55220285714273</v>
      </c>
      <c r="AE23" s="116">
        <f>('1-Ф3'!AE12/Исх!$C$19+AE10-Пост!$E$5-Пост!$E$18-Пост!$E$21)*ндс</f>
        <v>425.55220285714273</v>
      </c>
      <c r="AF23" s="116">
        <f>('1-Ф3'!AF12/Исх!$C$19+AF10-Пост!$E$5-Пост!$E$18-Пост!$E$21)*ндс</f>
        <v>425.55220285714273</v>
      </c>
      <c r="AG23" s="116">
        <f>('1-Ф3'!AG12/Исх!$C$19+AG10-Пост!$E$5-Пост!$E$18-Пост!$E$21)*ндс</f>
        <v>478.37021142857134</v>
      </c>
      <c r="AH23" s="116">
        <f>('1-Ф3'!AH12/Исх!$C$19+AH10-Пост!$E$5-Пост!$E$18-Пост!$E$21)*ндс</f>
        <v>478.37021142857134</v>
      </c>
      <c r="AI23" s="116">
        <f>('1-Ф3'!AI12/Исх!$C$19+AI10-Пост!$E$5-Пост!$E$18-Пост!$E$21)*ндс</f>
        <v>478.37021142857134</v>
      </c>
      <c r="AJ23" s="116">
        <f>('1-Ф3'!AJ12/Исх!$C$19+AJ10-Пост!$E$5-Пост!$E$18-Пост!$E$21)*ндс</f>
        <v>531.1882199999999</v>
      </c>
      <c r="AK23" s="116">
        <f>('1-Ф3'!AK12/Исх!$C$19+AK10-Пост!$E$5-Пост!$E$18-Пост!$E$21)*ндс</f>
        <v>531.1882199999999</v>
      </c>
      <c r="AL23" s="116">
        <f>('1-Ф3'!AL12/Исх!$C$19+AL10-Пост!$E$5-Пост!$E$18-Пост!$E$21)*ндс</f>
        <v>531.1882199999999</v>
      </c>
      <c r="AM23" s="116">
        <f>('1-Ф3'!AM12/Исх!$C$19+AM10-Пост!$E$5-Пост!$E$18-Пост!$E$21)*ндс</f>
        <v>584.0062285714283</v>
      </c>
      <c r="AN23" s="116">
        <f>('1-Ф3'!AN12/Исх!$C$19+AN10-Пост!$E$5-Пост!$E$18-Пост!$E$21)*ндс</f>
        <v>584.0062285714283</v>
      </c>
      <c r="AO23" s="116">
        <f>('1-Ф3'!AO12/Исх!$C$19+AO10-Пост!$E$5-Пост!$E$18-Пост!$E$21)*ндс</f>
        <v>584.0062285714283</v>
      </c>
      <c r="AP23" s="117">
        <f>SUM(AD23:AO23)</f>
        <v>6057.350588571428</v>
      </c>
      <c r="AQ23" s="116">
        <f>(AQ7+AQ10-(Пост!F5+Пост!F18+Пост!F21)*12)*ндс</f>
        <v>7099.800107142856</v>
      </c>
      <c r="AR23" s="116">
        <f>(AR7+AR10-(Пост!G5+Пост!G18+Пост!G21)*12)*ндс</f>
        <v>7110.798489642857</v>
      </c>
      <c r="AS23" s="116">
        <f>(AS7+AS10-(Пост!H5+Пост!H18+Пост!H21)*12)*ндс</f>
        <v>7122.346791267855</v>
      </c>
      <c r="AT23" s="116">
        <f>(AT7+AT10-(Пост!I5+Пост!I18+Пост!I21)*12)*ндс</f>
        <v>7134.472507974106</v>
      </c>
      <c r="AU23" s="116">
        <f>(AU7+AU10-(Пост!J5+Пост!J18+Пост!J21)*12)*ндс</f>
        <v>7147.2045105156685</v>
      </c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</row>
    <row r="24" spans="1:60" s="110" customFormat="1" ht="12.75">
      <c r="A24" s="114" t="s">
        <v>164</v>
      </c>
      <c r="B24" s="96">
        <f>P24+AC24+AP24+AQ24+AR24+AS24+AT24+AU24</f>
        <v>752.6115642857142</v>
      </c>
      <c r="C24" s="116"/>
      <c r="D24" s="116">
        <f>Инв!E16/Исх!$C$19*ндс</f>
        <v>0</v>
      </c>
      <c r="E24" s="116">
        <f>Инв!F16/Исх!$C$19*ндс</f>
        <v>0</v>
      </c>
      <c r="F24" s="116">
        <f>Инв!G16/Исх!$C$19*ндс</f>
        <v>0</v>
      </c>
      <c r="G24" s="116">
        <f>Инв!H16/Исх!$C$19*ндс</f>
        <v>0</v>
      </c>
      <c r="H24" s="116">
        <f>Инв!I16/Исх!$C$19*ндс</f>
        <v>0</v>
      </c>
      <c r="I24" s="116">
        <f>Инв!J16/Исх!$C$19*ндс</f>
        <v>0</v>
      </c>
      <c r="J24" s="116">
        <f>Инв!K16/Исх!$C$19*ндс</f>
        <v>0</v>
      </c>
      <c r="K24" s="116">
        <f>Инв!L16/Исх!$C$19*ндс</f>
        <v>0</v>
      </c>
      <c r="L24" s="116">
        <f>Инв!M16/Исх!$C$19*ндс</f>
        <v>0</v>
      </c>
      <c r="M24" s="116">
        <f>Инв!N16/Исх!$C$19*ндс</f>
        <v>269.856675</v>
      </c>
      <c r="N24" s="116">
        <f>Инв!O16/Исх!$C$19*ндс</f>
        <v>0</v>
      </c>
      <c r="O24" s="116">
        <f>Инв!P16/Исх!$C$19*ндс</f>
        <v>482.7548892857142</v>
      </c>
      <c r="P24" s="117">
        <f>SUM(D24:O24)</f>
        <v>752.6115642857142</v>
      </c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7">
        <f>SUM(Q24:AB24)</f>
        <v>0</v>
      </c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7">
        <f>SUM(AD24:AO24)</f>
        <v>0</v>
      </c>
      <c r="AQ24" s="117"/>
      <c r="AR24" s="117"/>
      <c r="AS24" s="117"/>
      <c r="AT24" s="117"/>
      <c r="AU24" s="117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</row>
    <row r="25" spans="1:60" s="110" customFormat="1" ht="12.75">
      <c r="A25" s="114" t="s">
        <v>30</v>
      </c>
      <c r="B25" s="96">
        <f>P25+AC25+AP25+AQ25+AR25+AS25+AT25+AU25</f>
        <v>19052.763053456656</v>
      </c>
      <c r="C25" s="116"/>
      <c r="D25" s="116">
        <f>D22-D23-D24</f>
        <v>0</v>
      </c>
      <c r="E25" s="116">
        <f aca="true" t="shared" si="24" ref="E25:O25">E22-E23-E24</f>
        <v>0</v>
      </c>
      <c r="F25" s="116">
        <f t="shared" si="24"/>
        <v>0</v>
      </c>
      <c r="G25" s="116">
        <f t="shared" si="24"/>
        <v>0</v>
      </c>
      <c r="H25" s="116">
        <f t="shared" si="24"/>
        <v>0</v>
      </c>
      <c r="I25" s="116">
        <f t="shared" si="24"/>
        <v>0</v>
      </c>
      <c r="J25" s="116">
        <f t="shared" si="24"/>
        <v>0</v>
      </c>
      <c r="K25" s="116">
        <f t="shared" si="24"/>
        <v>0</v>
      </c>
      <c r="L25" s="116">
        <f t="shared" si="24"/>
        <v>0</v>
      </c>
      <c r="M25" s="116">
        <f t="shared" si="24"/>
        <v>-269.856675</v>
      </c>
      <c r="N25" s="116">
        <f t="shared" si="24"/>
        <v>0</v>
      </c>
      <c r="O25" s="116">
        <f t="shared" si="24"/>
        <v>-720.4359278571428</v>
      </c>
      <c r="P25" s="117">
        <f>SUM(D25:O25)</f>
        <v>-990.2926028571428</v>
      </c>
      <c r="Q25" s="116">
        <f aca="true" t="shared" si="25" ref="Q25:AA25">Q22-Q23-Q24</f>
        <v>28.555667142857146</v>
      </c>
      <c r="R25" s="116">
        <f t="shared" si="25"/>
        <v>28.555667142857146</v>
      </c>
      <c r="S25" s="116">
        <f t="shared" si="25"/>
        <v>28.555667142857146</v>
      </c>
      <c r="T25" s="116">
        <f t="shared" si="25"/>
        <v>-24.26234142857146</v>
      </c>
      <c r="U25" s="116">
        <f t="shared" si="25"/>
        <v>-24.26234142857146</v>
      </c>
      <c r="V25" s="116">
        <f t="shared" si="25"/>
        <v>-122.23994142857144</v>
      </c>
      <c r="W25" s="116">
        <f t="shared" si="25"/>
        <v>-175.05795</v>
      </c>
      <c r="X25" s="116">
        <f t="shared" si="25"/>
        <v>678.7468499999997</v>
      </c>
      <c r="Y25" s="116">
        <f t="shared" si="25"/>
        <v>492.12284999999997</v>
      </c>
      <c r="Z25" s="116">
        <f t="shared" si="25"/>
        <v>66.05684142857132</v>
      </c>
      <c r="AA25" s="116">
        <f t="shared" si="25"/>
        <v>66.05684142857132</v>
      </c>
      <c r="AB25" s="116">
        <f>AB22-AB23-AB24</f>
        <v>19.400841428571425</v>
      </c>
      <c r="AC25" s="117">
        <f>SUM(Q25:AB25)</f>
        <v>1062.2286514285706</v>
      </c>
      <c r="AD25" s="116">
        <f>AD22-AD23-AD24</f>
        <v>103.21579714285718</v>
      </c>
      <c r="AE25" s="116">
        <f aca="true" t="shared" si="26" ref="AE25:AO25">AE22-AE23-AE24</f>
        <v>103.21579714285718</v>
      </c>
      <c r="AF25" s="116">
        <f t="shared" si="26"/>
        <v>103.21579714285718</v>
      </c>
      <c r="AG25" s="116">
        <f t="shared" si="26"/>
        <v>50.39778857142858</v>
      </c>
      <c r="AH25" s="116">
        <f t="shared" si="26"/>
        <v>50.39778857142858</v>
      </c>
      <c r="AI25" s="116">
        <f t="shared" si="26"/>
        <v>-213.98621142857138</v>
      </c>
      <c r="AJ25" s="116">
        <f t="shared" si="26"/>
        <v>-266.80421999999993</v>
      </c>
      <c r="AK25" s="116">
        <f t="shared" si="26"/>
        <v>1319.4997799999996</v>
      </c>
      <c r="AL25" s="116">
        <f t="shared" si="26"/>
        <v>966.98778</v>
      </c>
      <c r="AM25" s="116">
        <f t="shared" si="26"/>
        <v>209.1457714285716</v>
      </c>
      <c r="AN25" s="116">
        <f t="shared" si="26"/>
        <v>209.1457714285716</v>
      </c>
      <c r="AO25" s="116">
        <f t="shared" si="26"/>
        <v>121.01777142857156</v>
      </c>
      <c r="AP25" s="117">
        <f>SUM(AD25:AO25)</f>
        <v>2755.4494114285717</v>
      </c>
      <c r="AQ25" s="116">
        <f>AQ22-AQ23-AQ24</f>
        <v>3268.199892857144</v>
      </c>
      <c r="AR25" s="116">
        <f>AR22-AR23-AR24</f>
        <v>3257.201510357143</v>
      </c>
      <c r="AS25" s="116">
        <f>AS22-AS23-AS24</f>
        <v>3245.653208732145</v>
      </c>
      <c r="AT25" s="116">
        <f>AT22-AT23-AT24</f>
        <v>3233.5274920258944</v>
      </c>
      <c r="AU25" s="116">
        <f>AU22-AU23-AU24</f>
        <v>3220.7954894843315</v>
      </c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</row>
    <row r="26" spans="1:60" s="110" customFormat="1" ht="12.75">
      <c r="A26" s="114" t="s">
        <v>165</v>
      </c>
      <c r="B26" s="102">
        <f>AU26</f>
        <v>19052.763053456656</v>
      </c>
      <c r="C26" s="116"/>
      <c r="D26" s="116">
        <f>D25</f>
        <v>0</v>
      </c>
      <c r="E26" s="116">
        <f>D26+E25</f>
        <v>0</v>
      </c>
      <c r="F26" s="116">
        <f aca="true" t="shared" si="27" ref="F26:O26">E26+F25</f>
        <v>0</v>
      </c>
      <c r="G26" s="116">
        <f t="shared" si="27"/>
        <v>0</v>
      </c>
      <c r="H26" s="116">
        <f t="shared" si="27"/>
        <v>0</v>
      </c>
      <c r="I26" s="116">
        <f t="shared" si="27"/>
        <v>0</v>
      </c>
      <c r="J26" s="116">
        <f t="shared" si="27"/>
        <v>0</v>
      </c>
      <c r="K26" s="116">
        <f t="shared" si="27"/>
        <v>0</v>
      </c>
      <c r="L26" s="116">
        <f t="shared" si="27"/>
        <v>0</v>
      </c>
      <c r="M26" s="116">
        <f t="shared" si="27"/>
        <v>-269.856675</v>
      </c>
      <c r="N26" s="116">
        <f t="shared" si="27"/>
        <v>-269.856675</v>
      </c>
      <c r="O26" s="116">
        <f t="shared" si="27"/>
        <v>-990.2926028571428</v>
      </c>
      <c r="P26" s="117">
        <f>O26</f>
        <v>-990.2926028571428</v>
      </c>
      <c r="Q26" s="116">
        <f aca="true" t="shared" si="28" ref="Q26:AB26">P26+Q25</f>
        <v>-961.7369357142857</v>
      </c>
      <c r="R26" s="116">
        <f t="shared" si="28"/>
        <v>-933.1812685714285</v>
      </c>
      <c r="S26" s="116">
        <f t="shared" si="28"/>
        <v>-904.6256014285714</v>
      </c>
      <c r="T26" s="116">
        <f t="shared" si="28"/>
        <v>-928.8879428571429</v>
      </c>
      <c r="U26" s="116">
        <f t="shared" si="28"/>
        <v>-953.1502842857144</v>
      </c>
      <c r="V26" s="116">
        <f t="shared" si="28"/>
        <v>-1075.3902257142859</v>
      </c>
      <c r="W26" s="116">
        <f t="shared" si="28"/>
        <v>-1250.4481757142858</v>
      </c>
      <c r="X26" s="116">
        <f t="shared" si="28"/>
        <v>-571.7013257142861</v>
      </c>
      <c r="Y26" s="116">
        <f t="shared" si="28"/>
        <v>-79.57847571428613</v>
      </c>
      <c r="Z26" s="116">
        <f t="shared" si="28"/>
        <v>-13.52163428571481</v>
      </c>
      <c r="AA26" s="116">
        <f t="shared" si="28"/>
        <v>52.53520714285651</v>
      </c>
      <c r="AB26" s="116">
        <f t="shared" si="28"/>
        <v>71.93604857142793</v>
      </c>
      <c r="AC26" s="117">
        <f>AB26</f>
        <v>71.93604857142793</v>
      </c>
      <c r="AD26" s="116">
        <f aca="true" t="shared" si="29" ref="AD26:AO26">AC26+AD25</f>
        <v>175.15184571428512</v>
      </c>
      <c r="AE26" s="116">
        <f t="shared" si="29"/>
        <v>278.3676428571423</v>
      </c>
      <c r="AF26" s="116">
        <f t="shared" si="29"/>
        <v>381.5834399999995</v>
      </c>
      <c r="AG26" s="116">
        <f t="shared" si="29"/>
        <v>431.98122857142806</v>
      </c>
      <c r="AH26" s="116">
        <f t="shared" si="29"/>
        <v>482.37901714285664</v>
      </c>
      <c r="AI26" s="116">
        <f t="shared" si="29"/>
        <v>268.39280571428526</v>
      </c>
      <c r="AJ26" s="116">
        <f t="shared" si="29"/>
        <v>1.5885857142853297</v>
      </c>
      <c r="AK26" s="116">
        <f t="shared" si="29"/>
        <v>1321.088365714285</v>
      </c>
      <c r="AL26" s="116">
        <f t="shared" si="29"/>
        <v>2288.076145714285</v>
      </c>
      <c r="AM26" s="116">
        <f t="shared" si="29"/>
        <v>2497.2219171428565</v>
      </c>
      <c r="AN26" s="116">
        <f t="shared" si="29"/>
        <v>2706.367688571428</v>
      </c>
      <c r="AO26" s="116">
        <f t="shared" si="29"/>
        <v>2827.3854599999995</v>
      </c>
      <c r="AP26" s="117">
        <f>AO26</f>
        <v>2827.3854599999995</v>
      </c>
      <c r="AQ26" s="116">
        <f>AP26+AQ25</f>
        <v>6095.585352857143</v>
      </c>
      <c r="AR26" s="116">
        <f>AQ26+AR25</f>
        <v>9352.786863214285</v>
      </c>
      <c r="AS26" s="116">
        <f>AR26+AS25</f>
        <v>12598.44007194643</v>
      </c>
      <c r="AT26" s="116">
        <f>AS26+AT25</f>
        <v>15831.967563972325</v>
      </c>
      <c r="AU26" s="116">
        <f>AT26+AU25</f>
        <v>19052.763053456656</v>
      </c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</row>
    <row r="27" spans="1:60" s="110" customFormat="1" ht="12.75">
      <c r="A27" s="114" t="s">
        <v>166</v>
      </c>
      <c r="B27" s="96">
        <f>P27+AC27+AP27+AQ27+AR27+AS27+AT27+AU27</f>
        <v>19052.763053456656</v>
      </c>
      <c r="C27" s="116"/>
      <c r="D27" s="116">
        <f>IF(C26+D25&gt;=0,IF(C26&lt;0,C26+D25,D25),0)</f>
        <v>0</v>
      </c>
      <c r="E27" s="116">
        <f aca="true" t="shared" si="30" ref="E27:AU27">IF(D26+E25&gt;=0,IF(D26&lt;0,D26+E25,E25),0)</f>
        <v>0</v>
      </c>
      <c r="F27" s="116">
        <f t="shared" si="30"/>
        <v>0</v>
      </c>
      <c r="G27" s="116">
        <f t="shared" si="30"/>
        <v>0</v>
      </c>
      <c r="H27" s="116">
        <f t="shared" si="30"/>
        <v>0</v>
      </c>
      <c r="I27" s="116">
        <f t="shared" si="30"/>
        <v>0</v>
      </c>
      <c r="J27" s="116">
        <f t="shared" si="30"/>
        <v>0</v>
      </c>
      <c r="K27" s="116">
        <f t="shared" si="30"/>
        <v>0</v>
      </c>
      <c r="L27" s="116">
        <f t="shared" si="30"/>
        <v>0</v>
      </c>
      <c r="M27" s="116">
        <f t="shared" si="30"/>
        <v>0</v>
      </c>
      <c r="N27" s="116">
        <f t="shared" si="30"/>
        <v>0</v>
      </c>
      <c r="O27" s="116">
        <f t="shared" si="30"/>
        <v>0</v>
      </c>
      <c r="P27" s="117">
        <f>SUM(D27:O27)</f>
        <v>0</v>
      </c>
      <c r="Q27" s="116">
        <f t="shared" si="30"/>
        <v>0</v>
      </c>
      <c r="R27" s="116">
        <f t="shared" si="30"/>
        <v>0</v>
      </c>
      <c r="S27" s="116">
        <f t="shared" si="30"/>
        <v>0</v>
      </c>
      <c r="T27" s="116">
        <f t="shared" si="30"/>
        <v>0</v>
      </c>
      <c r="U27" s="116">
        <f t="shared" si="30"/>
        <v>0</v>
      </c>
      <c r="V27" s="116">
        <f t="shared" si="30"/>
        <v>0</v>
      </c>
      <c r="W27" s="116">
        <f t="shared" si="30"/>
        <v>0</v>
      </c>
      <c r="X27" s="116">
        <f t="shared" si="30"/>
        <v>0</v>
      </c>
      <c r="Y27" s="116">
        <f t="shared" si="30"/>
        <v>0</v>
      </c>
      <c r="Z27" s="116">
        <f t="shared" si="30"/>
        <v>0</v>
      </c>
      <c r="AA27" s="116">
        <f t="shared" si="30"/>
        <v>52.53520714285651</v>
      </c>
      <c r="AB27" s="116">
        <f t="shared" si="30"/>
        <v>19.400841428571425</v>
      </c>
      <c r="AC27" s="117">
        <f>SUM(Q27:AB27)</f>
        <v>71.93604857142793</v>
      </c>
      <c r="AD27" s="116">
        <f aca="true" t="shared" si="31" ref="AD27:AO27">IF(AC26+AD25&gt;=0,IF(AC26&lt;0,AC26+AD25,AD25),0)</f>
        <v>103.21579714285718</v>
      </c>
      <c r="AE27" s="116">
        <f t="shared" si="31"/>
        <v>103.21579714285718</v>
      </c>
      <c r="AF27" s="116">
        <f t="shared" si="31"/>
        <v>103.21579714285718</v>
      </c>
      <c r="AG27" s="116">
        <f t="shared" si="31"/>
        <v>50.39778857142858</v>
      </c>
      <c r="AH27" s="116">
        <f t="shared" si="31"/>
        <v>50.39778857142858</v>
      </c>
      <c r="AI27" s="116">
        <f t="shared" si="31"/>
        <v>-213.98621142857138</v>
      </c>
      <c r="AJ27" s="116">
        <f t="shared" si="31"/>
        <v>-266.80421999999993</v>
      </c>
      <c r="AK27" s="116">
        <f t="shared" si="31"/>
        <v>1319.4997799999996</v>
      </c>
      <c r="AL27" s="116">
        <f t="shared" si="31"/>
        <v>966.98778</v>
      </c>
      <c r="AM27" s="116">
        <f t="shared" si="31"/>
        <v>209.1457714285716</v>
      </c>
      <c r="AN27" s="116">
        <f t="shared" si="31"/>
        <v>209.1457714285716</v>
      </c>
      <c r="AO27" s="116">
        <f t="shared" si="31"/>
        <v>121.01777142857156</v>
      </c>
      <c r="AP27" s="117">
        <f>SUM(AD27:AO27)</f>
        <v>2755.4494114285717</v>
      </c>
      <c r="AQ27" s="116">
        <f t="shared" si="30"/>
        <v>3268.199892857144</v>
      </c>
      <c r="AR27" s="116">
        <f t="shared" si="30"/>
        <v>3257.201510357143</v>
      </c>
      <c r="AS27" s="116">
        <f t="shared" si="30"/>
        <v>3245.653208732145</v>
      </c>
      <c r="AT27" s="116">
        <f t="shared" si="30"/>
        <v>3233.5274920258944</v>
      </c>
      <c r="AU27" s="116">
        <f t="shared" si="30"/>
        <v>3220.7954894843315</v>
      </c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</row>
    <row r="29" ht="12.75">
      <c r="B29" s="274">
        <f>B22-B23-B24</f>
        <v>19052.763053456652</v>
      </c>
    </row>
    <row r="30" ht="12.75">
      <c r="B30" s="313"/>
    </row>
  </sheetData>
  <sheetProtection/>
  <mergeCells count="10">
    <mergeCell ref="AD3:AP3"/>
    <mergeCell ref="AD19:AP19"/>
    <mergeCell ref="Q19:AC19"/>
    <mergeCell ref="Q3:AC3"/>
    <mergeCell ref="A3:A4"/>
    <mergeCell ref="A19:A20"/>
    <mergeCell ref="B3:B4"/>
    <mergeCell ref="D19:P19"/>
    <mergeCell ref="B19:B20"/>
    <mergeCell ref="D3:P3"/>
  </mergeCells>
  <printOptions/>
  <pageMargins left="0.35433070866141736" right="0.2362204724409449" top="0.7480314960629921" bottom="0.2362204724409449" header="0.4724409448818898" footer="0.15748031496062992"/>
  <pageSetup horizontalDpi="600" verticalDpi="600" orientation="landscape" paperSize="9" r:id="rId1"/>
  <headerFooter alignWithMargins="0">
    <oddHeader>&amp;RПриложение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N41"/>
  <sheetViews>
    <sheetView showGridLines="0" showZeros="0" zoomScalePageLayoutView="0" workbookViewId="0" topLeftCell="A1">
      <pane xSplit="3" ySplit="4" topLeftCell="X8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D14" sqref="AD14"/>
    </sheetView>
  </sheetViews>
  <sheetFormatPr defaultColWidth="10.125" defaultRowHeight="12.75" outlineLevelCol="1"/>
  <cols>
    <col min="1" max="1" width="38.125" style="119" customWidth="1"/>
    <col min="2" max="2" width="2.375" style="119" customWidth="1"/>
    <col min="3" max="3" width="7.125" style="119" customWidth="1"/>
    <col min="4" max="4" width="11.375" style="119" hidden="1" customWidth="1" outlineLevel="1"/>
    <col min="5" max="11" width="7.375" style="119" hidden="1" customWidth="1" outlineLevel="1"/>
    <col min="12" max="12" width="8.00390625" style="119" hidden="1" customWidth="1" outlineLevel="1"/>
    <col min="13" max="13" width="7.875" style="119" hidden="1" customWidth="1" outlineLevel="1"/>
    <col min="14" max="15" width="8.125" style="119" hidden="1" customWidth="1" outlineLevel="1"/>
    <col min="16" max="16" width="9.875" style="119" customWidth="1" collapsed="1"/>
    <col min="17" max="20" width="8.375" style="119" hidden="1" customWidth="1" outlineLevel="1"/>
    <col min="21" max="26" width="9.125" style="119" hidden="1" customWidth="1" outlineLevel="1"/>
    <col min="27" max="27" width="9.00390625" style="119" hidden="1" customWidth="1" outlineLevel="1"/>
    <col min="28" max="28" width="9.125" style="119" hidden="1" customWidth="1" outlineLevel="1"/>
    <col min="29" max="29" width="10.125" style="119" customWidth="1" collapsed="1"/>
    <col min="30" max="39" width="10.25390625" style="119" hidden="1" customWidth="1" outlineLevel="1"/>
    <col min="40" max="40" width="9.00390625" style="119" hidden="1" customWidth="1" outlineLevel="1"/>
    <col min="41" max="41" width="9.125" style="119" hidden="1" customWidth="1" outlineLevel="1"/>
    <col min="42" max="42" width="9.875" style="119" customWidth="1" collapsed="1"/>
    <col min="43" max="43" width="9.75390625" style="119" customWidth="1"/>
    <col min="44" max="44" width="9.625" style="119" customWidth="1"/>
    <col min="45" max="47" width="9.75390625" style="119" customWidth="1"/>
    <col min="48" max="16384" width="10.125" style="119" customWidth="1"/>
  </cols>
  <sheetData>
    <row r="1" spans="1:3" ht="12.75">
      <c r="A1" s="62" t="s">
        <v>113</v>
      </c>
      <c r="B1" s="118"/>
      <c r="C1" s="118"/>
    </row>
    <row r="2" spans="1:47" ht="17.25" customHeight="1">
      <c r="A2" s="62"/>
      <c r="C2" s="12" t="str">
        <f>Исх!$C$10</f>
        <v>тыс.тг.</v>
      </c>
      <c r="L2" s="120"/>
      <c r="P2" s="120"/>
      <c r="AC2" s="120"/>
      <c r="AP2" s="120"/>
      <c r="AQ2" s="120"/>
      <c r="AR2" s="120"/>
      <c r="AS2" s="120"/>
      <c r="AT2" s="120"/>
      <c r="AU2" s="120"/>
    </row>
    <row r="3" spans="1:47" ht="12.75" customHeight="1">
      <c r="A3" s="336" t="s">
        <v>3</v>
      </c>
      <c r="B3" s="338"/>
      <c r="C3" s="122"/>
      <c r="D3" s="339">
        <v>2013</v>
      </c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>
        <v>2014</v>
      </c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40">
        <f>Q3+1</f>
        <v>2015</v>
      </c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2"/>
      <c r="AQ3" s="123">
        <f>AD3+1</f>
        <v>2016</v>
      </c>
      <c r="AR3" s="123">
        <f>AQ3+1</f>
        <v>2017</v>
      </c>
      <c r="AS3" s="123">
        <f>AR3+1</f>
        <v>2018</v>
      </c>
      <c r="AT3" s="123">
        <f>AS3+1</f>
        <v>2019</v>
      </c>
      <c r="AU3" s="123">
        <f>AT3+1</f>
        <v>2020</v>
      </c>
    </row>
    <row r="4" spans="1:47" ht="12.75">
      <c r="A4" s="337"/>
      <c r="B4" s="338"/>
      <c r="C4" s="124"/>
      <c r="D4" s="125">
        <v>1</v>
      </c>
      <c r="E4" s="125">
        <f>D4+1</f>
        <v>2</v>
      </c>
      <c r="F4" s="125">
        <f aca="true" t="shared" si="0" ref="F4:O4">E4+1</f>
        <v>3</v>
      </c>
      <c r="G4" s="125">
        <f t="shared" si="0"/>
        <v>4</v>
      </c>
      <c r="H4" s="125">
        <f t="shared" si="0"/>
        <v>5</v>
      </c>
      <c r="I4" s="125">
        <f t="shared" si="0"/>
        <v>6</v>
      </c>
      <c r="J4" s="125">
        <f t="shared" si="0"/>
        <v>7</v>
      </c>
      <c r="K4" s="125">
        <f t="shared" si="0"/>
        <v>8</v>
      </c>
      <c r="L4" s="125">
        <f t="shared" si="0"/>
        <v>9</v>
      </c>
      <c r="M4" s="125">
        <f t="shared" si="0"/>
        <v>10</v>
      </c>
      <c r="N4" s="125">
        <f t="shared" si="0"/>
        <v>11</v>
      </c>
      <c r="O4" s="125">
        <f t="shared" si="0"/>
        <v>12</v>
      </c>
      <c r="P4" s="121" t="s">
        <v>0</v>
      </c>
      <c r="Q4" s="125">
        <v>1</v>
      </c>
      <c r="R4" s="125">
        <f aca="true" t="shared" si="1" ref="R4:AB4">Q4+1</f>
        <v>2</v>
      </c>
      <c r="S4" s="125">
        <f t="shared" si="1"/>
        <v>3</v>
      </c>
      <c r="T4" s="125">
        <f t="shared" si="1"/>
        <v>4</v>
      </c>
      <c r="U4" s="125">
        <f t="shared" si="1"/>
        <v>5</v>
      </c>
      <c r="V4" s="125">
        <f t="shared" si="1"/>
        <v>6</v>
      </c>
      <c r="W4" s="125">
        <f t="shared" si="1"/>
        <v>7</v>
      </c>
      <c r="X4" s="125">
        <f t="shared" si="1"/>
        <v>8</v>
      </c>
      <c r="Y4" s="125">
        <f t="shared" si="1"/>
        <v>9</v>
      </c>
      <c r="Z4" s="125">
        <f t="shared" si="1"/>
        <v>10</v>
      </c>
      <c r="AA4" s="125">
        <f t="shared" si="1"/>
        <v>11</v>
      </c>
      <c r="AB4" s="125">
        <f t="shared" si="1"/>
        <v>12</v>
      </c>
      <c r="AC4" s="121" t="s">
        <v>0</v>
      </c>
      <c r="AD4" s="125">
        <v>1</v>
      </c>
      <c r="AE4" s="125">
        <f aca="true" t="shared" si="2" ref="AE4:AO4">AD4+1</f>
        <v>2</v>
      </c>
      <c r="AF4" s="125">
        <f t="shared" si="2"/>
        <v>3</v>
      </c>
      <c r="AG4" s="125">
        <f t="shared" si="2"/>
        <v>4</v>
      </c>
      <c r="AH4" s="125">
        <f t="shared" si="2"/>
        <v>5</v>
      </c>
      <c r="AI4" s="125">
        <f t="shared" si="2"/>
        <v>6</v>
      </c>
      <c r="AJ4" s="125">
        <f t="shared" si="2"/>
        <v>7</v>
      </c>
      <c r="AK4" s="125">
        <f t="shared" si="2"/>
        <v>8</v>
      </c>
      <c r="AL4" s="125">
        <f t="shared" si="2"/>
        <v>9</v>
      </c>
      <c r="AM4" s="125">
        <f t="shared" si="2"/>
        <v>10</v>
      </c>
      <c r="AN4" s="125">
        <f t="shared" si="2"/>
        <v>11</v>
      </c>
      <c r="AO4" s="125">
        <f t="shared" si="2"/>
        <v>12</v>
      </c>
      <c r="AP4" s="121" t="s">
        <v>0</v>
      </c>
      <c r="AQ4" s="121" t="s">
        <v>111</v>
      </c>
      <c r="AR4" s="121" t="s">
        <v>111</v>
      </c>
      <c r="AS4" s="121" t="s">
        <v>111</v>
      </c>
      <c r="AT4" s="121" t="s">
        <v>111</v>
      </c>
      <c r="AU4" s="121" t="s">
        <v>111</v>
      </c>
    </row>
    <row r="5" spans="1:54" s="130" customFormat="1" ht="15" customHeight="1">
      <c r="A5" s="126" t="s">
        <v>114</v>
      </c>
      <c r="B5" s="127"/>
      <c r="C5" s="128">
        <f>C11+C6</f>
        <v>0</v>
      </c>
      <c r="D5" s="128">
        <f>D11+D6</f>
        <v>0</v>
      </c>
      <c r="E5" s="128">
        <f aca="true" t="shared" si="3" ref="E5:AT5">E11+E6</f>
        <v>0</v>
      </c>
      <c r="F5" s="128">
        <f t="shared" si="3"/>
        <v>0</v>
      </c>
      <c r="G5" s="128">
        <f t="shared" si="3"/>
        <v>0</v>
      </c>
      <c r="H5" s="128">
        <f t="shared" si="3"/>
        <v>0</v>
      </c>
      <c r="I5" s="128">
        <f t="shared" si="3"/>
        <v>0</v>
      </c>
      <c r="J5" s="128">
        <f t="shared" si="3"/>
        <v>0</v>
      </c>
      <c r="K5" s="128">
        <f t="shared" si="3"/>
        <v>0</v>
      </c>
      <c r="L5" s="128">
        <f t="shared" si="3"/>
        <v>0</v>
      </c>
      <c r="M5" s="128">
        <f t="shared" si="3"/>
        <v>2518.6623</v>
      </c>
      <c r="N5" s="128">
        <f t="shared" si="3"/>
        <v>7024.3746</v>
      </c>
      <c r="O5" s="128">
        <f t="shared" si="3"/>
        <v>9242.73096</v>
      </c>
      <c r="P5" s="128">
        <f t="shared" si="3"/>
        <v>9242.73096</v>
      </c>
      <c r="Q5" s="128">
        <f t="shared" si="3"/>
        <v>10245.264190035716</v>
      </c>
      <c r="R5" s="128">
        <f t="shared" si="3"/>
        <v>11247.797420071429</v>
      </c>
      <c r="S5" s="128">
        <f t="shared" si="3"/>
        <v>16346.558290107143</v>
      </c>
      <c r="T5" s="128">
        <f t="shared" si="3"/>
        <v>15870.187280142858</v>
      </c>
      <c r="U5" s="128">
        <f t="shared" si="3"/>
        <v>15393.816270178573</v>
      </c>
      <c r="V5" s="128">
        <f t="shared" si="3"/>
        <v>14600.095441214287</v>
      </c>
      <c r="W5" s="128">
        <f t="shared" si="3"/>
        <v>13806.374612250002</v>
      </c>
      <c r="X5" s="128">
        <f t="shared" si="3"/>
        <v>15734.39042898422</v>
      </c>
      <c r="Y5" s="128">
        <f t="shared" si="3"/>
        <v>16979.681948041383</v>
      </c>
      <c r="Z5" s="128">
        <f t="shared" si="3"/>
        <v>17016.02177566997</v>
      </c>
      <c r="AA5" s="128">
        <f t="shared" si="3"/>
        <v>17052.361603298556</v>
      </c>
      <c r="AB5" s="128">
        <f t="shared" si="3"/>
        <v>16937.58246949857</v>
      </c>
      <c r="AC5" s="128">
        <f t="shared" si="3"/>
        <v>16937.58246949857</v>
      </c>
      <c r="AD5" s="128">
        <f aca="true" t="shared" si="4" ref="AD5:AP5">AD11+AD6</f>
        <v>17127.058670841445</v>
      </c>
      <c r="AE5" s="128">
        <f t="shared" si="4"/>
        <v>17316.53487218432</v>
      </c>
      <c r="AF5" s="128">
        <f t="shared" si="4"/>
        <v>17506.011073527192</v>
      </c>
      <c r="AG5" s="128">
        <f t="shared" si="4"/>
        <v>17650.56954264229</v>
      </c>
      <c r="AH5" s="128">
        <f t="shared" si="4"/>
        <v>17785.59227917785</v>
      </c>
      <c r="AI5" s="128">
        <f t="shared" si="4"/>
        <v>17118.727699092153</v>
      </c>
      <c r="AJ5" s="128">
        <f t="shared" si="4"/>
        <v>16451.86311900645</v>
      </c>
      <c r="AK5" s="128">
        <f t="shared" si="4"/>
        <v>20165.799611681097</v>
      </c>
      <c r="AL5" s="128">
        <f t="shared" si="4"/>
        <v>22812.365554697626</v>
      </c>
      <c r="AM5" s="128">
        <f t="shared" si="4"/>
        <v>23631.972300801197</v>
      </c>
      <c r="AN5" s="128">
        <f t="shared" si="4"/>
        <v>24451.479607004105</v>
      </c>
      <c r="AO5" s="128">
        <f t="shared" si="4"/>
        <v>25042.529351525976</v>
      </c>
      <c r="AP5" s="128">
        <f t="shared" si="4"/>
        <v>25042.529351525976</v>
      </c>
      <c r="AQ5" s="128">
        <f t="shared" si="3"/>
        <v>36034.683289649365</v>
      </c>
      <c r="AR5" s="128">
        <f t="shared" si="3"/>
        <v>46492.57232162838</v>
      </c>
      <c r="AS5" s="128">
        <f t="shared" si="3"/>
        <v>56389.136805069065</v>
      </c>
      <c r="AT5" s="128">
        <f t="shared" si="3"/>
        <v>65695.93907438433</v>
      </c>
      <c r="AU5" s="128">
        <f>AU11+AU6</f>
        <v>74548.87290867112</v>
      </c>
      <c r="AV5" s="129"/>
      <c r="AW5" s="129"/>
      <c r="AX5" s="129"/>
      <c r="AY5" s="129"/>
      <c r="AZ5" s="129"/>
      <c r="BA5" s="129"/>
      <c r="BB5" s="129"/>
    </row>
    <row r="6" spans="1:47" s="130" customFormat="1" ht="15" customHeight="1">
      <c r="A6" s="126" t="s">
        <v>115</v>
      </c>
      <c r="B6" s="127"/>
      <c r="C6" s="128">
        <f>SUM(C7:C10)</f>
        <v>0</v>
      </c>
      <c r="D6" s="128">
        <f>SUM(D7:D10)</f>
        <v>0</v>
      </c>
      <c r="E6" s="128">
        <f aca="true" t="shared" si="5" ref="E6:AT6">SUM(E7:E10)</f>
        <v>0</v>
      </c>
      <c r="F6" s="128">
        <f t="shared" si="5"/>
        <v>0</v>
      </c>
      <c r="G6" s="128">
        <f t="shared" si="5"/>
        <v>0</v>
      </c>
      <c r="H6" s="128">
        <f t="shared" si="5"/>
        <v>0</v>
      </c>
      <c r="I6" s="128">
        <f t="shared" si="5"/>
        <v>0</v>
      </c>
      <c r="J6" s="128">
        <f t="shared" si="5"/>
        <v>0</v>
      </c>
      <c r="K6" s="128">
        <f t="shared" si="5"/>
        <v>0</v>
      </c>
      <c r="L6" s="128">
        <f t="shared" si="5"/>
        <v>0</v>
      </c>
      <c r="M6" s="128">
        <f t="shared" si="5"/>
        <v>2248.805625</v>
      </c>
      <c r="N6" s="128">
        <f t="shared" si="5"/>
        <v>6754.517925</v>
      </c>
      <c r="O6" s="128">
        <f t="shared" si="5"/>
        <v>1980.6753214285711</v>
      </c>
      <c r="P6" s="128">
        <f t="shared" si="5"/>
        <v>1980.6753214285711</v>
      </c>
      <c r="Q6" s="128">
        <f t="shared" si="5"/>
        <v>3064.0289105714282</v>
      </c>
      <c r="R6" s="128">
        <f t="shared" si="5"/>
        <v>4147.382499714286</v>
      </c>
      <c r="S6" s="128">
        <f t="shared" si="5"/>
        <v>9326.963728857143</v>
      </c>
      <c r="T6" s="128">
        <f t="shared" si="5"/>
        <v>8878.595069428571</v>
      </c>
      <c r="U6" s="128">
        <f t="shared" si="5"/>
        <v>8430.226410000001</v>
      </c>
      <c r="V6" s="128">
        <f t="shared" si="5"/>
        <v>7566.53033157143</v>
      </c>
      <c r="W6" s="128">
        <f t="shared" si="5"/>
        <v>6650.01624457143</v>
      </c>
      <c r="X6" s="128">
        <f t="shared" si="5"/>
        <v>9309.043603269933</v>
      </c>
      <c r="Y6" s="128">
        <f t="shared" si="5"/>
        <v>11098.722664291381</v>
      </c>
      <c r="Z6" s="128">
        <f t="shared" si="5"/>
        <v>11253.384025312826</v>
      </c>
      <c r="AA6" s="128">
        <f t="shared" si="5"/>
        <v>11355.510179191413</v>
      </c>
      <c r="AB6" s="128">
        <f t="shared" si="5"/>
        <v>11292.995737355714</v>
      </c>
      <c r="AC6" s="128">
        <f t="shared" si="5"/>
        <v>11292.995737355714</v>
      </c>
      <c r="AD6" s="128">
        <f aca="true" t="shared" si="6" ref="AD6:AP6">SUM(AD7:AD10)</f>
        <v>11534.736630662874</v>
      </c>
      <c r="AE6" s="128">
        <f t="shared" si="6"/>
        <v>11776.477523970032</v>
      </c>
      <c r="AF6" s="128">
        <f t="shared" si="6"/>
        <v>12018.218417277192</v>
      </c>
      <c r="AG6" s="128">
        <f t="shared" si="6"/>
        <v>12215.041578356575</v>
      </c>
      <c r="AH6" s="128">
        <f t="shared" si="6"/>
        <v>12402.32900685642</v>
      </c>
      <c r="AI6" s="128">
        <f t="shared" si="6"/>
        <v>11787.729118735007</v>
      </c>
      <c r="AJ6" s="128">
        <f t="shared" si="6"/>
        <v>11173.129230613593</v>
      </c>
      <c r="AK6" s="128">
        <f t="shared" si="6"/>
        <v>14939.330415252527</v>
      </c>
      <c r="AL6" s="128">
        <f t="shared" si="6"/>
        <v>17638.16105023334</v>
      </c>
      <c r="AM6" s="128">
        <f t="shared" si="6"/>
        <v>18510.032488301196</v>
      </c>
      <c r="AN6" s="128">
        <f t="shared" si="6"/>
        <v>19381.80448646839</v>
      </c>
      <c r="AO6" s="128">
        <f t="shared" si="6"/>
        <v>20025.118922954545</v>
      </c>
      <c r="AP6" s="128">
        <f t="shared" si="6"/>
        <v>20025.118922954545</v>
      </c>
      <c r="AQ6" s="128">
        <f t="shared" si="5"/>
        <v>31644.449164649363</v>
      </c>
      <c r="AR6" s="128">
        <f t="shared" si="5"/>
        <v>42729.51450019981</v>
      </c>
      <c r="AS6" s="128">
        <f t="shared" si="5"/>
        <v>53253.25528721192</v>
      </c>
      <c r="AT6" s="128">
        <f t="shared" si="5"/>
        <v>63187.23386009861</v>
      </c>
      <c r="AU6" s="128">
        <f>SUM(AU7:AU10)</f>
        <v>72667.34399795684</v>
      </c>
    </row>
    <row r="7" spans="1:47" ht="15" customHeight="1">
      <c r="A7" s="131" t="s">
        <v>116</v>
      </c>
      <c r="B7" s="127"/>
      <c r="C7" s="132"/>
      <c r="D7" s="132">
        <f>'1-Ф3'!D34</f>
        <v>0</v>
      </c>
      <c r="E7" s="132">
        <f>'1-Ф3'!E34</f>
        <v>0</v>
      </c>
      <c r="F7" s="132">
        <f>'1-Ф3'!F34</f>
        <v>0</v>
      </c>
      <c r="G7" s="132">
        <f>'1-Ф3'!G34</f>
        <v>0</v>
      </c>
      <c r="H7" s="132">
        <f>'1-Ф3'!H34</f>
        <v>0</v>
      </c>
      <c r="I7" s="132">
        <f>'1-Ф3'!I34</f>
        <v>0</v>
      </c>
      <c r="J7" s="132">
        <f>'1-Ф3'!J34</f>
        <v>0</v>
      </c>
      <c r="K7" s="132">
        <f>'1-Ф3'!K34</f>
        <v>0</v>
      </c>
      <c r="L7" s="132">
        <f>'1-Ф3'!L34</f>
        <v>0</v>
      </c>
      <c r="M7" s="132">
        <f>'1-Ф3'!M34</f>
        <v>0</v>
      </c>
      <c r="N7" s="132">
        <f>'1-Ф3'!N34</f>
        <v>4505.7123</v>
      </c>
      <c r="O7" s="132">
        <f>'1-Ф3'!O34</f>
        <v>0</v>
      </c>
      <c r="P7" s="132">
        <f>'1-Ф3'!P34</f>
        <v>0</v>
      </c>
      <c r="Q7" s="132">
        <f>'1-Ф3'!Q34</f>
        <v>903.7723599999999</v>
      </c>
      <c r="R7" s="132">
        <f>'1-Ф3'!R34</f>
        <v>1807.5447199999999</v>
      </c>
      <c r="S7" s="132">
        <f>'1-Ф3'!S34</f>
        <v>6807.54472</v>
      </c>
      <c r="T7" s="132">
        <f>'1-Ф3'!T34</f>
        <v>5739.44476</v>
      </c>
      <c r="U7" s="132">
        <f>'1-Ф3'!U34</f>
        <v>4671.344800000001</v>
      </c>
      <c r="V7" s="132">
        <f>'1-Ф3'!V34</f>
        <v>2688.7872400000006</v>
      </c>
      <c r="W7" s="132">
        <f>'1-Ф3'!W34</f>
        <v>213.26160000000073</v>
      </c>
      <c r="X7" s="132">
        <f>'1-Ф3'!X34</f>
        <v>5662.840411555646</v>
      </c>
      <c r="Y7" s="132">
        <f>'1-Ф3'!Y34</f>
        <v>9292.346771148521</v>
      </c>
      <c r="Z7" s="132">
        <f>'1-Ф3'!Z34</f>
        <v>8945.237050741394</v>
      </c>
      <c r="AA7" s="132">
        <f>'1-Ф3'!AA34</f>
        <v>8545.59212319141</v>
      </c>
      <c r="AB7" s="132">
        <f>'1-Ф3'!AB34</f>
        <v>7743.625561355712</v>
      </c>
      <c r="AC7" s="132">
        <f>'1-Ф3'!AC34</f>
        <v>7743.625561355712</v>
      </c>
      <c r="AD7" s="132">
        <f>'1-Ф3'!AD34</f>
        <v>7598.03439180573</v>
      </c>
      <c r="AE7" s="132">
        <f>'1-Ф3'!AE34</f>
        <v>7452.443222255746</v>
      </c>
      <c r="AF7" s="132">
        <f>'1-Ф3'!AF34</f>
        <v>7306.8520527057635</v>
      </c>
      <c r="AG7" s="132">
        <f>'1-Ф3'!AG34</f>
        <v>6676.1930794994305</v>
      </c>
      <c r="AH7" s="132">
        <f>'1-Ф3'!AH34</f>
        <v>6035.998373713561</v>
      </c>
      <c r="AI7" s="132">
        <f>'1-Ф3'!AI34</f>
        <v>3247.057132735006</v>
      </c>
      <c r="AJ7" s="132">
        <f>'1-Ф3'!AJ34</f>
        <v>17.965820327878163</v>
      </c>
      <c r="AK7" s="132">
        <f>'1-Ф3'!AK34</f>
        <v>9250.830892109667</v>
      </c>
      <c r="AL7" s="132">
        <f>'1-Ф3'!AL34</f>
        <v>15620.513122804763</v>
      </c>
      <c r="AM7" s="132">
        <f>'1-Ф3'!AM34</f>
        <v>16131.46150230119</v>
      </c>
      <c r="AN7" s="132">
        <f>'1-Ф3'!AN34</f>
        <v>16642.310441896956</v>
      </c>
      <c r="AO7" s="132">
        <f>'1-Ф3'!AO34</f>
        <v>16475.74874695454</v>
      </c>
      <c r="AP7" s="132">
        <f>'1-Ф3'!AP34</f>
        <v>16475.74874695454</v>
      </c>
      <c r="AQ7" s="132">
        <f>'1-Ф3'!AQ34</f>
        <v>28095.07898864936</v>
      </c>
      <c r="AR7" s="132">
        <f>'1-Ф3'!AR34</f>
        <v>39180.144324199806</v>
      </c>
      <c r="AS7" s="132">
        <f>'1-Ф3'!AS34</f>
        <v>49703.885111211916</v>
      </c>
      <c r="AT7" s="132">
        <f>'1-Ф3'!AT34</f>
        <v>59637.86368409861</v>
      </c>
      <c r="AU7" s="132">
        <f>'1-Ф3'!AU34</f>
        <v>69117.97382195684</v>
      </c>
    </row>
    <row r="8" spans="1:47" ht="12.75">
      <c r="A8" s="131" t="s">
        <v>117</v>
      </c>
      <c r="B8" s="127"/>
      <c r="C8" s="132"/>
      <c r="D8" s="132">
        <f>C8+'2-ф2'!D5-'1-Ф3'!D9/Исх!$C$19</f>
        <v>0</v>
      </c>
      <c r="E8" s="132">
        <f>D8+'2-ф2'!E5-'1-Ф3'!E9/Исх!$C$19</f>
        <v>0</v>
      </c>
      <c r="F8" s="132">
        <f>E8+'2-ф2'!F5-'1-Ф3'!F9/Исх!$C$19</f>
        <v>0</v>
      </c>
      <c r="G8" s="132">
        <f>F8+'2-ф2'!G5-'1-Ф3'!G9/Исх!$C$19</f>
        <v>0</v>
      </c>
      <c r="H8" s="132">
        <f>G8+'2-ф2'!H5-'1-Ф3'!H9/Исх!$C$19</f>
        <v>0</v>
      </c>
      <c r="I8" s="132">
        <f>H8+'2-ф2'!I5-'1-Ф3'!I9/Исх!$C$19</f>
        <v>0</v>
      </c>
      <c r="J8" s="132">
        <f>I8+'2-ф2'!J5-'1-Ф3'!J9/Исх!$C$19</f>
        <v>0</v>
      </c>
      <c r="K8" s="132">
        <f>Инв!L26/Исх!$C$19</f>
        <v>0</v>
      </c>
      <c r="L8" s="132">
        <f>Инв!M26/Исх!$C$19</f>
        <v>0</v>
      </c>
      <c r="M8" s="132">
        <f>Инв!N26/Исх!$C$19</f>
        <v>2248.805625</v>
      </c>
      <c r="N8" s="132">
        <f>Инв!O26/Исх!$C$19</f>
        <v>2248.805625</v>
      </c>
      <c r="O8" s="132">
        <f>Инв!P26/Исх!$C$19</f>
        <v>0</v>
      </c>
      <c r="P8" s="132">
        <f>O8</f>
        <v>0</v>
      </c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>
        <f>AB8</f>
        <v>0</v>
      </c>
      <c r="AD8" s="132">
        <f>AC8+'2-ф2'!AD5-'1-Ф3'!AD9/Исх!$C$19</f>
        <v>0</v>
      </c>
      <c r="AE8" s="132">
        <f>AD8+'2-ф2'!AE5-'1-Ф3'!AE9/Исх!$C$19</f>
        <v>0</v>
      </c>
      <c r="AF8" s="132">
        <f>AE8+'2-ф2'!AF5-'1-Ф3'!AF9/Исх!$C$19</f>
        <v>0</v>
      </c>
      <c r="AG8" s="132">
        <f>AF8+'2-ф2'!AG5-'1-Ф3'!AG9/Исх!$C$19</f>
        <v>0</v>
      </c>
      <c r="AH8" s="132">
        <f>AG8+'2-ф2'!AH5-'1-Ф3'!AH9/Исх!$C$19</f>
        <v>0</v>
      </c>
      <c r="AI8" s="132">
        <f>AH8+'2-ф2'!AI5-'1-Ф3'!AI9/Исх!$C$19</f>
        <v>0</v>
      </c>
      <c r="AJ8" s="132">
        <f>AI8+'2-ф2'!AJ5-'1-Ф3'!AJ9/Исх!$C$19</f>
        <v>0</v>
      </c>
      <c r="AK8" s="132">
        <f>AJ8+'2-ф2'!AK5-'1-Ф3'!AK9/Исх!$C$19</f>
        <v>0</v>
      </c>
      <c r="AL8" s="132">
        <f>AK8+'2-ф2'!AL5-'1-Ф3'!AL9/Исх!$C$19</f>
        <v>0</v>
      </c>
      <c r="AM8" s="132">
        <f>AL8+'2-ф2'!AM5-'1-Ф3'!AM9/Исх!$C$19</f>
        <v>0</v>
      </c>
      <c r="AN8" s="132">
        <f>AM8+'2-ф2'!AN5-'1-Ф3'!AN9/Исх!$C$19</f>
        <v>0</v>
      </c>
      <c r="AO8" s="132">
        <f>AN8+'2-ф2'!AO5-'1-Ф3'!AO9/Исх!$C$19</f>
        <v>0</v>
      </c>
      <c r="AP8" s="132">
        <f>AO8</f>
        <v>0</v>
      </c>
      <c r="AQ8" s="132">
        <f>AP8+'2-ф2'!AQ5-'1-Ф3'!AQ9/Исх!$C$19</f>
        <v>0</v>
      </c>
      <c r="AR8" s="132">
        <f>AQ8+'2-ф2'!AR5-'1-Ф3'!AR9/Исх!$C$19</f>
        <v>0</v>
      </c>
      <c r="AS8" s="132">
        <f>AR8+'2-ф2'!AS5-'1-Ф3'!AS9/Исх!$C$19</f>
        <v>0</v>
      </c>
      <c r="AT8" s="132">
        <f>AS8+'2-ф2'!AT5-'1-Ф3'!AT9/Исх!$C$19</f>
        <v>0</v>
      </c>
      <c r="AU8" s="132">
        <f>AT8+'2-ф2'!AU5-'1-Ф3'!AU9/Исх!$C$19</f>
        <v>0</v>
      </c>
    </row>
    <row r="9" spans="1:47" ht="15" customHeight="1">
      <c r="A9" s="131" t="s">
        <v>118</v>
      </c>
      <c r="B9" s="127"/>
      <c r="C9" s="132"/>
      <c r="D9" s="132">
        <f>C9+'1-Ф3'!D12/Исх!$C$19-'2-ф2'!D8</f>
        <v>0</v>
      </c>
      <c r="E9" s="132">
        <f>D9+'1-Ф3'!E12/Исх!$C$19-'2-ф2'!E8</f>
        <v>0</v>
      </c>
      <c r="F9" s="132">
        <f>E9+'1-Ф3'!F12/Исх!$C$19-'2-ф2'!F8</f>
        <v>0</v>
      </c>
      <c r="G9" s="132">
        <f>F9+'1-Ф3'!G12/Исх!$C$19-'2-ф2'!G8</f>
        <v>0</v>
      </c>
      <c r="H9" s="132">
        <f>G9+'1-Ф3'!H12/Исх!$C$19-'2-ф2'!H8</f>
        <v>0</v>
      </c>
      <c r="I9" s="132">
        <f>H9+'1-Ф3'!I12/Исх!$C$19-'2-ф2'!I8</f>
        <v>0</v>
      </c>
      <c r="J9" s="132">
        <f>I9+'1-Ф3'!J12/Исх!$C$19-'2-ф2'!J8</f>
        <v>0</v>
      </c>
      <c r="K9" s="132">
        <f>J9+'1-Ф3'!K12/Исх!$C$19-'2-ф2'!K8</f>
        <v>0</v>
      </c>
      <c r="L9" s="132">
        <f>K9+'1-Ф3'!L12/Исх!$C$19-'2-ф2'!L7</f>
        <v>0</v>
      </c>
      <c r="M9" s="132">
        <f>L9+'1-Ф3'!M12/Исх!$C$19-'2-ф2'!M7</f>
        <v>0</v>
      </c>
      <c r="N9" s="132">
        <f>M9+'1-Ф3'!N12/Исх!$C$19-'2-ф2'!N7</f>
        <v>0</v>
      </c>
      <c r="O9" s="132">
        <f>N9+'1-Ф3'!O12/Исх!$C$19-'2-ф2'!O7</f>
        <v>1980.6753214285711</v>
      </c>
      <c r="P9" s="132">
        <f>O9</f>
        <v>1980.6753214285711</v>
      </c>
      <c r="Q9" s="132">
        <f>P9+'1-Ф3'!Q12/Исх!$C$19-'2-ф2'!Q7</f>
        <v>2160.2565505714283</v>
      </c>
      <c r="R9" s="132">
        <f>Q9+'1-Ф3'!R12/Исх!$C$19-'2-ф2'!R7</f>
        <v>2339.8377797142857</v>
      </c>
      <c r="S9" s="132">
        <f>R9+'1-Ф3'!S12/Исх!$C$19-'2-ф2'!S7</f>
        <v>2519.419008857143</v>
      </c>
      <c r="T9" s="132">
        <f>S9+'1-Ф3'!T12/Исх!$C$19-'2-ф2'!T7</f>
        <v>3139.1503094285717</v>
      </c>
      <c r="U9" s="132">
        <f>T9+'1-Ф3'!U12/Исх!$C$19-'2-ф2'!U7</f>
        <v>3758.8816100000004</v>
      </c>
      <c r="V9" s="132">
        <f>U9+'1-Ф3'!V12/Исх!$C$19-'2-ф2'!V7</f>
        <v>4877.743091571429</v>
      </c>
      <c r="W9" s="132">
        <f>V9+'1-Ф3'!W12/Исх!$C$19-'2-ф2'!W7</f>
        <v>6436.75464457143</v>
      </c>
      <c r="X9" s="132">
        <f>W9+'1-Ф3'!X12/Исх!$C$19-'2-ф2'!X7</f>
        <v>3646.2031917142876</v>
      </c>
      <c r="Y9" s="132">
        <f>X9+'1-Ф3'!Y12/Исх!$C$19-'2-ф2'!Y7</f>
        <v>1806.3758931428597</v>
      </c>
      <c r="Z9" s="132">
        <f>Y9+'1-Ф3'!Z12/Исх!$C$19-'2-ф2'!Z7</f>
        <v>2308.1469745714307</v>
      </c>
      <c r="AA9" s="132">
        <f>Z9+'1-Ф3'!AA12/Исх!$C$19-'2-ф2'!AA7</f>
        <v>2809.918056000002</v>
      </c>
      <c r="AB9" s="132">
        <f>AA9+'1-Ф3'!AB12/Исх!$C$19-'2-ф2'!AB7</f>
        <v>3549.3701760000013</v>
      </c>
      <c r="AC9" s="132">
        <f>AB9</f>
        <v>3549.3701760000013</v>
      </c>
      <c r="AD9" s="132">
        <f>AC9+'1-Ф3'!AD12/Исх!$C$19-'2-ф2'!AD7</f>
        <v>3936.702238857144</v>
      </c>
      <c r="AE9" s="132">
        <f>AD9+'1-Ф3'!AE12/Исх!$C$19-'2-ф2'!AE7</f>
        <v>4324.034301714287</v>
      </c>
      <c r="AF9" s="132">
        <f>AE9+'1-Ф3'!AF12/Исх!$C$19-'2-ф2'!AF7</f>
        <v>4711.36636457143</v>
      </c>
      <c r="AG9" s="132">
        <f>AF9+'1-Ф3'!AG12/Исх!$C$19-'2-ф2'!AG7</f>
        <v>5538.8484988571445</v>
      </c>
      <c r="AH9" s="132">
        <f>AG9+'1-Ф3'!AH12/Исх!$C$19-'2-ф2'!AH7</f>
        <v>6366.3306331428585</v>
      </c>
      <c r="AI9" s="132">
        <f>AH9+'1-Ф3'!AI12/Исх!$C$19-'2-ф2'!AI7</f>
        <v>8540.671986000001</v>
      </c>
      <c r="AJ9" s="132">
        <f>AI9+'1-Ф3'!AJ12/Исх!$C$19-'2-ф2'!AJ7</f>
        <v>11155.163410285715</v>
      </c>
      <c r="AK9" s="132">
        <f>AJ9+'1-Ф3'!AK12/Исх!$C$19-'2-ф2'!AK7</f>
        <v>5688.49952314286</v>
      </c>
      <c r="AL9" s="132">
        <f>AK9+'1-Ф3'!AL12/Исх!$C$19-'2-ф2'!AL7</f>
        <v>2017.6479274285757</v>
      </c>
      <c r="AM9" s="132">
        <f>AL9+'1-Ф3'!AM12/Исх!$C$19-'2-ф2'!AM7</f>
        <v>2378.5709860000047</v>
      </c>
      <c r="AN9" s="132">
        <f>AM9+'1-Ф3'!AN12/Исх!$C$19-'2-ф2'!AN7</f>
        <v>2739.4940445714333</v>
      </c>
      <c r="AO9" s="132">
        <f>AN9+'1-Ф3'!AO12/Исх!$C$19-'2-ф2'!AO7</f>
        <v>3549.3701760000044</v>
      </c>
      <c r="AP9" s="132">
        <f>AO9</f>
        <v>3549.3701760000044</v>
      </c>
      <c r="AQ9" s="132">
        <f>AP9+'1-Ф3'!AQ12/Исх!$C$19-'2-ф2'!AQ7</f>
        <v>3549.370176000004</v>
      </c>
      <c r="AR9" s="132">
        <f>AQ9+'1-Ф3'!AR12/Исх!$C$19-'2-ф2'!AR7</f>
        <v>3549.370176000004</v>
      </c>
      <c r="AS9" s="132">
        <f>AR9+'1-Ф3'!AS12/Исх!$C$19-'2-ф2'!AS7</f>
        <v>3549.370176000004</v>
      </c>
      <c r="AT9" s="132">
        <f>AS9+'1-Ф3'!AT12/Исх!$C$19-'2-ф2'!AT7</f>
        <v>3549.370176000004</v>
      </c>
      <c r="AU9" s="132">
        <f>AT9+'1-Ф3'!AU12/Исх!$C$19-'2-ф2'!AU7</f>
        <v>3549.370176000004</v>
      </c>
    </row>
    <row r="10" spans="1:47" ht="15" customHeight="1">
      <c r="A10" s="131" t="s">
        <v>119</v>
      </c>
      <c r="B10" s="127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>
        <f>O10</f>
        <v>0</v>
      </c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>
        <f>AB10</f>
        <v>0</v>
      </c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>
        <f>AO10</f>
        <v>0</v>
      </c>
      <c r="AQ10" s="132"/>
      <c r="AR10" s="132"/>
      <c r="AS10" s="132"/>
      <c r="AT10" s="132"/>
      <c r="AU10" s="132"/>
    </row>
    <row r="11" spans="1:47" ht="15" customHeight="1">
      <c r="A11" s="126" t="s">
        <v>120</v>
      </c>
      <c r="B11" s="127"/>
      <c r="C11" s="128">
        <f aca="true" t="shared" si="7" ref="C11:AT11">SUM(C12:C14)</f>
        <v>0</v>
      </c>
      <c r="D11" s="128">
        <f t="shared" si="7"/>
        <v>0</v>
      </c>
      <c r="E11" s="128">
        <f t="shared" si="7"/>
        <v>0</v>
      </c>
      <c r="F11" s="128">
        <f t="shared" si="7"/>
        <v>0</v>
      </c>
      <c r="G11" s="128">
        <f t="shared" si="7"/>
        <v>0</v>
      </c>
      <c r="H11" s="128">
        <f t="shared" si="7"/>
        <v>0</v>
      </c>
      <c r="I11" s="128">
        <f t="shared" si="7"/>
        <v>0</v>
      </c>
      <c r="J11" s="128">
        <f t="shared" si="7"/>
        <v>0</v>
      </c>
      <c r="K11" s="128">
        <f t="shared" si="7"/>
        <v>0</v>
      </c>
      <c r="L11" s="128">
        <f t="shared" si="7"/>
        <v>0</v>
      </c>
      <c r="M11" s="128">
        <f t="shared" si="7"/>
        <v>269.856675</v>
      </c>
      <c r="N11" s="128">
        <f t="shared" si="7"/>
        <v>269.856675</v>
      </c>
      <c r="O11" s="128">
        <f t="shared" si="7"/>
        <v>7262.055638571429</v>
      </c>
      <c r="P11" s="128">
        <f t="shared" si="7"/>
        <v>7262.055638571429</v>
      </c>
      <c r="Q11" s="128">
        <f t="shared" si="7"/>
        <v>7181.235279464287</v>
      </c>
      <c r="R11" s="128">
        <f t="shared" si="7"/>
        <v>7100.414920357143</v>
      </c>
      <c r="S11" s="128">
        <f t="shared" si="7"/>
        <v>7019.59456125</v>
      </c>
      <c r="T11" s="128">
        <f t="shared" si="7"/>
        <v>6991.592210714286</v>
      </c>
      <c r="U11" s="128">
        <f t="shared" si="7"/>
        <v>6963.589860178572</v>
      </c>
      <c r="V11" s="128">
        <f t="shared" si="7"/>
        <v>7033.565109642857</v>
      </c>
      <c r="W11" s="128">
        <f t="shared" si="7"/>
        <v>7156.358367678572</v>
      </c>
      <c r="X11" s="128">
        <f t="shared" si="7"/>
        <v>6425.346825714287</v>
      </c>
      <c r="Y11" s="128">
        <f t="shared" si="7"/>
        <v>5880.959283750001</v>
      </c>
      <c r="Z11" s="128">
        <f t="shared" si="7"/>
        <v>5762.637750357144</v>
      </c>
      <c r="AA11" s="128">
        <f t="shared" si="7"/>
        <v>5696.851424107143</v>
      </c>
      <c r="AB11" s="128">
        <f t="shared" si="7"/>
        <v>5644.586732142858</v>
      </c>
      <c r="AC11" s="128">
        <f t="shared" si="7"/>
        <v>5644.586732142858</v>
      </c>
      <c r="AD11" s="128">
        <f aca="true" t="shared" si="8" ref="AD11:AP11">SUM(AD12:AD14)</f>
        <v>5592.322040178572</v>
      </c>
      <c r="AE11" s="128">
        <f t="shared" si="8"/>
        <v>5540.057348214286</v>
      </c>
      <c r="AF11" s="128">
        <f t="shared" si="8"/>
        <v>5487.792656250001</v>
      </c>
      <c r="AG11" s="128">
        <f t="shared" si="8"/>
        <v>5435.527964285715</v>
      </c>
      <c r="AH11" s="128">
        <f t="shared" si="8"/>
        <v>5383.263272321429</v>
      </c>
      <c r="AI11" s="128">
        <f t="shared" si="8"/>
        <v>5330.9985803571435</v>
      </c>
      <c r="AJ11" s="128">
        <f t="shared" si="8"/>
        <v>5278.733888392858</v>
      </c>
      <c r="AK11" s="128">
        <f t="shared" si="8"/>
        <v>5226.469196428572</v>
      </c>
      <c r="AL11" s="128">
        <f t="shared" si="8"/>
        <v>5174.204504464286</v>
      </c>
      <c r="AM11" s="128">
        <f t="shared" si="8"/>
        <v>5121.939812500001</v>
      </c>
      <c r="AN11" s="128">
        <f t="shared" si="8"/>
        <v>5069.675120535715</v>
      </c>
      <c r="AO11" s="128">
        <f t="shared" si="8"/>
        <v>5017.410428571429</v>
      </c>
      <c r="AP11" s="128">
        <f t="shared" si="8"/>
        <v>5017.410428571429</v>
      </c>
      <c r="AQ11" s="128">
        <f t="shared" si="7"/>
        <v>4390.234125000001</v>
      </c>
      <c r="AR11" s="128">
        <f t="shared" si="7"/>
        <v>3763.0578214285724</v>
      </c>
      <c r="AS11" s="128">
        <f t="shared" si="7"/>
        <v>3135.881517857144</v>
      </c>
      <c r="AT11" s="128">
        <f t="shared" si="7"/>
        <v>2508.7052142857156</v>
      </c>
      <c r="AU11" s="128">
        <f>SUM(AU12:AU14)</f>
        <v>1881.5289107142871</v>
      </c>
    </row>
    <row r="12" spans="1:47" ht="12.75">
      <c r="A12" s="131" t="s">
        <v>121</v>
      </c>
      <c r="B12" s="133"/>
      <c r="C12" s="132"/>
      <c r="D12" s="132">
        <f>C12+'1-Ф3'!D20/Исх!$C$19-'2-ф2'!D11</f>
        <v>0</v>
      </c>
      <c r="E12" s="132">
        <f>D12+'1-Ф3'!E20/Исх!$C$19-'2-ф2'!E11</f>
        <v>0</v>
      </c>
      <c r="F12" s="132">
        <f>E12+'1-Ф3'!F20/Исх!$C$19-'2-ф2'!F11</f>
        <v>0</v>
      </c>
      <c r="G12" s="132">
        <f>F12+'1-Ф3'!G20/Исх!$C$19-'2-ф2'!G11</f>
        <v>0</v>
      </c>
      <c r="H12" s="132">
        <f>G12+'1-Ф3'!H20/Исх!$C$19-'2-ф2'!H11</f>
        <v>0</v>
      </c>
      <c r="I12" s="132">
        <f>H12+'1-Ф3'!I20/Исх!$C$19-'2-ф2'!I11</f>
        <v>0</v>
      </c>
      <c r="J12" s="132">
        <f>I12+'1-Ф3'!J20/Исх!$C$19-'2-ф2'!J11</f>
        <v>0</v>
      </c>
      <c r="K12" s="132"/>
      <c r="L12" s="132"/>
      <c r="M12" s="132"/>
      <c r="N12" s="132"/>
      <c r="O12" s="132">
        <f>Инв!P28</f>
        <v>6271.763035714286</v>
      </c>
      <c r="P12" s="132">
        <f>O12</f>
        <v>6271.763035714286</v>
      </c>
      <c r="Q12" s="132">
        <f>P12-'2-ф2'!Q11</f>
        <v>6219.4983437500005</v>
      </c>
      <c r="R12" s="132">
        <f>Q12-'2-ф2'!R11</f>
        <v>6167.233651785715</v>
      </c>
      <c r="S12" s="132">
        <f>R12-'2-ф2'!S11</f>
        <v>6114.968959821429</v>
      </c>
      <c r="T12" s="132">
        <f>S12-'2-ф2'!T11</f>
        <v>6062.704267857143</v>
      </c>
      <c r="U12" s="132">
        <f>T12-'2-ф2'!U11</f>
        <v>6010.439575892858</v>
      </c>
      <c r="V12" s="132">
        <f>U12-'2-ф2'!V11</f>
        <v>5958.174883928572</v>
      </c>
      <c r="W12" s="132">
        <f>V12-'2-ф2'!W11</f>
        <v>5905.910191964286</v>
      </c>
      <c r="X12" s="132">
        <f>W12-'2-ф2'!X11</f>
        <v>5853.6455000000005</v>
      </c>
      <c r="Y12" s="132">
        <f>X12-'2-ф2'!Y11</f>
        <v>5801.380808035715</v>
      </c>
      <c r="Z12" s="132">
        <f>Y12-'2-ф2'!Z11</f>
        <v>5749.116116071429</v>
      </c>
      <c r="AA12" s="132">
        <f>Z12-'2-ф2'!AA11</f>
        <v>5696.851424107143</v>
      </c>
      <c r="AB12" s="132">
        <f>AA12-'2-ф2'!AB11</f>
        <v>5644.586732142858</v>
      </c>
      <c r="AC12" s="132">
        <f>AB12</f>
        <v>5644.586732142858</v>
      </c>
      <c r="AD12" s="132">
        <f>AC12-'2-ф2'!AD11</f>
        <v>5592.322040178572</v>
      </c>
      <c r="AE12" s="132">
        <f>AD12-'2-ф2'!AE11</f>
        <v>5540.057348214286</v>
      </c>
      <c r="AF12" s="132">
        <f>AE12-'2-ф2'!AF11</f>
        <v>5487.792656250001</v>
      </c>
      <c r="AG12" s="132">
        <f>AF12-'2-ф2'!AG11</f>
        <v>5435.527964285715</v>
      </c>
      <c r="AH12" s="132">
        <f>AG12-'2-ф2'!AH11</f>
        <v>5383.263272321429</v>
      </c>
      <c r="AI12" s="132">
        <f>AH12-'2-ф2'!AI11</f>
        <v>5330.9985803571435</v>
      </c>
      <c r="AJ12" s="132">
        <f>AI12-'2-ф2'!AJ11</f>
        <v>5278.733888392858</v>
      </c>
      <c r="AK12" s="132">
        <f>AJ12-'2-ф2'!AK11</f>
        <v>5226.469196428572</v>
      </c>
      <c r="AL12" s="132">
        <f>AK12-'2-ф2'!AL11</f>
        <v>5174.204504464286</v>
      </c>
      <c r="AM12" s="132">
        <f>AL12-'2-ф2'!AM11</f>
        <v>5121.939812500001</v>
      </c>
      <c r="AN12" s="132">
        <f>AM12-'2-ф2'!AN11</f>
        <v>5069.675120535715</v>
      </c>
      <c r="AO12" s="132">
        <f>AN12-'2-ф2'!AO11</f>
        <v>5017.410428571429</v>
      </c>
      <c r="AP12" s="132">
        <f>AO12</f>
        <v>5017.410428571429</v>
      </c>
      <c r="AQ12" s="132">
        <f>AP12-'2-ф2'!AQ11</f>
        <v>4390.234125000001</v>
      </c>
      <c r="AR12" s="132">
        <f>AQ12-'2-ф2'!AR11</f>
        <v>3763.0578214285724</v>
      </c>
      <c r="AS12" s="132">
        <f>AR12-'2-ф2'!AS11</f>
        <v>3135.881517857144</v>
      </c>
      <c r="AT12" s="132">
        <f>AS12-'2-ф2'!AT11</f>
        <v>2508.7052142857156</v>
      </c>
      <c r="AU12" s="132">
        <f>AT12-'2-ф2'!AU11</f>
        <v>1881.5289107142871</v>
      </c>
    </row>
    <row r="13" spans="1:47" ht="12.75">
      <c r="A13" s="131" t="s">
        <v>252</v>
      </c>
      <c r="B13" s="133"/>
      <c r="C13" s="132"/>
      <c r="D13" s="132">
        <f aca="true" t="shared" si="9" ref="D13:J13">C13</f>
        <v>0</v>
      </c>
      <c r="E13" s="132">
        <f t="shared" si="9"/>
        <v>0</v>
      </c>
      <c r="F13" s="132">
        <f t="shared" si="9"/>
        <v>0</v>
      </c>
      <c r="G13" s="132">
        <f t="shared" si="9"/>
        <v>0</v>
      </c>
      <c r="H13" s="132">
        <f t="shared" si="9"/>
        <v>0</v>
      </c>
      <c r="I13" s="132">
        <f t="shared" si="9"/>
        <v>0</v>
      </c>
      <c r="J13" s="132">
        <f t="shared" si="9"/>
        <v>0</v>
      </c>
      <c r="K13" s="132">
        <f>Инв!L25/Исх!$C$19</f>
        <v>0</v>
      </c>
      <c r="L13" s="132">
        <f>Инв!M25/Исх!$C$19</f>
        <v>0</v>
      </c>
      <c r="M13" s="132">
        <f>Инв!N25/Исх!$C$19</f>
        <v>0</v>
      </c>
      <c r="N13" s="132">
        <f>Инв!O25/Исх!$C$19</f>
        <v>0</v>
      </c>
      <c r="O13" s="132">
        <f>Инв!P25/Исх!$C$19</f>
        <v>0</v>
      </c>
      <c r="P13" s="132">
        <f>O13</f>
        <v>0</v>
      </c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>
        <f>AB13</f>
        <v>0</v>
      </c>
      <c r="AD13" s="132"/>
      <c r="AE13" s="132">
        <f aca="true" t="shared" si="10" ref="AE13:AO13">AD13</f>
        <v>0</v>
      </c>
      <c r="AF13" s="132">
        <f t="shared" si="10"/>
        <v>0</v>
      </c>
      <c r="AG13" s="132">
        <f t="shared" si="10"/>
        <v>0</v>
      </c>
      <c r="AH13" s="132">
        <f t="shared" si="10"/>
        <v>0</v>
      </c>
      <c r="AI13" s="132">
        <f t="shared" si="10"/>
        <v>0</v>
      </c>
      <c r="AJ13" s="132">
        <f t="shared" si="10"/>
        <v>0</v>
      </c>
      <c r="AK13" s="132">
        <f t="shared" si="10"/>
        <v>0</v>
      </c>
      <c r="AL13" s="132">
        <f t="shared" si="10"/>
        <v>0</v>
      </c>
      <c r="AM13" s="132">
        <f t="shared" si="10"/>
        <v>0</v>
      </c>
      <c r="AN13" s="132">
        <f t="shared" si="10"/>
        <v>0</v>
      </c>
      <c r="AO13" s="132">
        <f t="shared" si="10"/>
        <v>0</v>
      </c>
      <c r="AP13" s="132">
        <f>AO13</f>
        <v>0</v>
      </c>
      <c r="AQ13" s="132">
        <f>AP13</f>
        <v>0</v>
      </c>
      <c r="AR13" s="132">
        <f>AQ13</f>
        <v>0</v>
      </c>
      <c r="AS13" s="132">
        <f>AR13</f>
        <v>0</v>
      </c>
      <c r="AT13" s="132">
        <f>AS13</f>
        <v>0</v>
      </c>
      <c r="AU13" s="132">
        <f>AT13</f>
        <v>0</v>
      </c>
    </row>
    <row r="14" spans="1:47" ht="12.75">
      <c r="A14" s="131" t="s">
        <v>122</v>
      </c>
      <c r="B14" s="133"/>
      <c r="C14" s="132"/>
      <c r="D14" s="132">
        <f>IF('2-ф2'!D26&lt;0,-'2-ф2'!D26,0)</f>
        <v>0</v>
      </c>
      <c r="E14" s="132">
        <f>IF('2-ф2'!E26&lt;0,-'2-ф2'!E26,0)</f>
        <v>0</v>
      </c>
      <c r="F14" s="132">
        <f>IF('2-ф2'!F26&lt;0,-'2-ф2'!F26,0)</f>
        <v>0</v>
      </c>
      <c r="G14" s="132">
        <f>IF('2-ф2'!G26&lt;0,-'2-ф2'!G26,0)</f>
        <v>0</v>
      </c>
      <c r="H14" s="132">
        <f>IF('2-ф2'!H26&lt;0,-'2-ф2'!H26,0)</f>
        <v>0</v>
      </c>
      <c r="I14" s="132">
        <f>IF('2-ф2'!I26&lt;0,-'2-ф2'!I26,0)</f>
        <v>0</v>
      </c>
      <c r="J14" s="132">
        <f>IF('2-ф2'!J26&lt;0,-'2-ф2'!J26,0)</f>
        <v>0</v>
      </c>
      <c r="K14" s="132">
        <f>IF('2-ф2'!K26&lt;0,-'2-ф2'!K26,0)</f>
        <v>0</v>
      </c>
      <c r="L14" s="132">
        <f>IF('2-ф2'!L26&lt;0,-'2-ф2'!L26,0)</f>
        <v>0</v>
      </c>
      <c r="M14" s="132">
        <f>IF('2-ф2'!M26&lt;0,-'2-ф2'!M26,0)</f>
        <v>269.856675</v>
      </c>
      <c r="N14" s="132">
        <f>IF('2-ф2'!N26&lt;0,-'2-ф2'!N26,0)</f>
        <v>269.856675</v>
      </c>
      <c r="O14" s="132">
        <f>IF('2-ф2'!O26&lt;0,-'2-ф2'!O26,0)</f>
        <v>990.2926028571428</v>
      </c>
      <c r="P14" s="132">
        <f>O14</f>
        <v>990.2926028571428</v>
      </c>
      <c r="Q14" s="132">
        <f>IF('2-ф2'!Q26&lt;0,-'2-ф2'!Q26,0)</f>
        <v>961.7369357142857</v>
      </c>
      <c r="R14" s="132">
        <f>IF('2-ф2'!R26&lt;0,-'2-ф2'!R26,0)</f>
        <v>933.1812685714285</v>
      </c>
      <c r="S14" s="132">
        <f>IF('2-ф2'!S26&lt;0,-'2-ф2'!S26,0)</f>
        <v>904.6256014285714</v>
      </c>
      <c r="T14" s="132">
        <f>IF('2-ф2'!T26&lt;0,-'2-ф2'!T26,0)</f>
        <v>928.8879428571429</v>
      </c>
      <c r="U14" s="132">
        <f>IF('2-ф2'!U26&lt;0,-'2-ф2'!U26,0)</f>
        <v>953.1502842857144</v>
      </c>
      <c r="V14" s="132">
        <f>IF('2-ф2'!V26&lt;0,-'2-ф2'!V26,0)</f>
        <v>1075.3902257142859</v>
      </c>
      <c r="W14" s="132">
        <f>IF('2-ф2'!W26&lt;0,-'2-ф2'!W26,0)</f>
        <v>1250.4481757142858</v>
      </c>
      <c r="X14" s="132">
        <f>IF('2-ф2'!X26&lt;0,-'2-ф2'!X26,0)</f>
        <v>571.7013257142861</v>
      </c>
      <c r="Y14" s="132">
        <f>IF('2-ф2'!Y26&lt;0,-'2-ф2'!Y26,0)</f>
        <v>79.57847571428613</v>
      </c>
      <c r="Z14" s="132">
        <f>IF('2-ф2'!Z26&lt;0,-'2-ф2'!Z26,0)</f>
        <v>13.52163428571481</v>
      </c>
      <c r="AA14" s="132">
        <f>IF('2-ф2'!AA26&lt;0,-'2-ф2'!AA26,0)</f>
        <v>0</v>
      </c>
      <c r="AB14" s="132">
        <f>IF('2-ф2'!AB26&lt;0,-'2-ф2'!AB26,0)</f>
        <v>0</v>
      </c>
      <c r="AC14" s="132">
        <f>AB14</f>
        <v>0</v>
      </c>
      <c r="AD14" s="132">
        <f>IF('2-ф2'!AD26&lt;0,-'2-ф2'!AD26,0)</f>
        <v>0</v>
      </c>
      <c r="AE14" s="132">
        <f>IF('2-ф2'!AE26&lt;0,-'2-ф2'!AE26,0)</f>
        <v>0</v>
      </c>
      <c r="AF14" s="132">
        <f>IF('2-ф2'!AF26&lt;0,-'2-ф2'!AF26,0)</f>
        <v>0</v>
      </c>
      <c r="AG14" s="132">
        <f>IF('2-ф2'!AG26&lt;0,-'2-ф2'!AG26,0)</f>
        <v>0</v>
      </c>
      <c r="AH14" s="132">
        <f>IF('2-ф2'!AH26&lt;0,-'2-ф2'!AH26,0)</f>
        <v>0</v>
      </c>
      <c r="AI14" s="132">
        <f>IF('2-ф2'!AI26&lt;0,-'2-ф2'!AI26,0)</f>
        <v>0</v>
      </c>
      <c r="AJ14" s="132">
        <f>IF('2-ф2'!AJ26&lt;0,-'2-ф2'!AJ26,0)</f>
        <v>0</v>
      </c>
      <c r="AK14" s="132">
        <f>IF('2-ф2'!AK26&lt;0,-'2-ф2'!AK26,0)</f>
        <v>0</v>
      </c>
      <c r="AL14" s="132">
        <f>IF('2-ф2'!AL26&lt;0,-'2-ф2'!AL26,0)</f>
        <v>0</v>
      </c>
      <c r="AM14" s="132">
        <f>IF('2-ф2'!AM26&lt;0,-'2-ф2'!AM26,0)</f>
        <v>0</v>
      </c>
      <c r="AN14" s="132">
        <f>IF('2-ф2'!AN26&lt;0,-'2-ф2'!AN26,0)</f>
        <v>0</v>
      </c>
      <c r="AO14" s="132">
        <f>IF('2-ф2'!AO26&lt;0,-'2-ф2'!AO26,0)</f>
        <v>0</v>
      </c>
      <c r="AP14" s="132">
        <f>AO14</f>
        <v>0</v>
      </c>
      <c r="AQ14" s="132">
        <f>IF('2-ф2'!AQ26&lt;0,-'2-ф2'!AQ26,0)</f>
        <v>0</v>
      </c>
      <c r="AR14" s="132">
        <f>IF('2-ф2'!AR26&lt;0,-'2-ф2'!AR26,0)</f>
        <v>0</v>
      </c>
      <c r="AS14" s="132">
        <f>IF('2-ф2'!AS26&lt;0,-'2-ф2'!AS26,0)</f>
        <v>0</v>
      </c>
      <c r="AT14" s="132">
        <f>IF('2-ф2'!AT26&lt;0,-'2-ф2'!AT26,0)</f>
        <v>0</v>
      </c>
      <c r="AU14" s="132">
        <f>IF('2-ф2'!AU26&lt;0,-'2-ф2'!AU26,0)</f>
        <v>0</v>
      </c>
    </row>
    <row r="15" spans="1:196" ht="12.75">
      <c r="A15" s="134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</row>
    <row r="16" spans="1:54" s="130" customFormat="1" ht="15" customHeight="1">
      <c r="A16" s="126" t="s">
        <v>123</v>
      </c>
      <c r="B16" s="127"/>
      <c r="C16" s="127">
        <f aca="true" t="shared" si="11" ref="C16:AT16">C21+C24+C17</f>
        <v>0</v>
      </c>
      <c r="D16" s="127">
        <f t="shared" si="11"/>
        <v>0</v>
      </c>
      <c r="E16" s="127">
        <f t="shared" si="11"/>
        <v>0</v>
      </c>
      <c r="F16" s="127">
        <f t="shared" si="11"/>
        <v>0</v>
      </c>
      <c r="G16" s="127">
        <f t="shared" si="11"/>
        <v>0</v>
      </c>
      <c r="H16" s="127">
        <f t="shared" si="11"/>
        <v>0</v>
      </c>
      <c r="I16" s="127">
        <f t="shared" si="11"/>
        <v>0</v>
      </c>
      <c r="J16" s="127">
        <f t="shared" si="11"/>
        <v>0</v>
      </c>
      <c r="K16" s="127">
        <f t="shared" si="11"/>
        <v>0</v>
      </c>
      <c r="L16" s="127">
        <f t="shared" si="11"/>
        <v>0</v>
      </c>
      <c r="M16" s="127">
        <f t="shared" si="11"/>
        <v>2518.6623000000004</v>
      </c>
      <c r="N16" s="127">
        <f t="shared" si="11"/>
        <v>7024.374600000001</v>
      </c>
      <c r="O16" s="127">
        <f t="shared" si="11"/>
        <v>9242.73096</v>
      </c>
      <c r="P16" s="127">
        <f t="shared" si="11"/>
        <v>9242.73096</v>
      </c>
      <c r="Q16" s="127">
        <f t="shared" si="11"/>
        <v>10245.264190035714</v>
      </c>
      <c r="R16" s="127">
        <f t="shared" si="11"/>
        <v>11247.797420071429</v>
      </c>
      <c r="S16" s="127">
        <f t="shared" si="11"/>
        <v>16346.558290107141</v>
      </c>
      <c r="T16" s="127">
        <f t="shared" si="11"/>
        <v>15870.187280142856</v>
      </c>
      <c r="U16" s="127">
        <f t="shared" si="11"/>
        <v>15393.816270178571</v>
      </c>
      <c r="V16" s="127">
        <f t="shared" si="11"/>
        <v>14600.095441214286</v>
      </c>
      <c r="W16" s="127">
        <f t="shared" si="11"/>
        <v>13806.37461225</v>
      </c>
      <c r="X16" s="127">
        <f t="shared" si="11"/>
        <v>15734.390428984218</v>
      </c>
      <c r="Y16" s="127">
        <f t="shared" si="11"/>
        <v>16979.681948041376</v>
      </c>
      <c r="Z16" s="127">
        <f t="shared" si="11"/>
        <v>17016.021775669964</v>
      </c>
      <c r="AA16" s="127">
        <f t="shared" si="11"/>
        <v>17052.361603298552</v>
      </c>
      <c r="AB16" s="127">
        <f t="shared" si="11"/>
        <v>16937.582469498564</v>
      </c>
      <c r="AC16" s="127">
        <f t="shared" si="11"/>
        <v>16937.582469498564</v>
      </c>
      <c r="AD16" s="127">
        <f aca="true" t="shared" si="12" ref="AD16:AP16">AD21+AD24+AD17</f>
        <v>17127.05867084144</v>
      </c>
      <c r="AE16" s="127">
        <f t="shared" si="12"/>
        <v>17316.534872184315</v>
      </c>
      <c r="AF16" s="127">
        <f t="shared" si="12"/>
        <v>17506.01107352719</v>
      </c>
      <c r="AG16" s="127">
        <f t="shared" si="12"/>
        <v>17650.569542642283</v>
      </c>
      <c r="AH16" s="127">
        <f t="shared" si="12"/>
        <v>17785.592279177843</v>
      </c>
      <c r="AI16" s="127">
        <f t="shared" si="12"/>
        <v>17118.727699092145</v>
      </c>
      <c r="AJ16" s="127">
        <f t="shared" si="12"/>
        <v>16451.863119006448</v>
      </c>
      <c r="AK16" s="127">
        <f t="shared" si="12"/>
        <v>20165.799611681097</v>
      </c>
      <c r="AL16" s="127">
        <f t="shared" si="12"/>
        <v>22812.365554697622</v>
      </c>
      <c r="AM16" s="127">
        <f t="shared" si="12"/>
        <v>23631.972300801193</v>
      </c>
      <c r="AN16" s="127">
        <f t="shared" si="12"/>
        <v>24451.479607004097</v>
      </c>
      <c r="AO16" s="127">
        <f t="shared" si="12"/>
        <v>25042.52935152597</v>
      </c>
      <c r="AP16" s="127">
        <f t="shared" si="12"/>
        <v>25042.52935152597</v>
      </c>
      <c r="AQ16" s="127">
        <f t="shared" si="11"/>
        <v>36034.68328964936</v>
      </c>
      <c r="AR16" s="127">
        <f t="shared" si="11"/>
        <v>46492.572321628366</v>
      </c>
      <c r="AS16" s="127">
        <f t="shared" si="11"/>
        <v>56389.13680506904</v>
      </c>
      <c r="AT16" s="127">
        <f t="shared" si="11"/>
        <v>65695.93907438431</v>
      </c>
      <c r="AU16" s="127">
        <f>AU21+AU24+AU17</f>
        <v>74548.87290867111</v>
      </c>
      <c r="AV16" s="129"/>
      <c r="AW16" s="129"/>
      <c r="AX16" s="129"/>
      <c r="AY16" s="129"/>
      <c r="AZ16" s="129"/>
      <c r="BA16" s="129"/>
      <c r="BB16" s="129"/>
    </row>
    <row r="17" spans="1:47" ht="15" customHeight="1">
      <c r="A17" s="126" t="s">
        <v>124</v>
      </c>
      <c r="B17" s="127"/>
      <c r="C17" s="127">
        <f aca="true" t="shared" si="13" ref="C17:AT17">SUM(C18:C20)</f>
        <v>0</v>
      </c>
      <c r="D17" s="127">
        <f t="shared" si="13"/>
        <v>0</v>
      </c>
      <c r="E17" s="127">
        <f t="shared" si="13"/>
        <v>0</v>
      </c>
      <c r="F17" s="127">
        <f t="shared" si="13"/>
        <v>0</v>
      </c>
      <c r="G17" s="127">
        <f t="shared" si="13"/>
        <v>0</v>
      </c>
      <c r="H17" s="127">
        <f t="shared" si="13"/>
        <v>0</v>
      </c>
      <c r="I17" s="127">
        <f t="shared" si="13"/>
        <v>0</v>
      </c>
      <c r="J17" s="127">
        <f t="shared" si="13"/>
        <v>0</v>
      </c>
      <c r="K17" s="127">
        <f t="shared" si="13"/>
        <v>0</v>
      </c>
      <c r="L17" s="127">
        <f t="shared" si="13"/>
        <v>0</v>
      </c>
      <c r="M17" s="127">
        <f t="shared" si="13"/>
        <v>0</v>
      </c>
      <c r="N17" s="127">
        <f t="shared" si="13"/>
        <v>14.692196750000003</v>
      </c>
      <c r="O17" s="127">
        <f t="shared" si="13"/>
        <v>55.66771525000001</v>
      </c>
      <c r="P17" s="127">
        <f t="shared" si="13"/>
        <v>55.66771525000001</v>
      </c>
      <c r="Q17" s="127">
        <f t="shared" si="13"/>
        <v>96.64323375000001</v>
      </c>
      <c r="R17" s="127">
        <f t="shared" si="13"/>
        <v>137.61875225</v>
      </c>
      <c r="S17" s="127">
        <f t="shared" si="13"/>
        <v>178.59427075000002</v>
      </c>
      <c r="T17" s="127">
        <f t="shared" si="13"/>
        <v>219.56978925000004</v>
      </c>
      <c r="U17" s="127">
        <f t="shared" si="13"/>
        <v>260.54530775000006</v>
      </c>
      <c r="V17" s="127">
        <f t="shared" si="13"/>
        <v>301.5208262500001</v>
      </c>
      <c r="W17" s="127">
        <f t="shared" si="13"/>
        <v>210.26657400000008</v>
      </c>
      <c r="X17" s="127">
        <f t="shared" si="13"/>
        <v>0</v>
      </c>
      <c r="Y17" s="127">
        <f t="shared" si="13"/>
        <v>0</v>
      </c>
      <c r="Z17" s="127">
        <f t="shared" si="13"/>
        <v>0</v>
      </c>
      <c r="AA17" s="127">
        <f t="shared" si="13"/>
        <v>0</v>
      </c>
      <c r="AB17" s="127">
        <f t="shared" si="13"/>
        <v>0</v>
      </c>
      <c r="AC17" s="127">
        <f t="shared" si="13"/>
        <v>0</v>
      </c>
      <c r="AD17" s="127">
        <f aca="true" t="shared" si="14" ref="AD17:AP17">SUM(AD18:AD20)</f>
        <v>0</v>
      </c>
      <c r="AE17" s="127">
        <f t="shared" si="14"/>
        <v>0</v>
      </c>
      <c r="AF17" s="127">
        <f t="shared" si="14"/>
        <v>0</v>
      </c>
      <c r="AG17" s="127">
        <f t="shared" si="14"/>
        <v>0</v>
      </c>
      <c r="AH17" s="127">
        <f t="shared" si="14"/>
        <v>0</v>
      </c>
      <c r="AI17" s="127">
        <f t="shared" si="14"/>
        <v>0</v>
      </c>
      <c r="AJ17" s="127">
        <f t="shared" si="14"/>
        <v>0</v>
      </c>
      <c r="AK17" s="127">
        <f t="shared" si="14"/>
        <v>0</v>
      </c>
      <c r="AL17" s="127">
        <f t="shared" si="14"/>
        <v>0</v>
      </c>
      <c r="AM17" s="127">
        <f t="shared" si="14"/>
        <v>0</v>
      </c>
      <c r="AN17" s="127">
        <f t="shared" si="14"/>
        <v>0</v>
      </c>
      <c r="AO17" s="127">
        <f t="shared" si="14"/>
        <v>0</v>
      </c>
      <c r="AP17" s="127">
        <f t="shared" si="14"/>
        <v>0</v>
      </c>
      <c r="AQ17" s="127">
        <f t="shared" si="13"/>
        <v>0</v>
      </c>
      <c r="AR17" s="127">
        <f t="shared" si="13"/>
        <v>0</v>
      </c>
      <c r="AS17" s="127">
        <f t="shared" si="13"/>
        <v>0</v>
      </c>
      <c r="AT17" s="127">
        <f t="shared" si="13"/>
        <v>0</v>
      </c>
      <c r="AU17" s="127">
        <f>SUM(AU18:AU20)</f>
        <v>0</v>
      </c>
    </row>
    <row r="18" spans="1:47" ht="12.75" hidden="1">
      <c r="A18" s="131" t="s">
        <v>125</v>
      </c>
      <c r="B18" s="133"/>
      <c r="C18" s="133"/>
      <c r="D18" s="133">
        <f>C18</f>
        <v>0</v>
      </c>
      <c r="E18" s="133">
        <f>D18</f>
        <v>0</v>
      </c>
      <c r="F18" s="133">
        <f aca="true" t="shared" si="15" ref="F18:O18">E18</f>
        <v>0</v>
      </c>
      <c r="G18" s="133">
        <f t="shared" si="15"/>
        <v>0</v>
      </c>
      <c r="H18" s="133">
        <f t="shared" si="15"/>
        <v>0</v>
      </c>
      <c r="I18" s="133">
        <f t="shared" si="15"/>
        <v>0</v>
      </c>
      <c r="J18" s="133">
        <f t="shared" si="15"/>
        <v>0</v>
      </c>
      <c r="K18" s="133">
        <f t="shared" si="15"/>
        <v>0</v>
      </c>
      <c r="L18" s="133">
        <f t="shared" si="15"/>
        <v>0</v>
      </c>
      <c r="M18" s="133">
        <f t="shared" si="15"/>
        <v>0</v>
      </c>
      <c r="N18" s="133">
        <f t="shared" si="15"/>
        <v>0</v>
      </c>
      <c r="O18" s="133">
        <f t="shared" si="15"/>
        <v>0</v>
      </c>
      <c r="P18" s="133">
        <f>O18</f>
        <v>0</v>
      </c>
      <c r="Q18" s="133">
        <f>P18</f>
        <v>0</v>
      </c>
      <c r="R18" s="133">
        <f>Q18</f>
        <v>0</v>
      </c>
      <c r="S18" s="133">
        <f>R18</f>
        <v>0</v>
      </c>
      <c r="T18" s="133">
        <f>S18</f>
        <v>0</v>
      </c>
      <c r="U18" s="133">
        <f aca="true" t="shared" si="16" ref="U18:AR18">T18</f>
        <v>0</v>
      </c>
      <c r="V18" s="133">
        <f t="shared" si="16"/>
        <v>0</v>
      </c>
      <c r="W18" s="133">
        <f t="shared" si="16"/>
        <v>0</v>
      </c>
      <c r="X18" s="133">
        <f t="shared" si="16"/>
        <v>0</v>
      </c>
      <c r="Y18" s="133">
        <f t="shared" si="16"/>
        <v>0</v>
      </c>
      <c r="Z18" s="133">
        <f t="shared" si="16"/>
        <v>0</v>
      </c>
      <c r="AA18" s="133">
        <f t="shared" si="16"/>
        <v>0</v>
      </c>
      <c r="AB18" s="133">
        <f t="shared" si="16"/>
        <v>0</v>
      </c>
      <c r="AC18" s="133">
        <f t="shared" si="16"/>
        <v>0</v>
      </c>
      <c r="AD18" s="133">
        <f aca="true" t="shared" si="17" ref="AD18:AO18">AC18</f>
        <v>0</v>
      </c>
      <c r="AE18" s="133">
        <f t="shared" si="17"/>
        <v>0</v>
      </c>
      <c r="AF18" s="133">
        <f t="shared" si="17"/>
        <v>0</v>
      </c>
      <c r="AG18" s="133">
        <f t="shared" si="17"/>
        <v>0</v>
      </c>
      <c r="AH18" s="133">
        <f t="shared" si="17"/>
        <v>0</v>
      </c>
      <c r="AI18" s="133">
        <f t="shared" si="17"/>
        <v>0</v>
      </c>
      <c r="AJ18" s="133">
        <f t="shared" si="17"/>
        <v>0</v>
      </c>
      <c r="AK18" s="133">
        <f t="shared" si="17"/>
        <v>0</v>
      </c>
      <c r="AL18" s="133">
        <f t="shared" si="17"/>
        <v>0</v>
      </c>
      <c r="AM18" s="133">
        <f t="shared" si="17"/>
        <v>0</v>
      </c>
      <c r="AN18" s="133">
        <f t="shared" si="17"/>
        <v>0</v>
      </c>
      <c r="AO18" s="133">
        <f t="shared" si="17"/>
        <v>0</v>
      </c>
      <c r="AP18" s="133">
        <f t="shared" si="16"/>
        <v>0</v>
      </c>
      <c r="AQ18" s="133">
        <f t="shared" si="16"/>
        <v>0</v>
      </c>
      <c r="AR18" s="133">
        <f t="shared" si="16"/>
        <v>0</v>
      </c>
      <c r="AS18" s="133">
        <f>AR18</f>
        <v>0</v>
      </c>
      <c r="AT18" s="133">
        <f>AS18</f>
        <v>0</v>
      </c>
      <c r="AU18" s="133">
        <f>AT18</f>
        <v>0</v>
      </c>
    </row>
    <row r="19" spans="1:48" ht="25.5">
      <c r="A19" s="131" t="s">
        <v>126</v>
      </c>
      <c r="B19" s="133"/>
      <c r="C19" s="133"/>
      <c r="D19" s="133">
        <f>C19+'2-ф2'!D12-'1-Ф3'!D14-кр!C23</f>
        <v>0</v>
      </c>
      <c r="E19" s="133">
        <f>D19+'2-ф2'!E12-'1-Ф3'!E14-кр!D23</f>
        <v>0</v>
      </c>
      <c r="F19" s="133">
        <f>E19+'2-ф2'!F12-'1-Ф3'!F14-кр!E23</f>
        <v>0</v>
      </c>
      <c r="G19" s="133">
        <f>F19+'2-ф2'!G12-'1-Ф3'!G14-кр!F23</f>
        <v>0</v>
      </c>
      <c r="H19" s="133">
        <f>G19+'2-ф2'!H12-'1-Ф3'!H14-кр!G23</f>
        <v>0</v>
      </c>
      <c r="I19" s="133">
        <f>H19+'2-ф2'!I12-'1-Ф3'!I14-кр!H23</f>
        <v>0</v>
      </c>
      <c r="J19" s="133">
        <f>I19+'2-ф2'!J12-'1-Ф3'!J14-кр!I23</f>
        <v>0</v>
      </c>
      <c r="K19" s="133">
        <f>J19+'2-ф2'!K12-'1-Ф3'!K14-кр!J23</f>
        <v>0</v>
      </c>
      <c r="L19" s="133">
        <f>K19+'2-ф2'!L12-'1-Ф3'!L14-кр!K23</f>
        <v>0</v>
      </c>
      <c r="M19" s="133">
        <f>L19+'2-ф2'!M12-'1-Ф3'!M14-кр!L23</f>
        <v>0</v>
      </c>
      <c r="N19" s="133">
        <f>M19+'2-ф2'!N12-'1-Ф3'!N14-кр!M23</f>
        <v>14.692196750000003</v>
      </c>
      <c r="O19" s="133">
        <f>N19+'2-ф2'!O12-'1-Ф3'!O14-кр!N23</f>
        <v>55.66771525000001</v>
      </c>
      <c r="P19" s="133">
        <f>O19</f>
        <v>55.66771525000001</v>
      </c>
      <c r="Q19" s="133">
        <f>P19+'2-ф2'!Q12-'1-Ф3'!Q14-кр!P23</f>
        <v>96.64323375000001</v>
      </c>
      <c r="R19" s="133">
        <f>Q19+'2-ф2'!R12-'1-Ф3'!R14-кр!Q23</f>
        <v>137.61875225</v>
      </c>
      <c r="S19" s="133">
        <f>R19+'2-ф2'!S12-'1-Ф3'!S14-кр!R23</f>
        <v>178.59427075000002</v>
      </c>
      <c r="T19" s="133">
        <f>S19+'2-ф2'!T12-'1-Ф3'!T14-кр!S23</f>
        <v>219.56978925000004</v>
      </c>
      <c r="U19" s="133">
        <f>T19+'2-ф2'!U12-'1-Ф3'!U14-кр!T23</f>
        <v>260.54530775000006</v>
      </c>
      <c r="V19" s="133">
        <f>U19+'2-ф2'!V12-'1-Ф3'!V14-кр!U23</f>
        <v>301.5208262500001</v>
      </c>
      <c r="W19" s="133">
        <f>V19+'2-ф2'!W12-'1-Ф3'!W14-кр!V23</f>
        <v>210.26657400000008</v>
      </c>
      <c r="X19" s="133">
        <f>W19+'2-ф2'!X12-'1-Ф3'!X14-кр!W23</f>
        <v>0</v>
      </c>
      <c r="Y19" s="133">
        <f>X19+'2-ф2'!Y12-'1-Ф3'!Y14-кр!X23</f>
        <v>0</v>
      </c>
      <c r="Z19" s="133">
        <f>Y19+'2-ф2'!Z12-'1-Ф3'!Z14-кр!Y23</f>
        <v>0</v>
      </c>
      <c r="AA19" s="133">
        <f>Z19+'2-ф2'!AA12-'1-Ф3'!AA14-кр!Z23</f>
        <v>0</v>
      </c>
      <c r="AB19" s="133">
        <f>AA19+'2-ф2'!AB12-'1-Ф3'!AB14-кр!AA23</f>
        <v>0</v>
      </c>
      <c r="AC19" s="133">
        <f>AB19</f>
        <v>0</v>
      </c>
      <c r="AD19" s="133">
        <f>AC19+'2-ф2'!AD12-'1-Ф3'!AD14-кр!AC23</f>
        <v>0</v>
      </c>
      <c r="AE19" s="133">
        <f>AD19+'2-ф2'!AE12-'1-Ф3'!AE14-кр!AD23</f>
        <v>0</v>
      </c>
      <c r="AF19" s="133">
        <f>AE19+'2-ф2'!AF12-'1-Ф3'!AF14-кр!AE23</f>
        <v>0</v>
      </c>
      <c r="AG19" s="133">
        <f>AF19+'2-ф2'!AG12-'1-Ф3'!AG14-кр!AF23</f>
        <v>0</v>
      </c>
      <c r="AH19" s="133">
        <f>AG19+'2-ф2'!AH12-'1-Ф3'!AH14-кр!AG23</f>
        <v>0</v>
      </c>
      <c r="AI19" s="133">
        <f>AH19+'2-ф2'!AI12-'1-Ф3'!AI14-кр!AH23</f>
        <v>0</v>
      </c>
      <c r="AJ19" s="133">
        <f>AI19+'2-ф2'!AJ12-'1-Ф3'!AJ14-кр!AI23</f>
        <v>0</v>
      </c>
      <c r="AK19" s="133">
        <f>AJ19+'2-ф2'!AK12-'1-Ф3'!AK14-кр!AJ23</f>
        <v>0</v>
      </c>
      <c r="AL19" s="133">
        <f>AK19+'2-ф2'!AL12-'1-Ф3'!AL14-кр!AK23</f>
        <v>0</v>
      </c>
      <c r="AM19" s="133">
        <f>AL19+'2-ф2'!AM12-'1-Ф3'!AM14-кр!AL23</f>
        <v>0</v>
      </c>
      <c r="AN19" s="133">
        <f>AM19+'2-ф2'!AN12-'1-Ф3'!AN14-кр!AM23</f>
        <v>0</v>
      </c>
      <c r="AO19" s="133">
        <f>AN19+'2-ф2'!AO12-'1-Ф3'!AO14-кр!AN23</f>
        <v>0</v>
      </c>
      <c r="AP19" s="133">
        <f>AO19</f>
        <v>0</v>
      </c>
      <c r="AQ19" s="133">
        <f>AP19+'2-ф2'!AQ12-'1-Ф3'!AQ14</f>
        <v>0</v>
      </c>
      <c r="AR19" s="133">
        <f>AQ19+'2-ф2'!AR12-'1-Ф3'!AR14</f>
        <v>0</v>
      </c>
      <c r="AS19" s="133">
        <f>AR19+'2-ф2'!AS12-'1-Ф3'!AS14</f>
        <v>0</v>
      </c>
      <c r="AT19" s="133">
        <f>AS19+'2-ф2'!AT12-'1-Ф3'!AT14</f>
        <v>0</v>
      </c>
      <c r="AU19" s="133">
        <f>AT19+'2-ф2'!AU12-'1-Ф3'!AU14</f>
        <v>0</v>
      </c>
      <c r="AV19" s="120"/>
    </row>
    <row r="20" spans="1:47" ht="12.75">
      <c r="A20" s="131" t="s">
        <v>128</v>
      </c>
      <c r="B20" s="133"/>
      <c r="C20" s="133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33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33">
        <f>AB20</f>
        <v>0</v>
      </c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33">
        <f>AO20</f>
        <v>0</v>
      </c>
      <c r="AQ20" s="133"/>
      <c r="AR20" s="133"/>
      <c r="AS20" s="133"/>
      <c r="AT20" s="133"/>
      <c r="AU20" s="133"/>
    </row>
    <row r="21" spans="1:47" ht="15" customHeight="1">
      <c r="A21" s="126" t="s">
        <v>129</v>
      </c>
      <c r="B21" s="127"/>
      <c r="C21" s="127">
        <f aca="true" t="shared" si="18" ref="C21:AT21">SUM(C22:C23)</f>
        <v>0</v>
      </c>
      <c r="D21" s="127">
        <f t="shared" si="18"/>
        <v>0</v>
      </c>
      <c r="E21" s="127">
        <f t="shared" si="18"/>
        <v>0</v>
      </c>
      <c r="F21" s="127">
        <f t="shared" si="18"/>
        <v>0</v>
      </c>
      <c r="G21" s="127">
        <f t="shared" si="18"/>
        <v>0</v>
      </c>
      <c r="H21" s="127">
        <f t="shared" si="18"/>
        <v>0</v>
      </c>
      <c r="I21" s="127">
        <f t="shared" si="18"/>
        <v>0</v>
      </c>
      <c r="J21" s="127">
        <f t="shared" si="18"/>
        <v>0</v>
      </c>
      <c r="K21" s="127">
        <f t="shared" si="18"/>
        <v>0</v>
      </c>
      <c r="L21" s="127">
        <f t="shared" si="18"/>
        <v>0</v>
      </c>
      <c r="M21" s="127">
        <f t="shared" si="18"/>
        <v>2518.6623000000004</v>
      </c>
      <c r="N21" s="127">
        <f t="shared" si="18"/>
        <v>7024.374600000001</v>
      </c>
      <c r="O21" s="127">
        <f t="shared" si="18"/>
        <v>7024.374600000001</v>
      </c>
      <c r="P21" s="127">
        <f t="shared" si="18"/>
        <v>7024.374600000001</v>
      </c>
      <c r="Q21" s="127">
        <f t="shared" si="18"/>
        <v>7024.374600000001</v>
      </c>
      <c r="R21" s="127">
        <f t="shared" si="18"/>
        <v>7024.374600000001</v>
      </c>
      <c r="S21" s="127">
        <f t="shared" si="18"/>
        <v>7024.374600000001</v>
      </c>
      <c r="T21" s="127">
        <f t="shared" si="18"/>
        <v>7024.374600000001</v>
      </c>
      <c r="U21" s="127">
        <f t="shared" si="18"/>
        <v>7024.374600000001</v>
      </c>
      <c r="V21" s="127">
        <f t="shared" si="18"/>
        <v>7024.374600000001</v>
      </c>
      <c r="W21" s="127">
        <f t="shared" si="18"/>
        <v>7156.604370750001</v>
      </c>
      <c r="X21" s="127">
        <f t="shared" si="18"/>
        <v>7364.877455135024</v>
      </c>
      <c r="Y21" s="127">
        <f t="shared" si="18"/>
        <v>7285.850439882852</v>
      </c>
      <c r="Z21" s="127">
        <f t="shared" si="18"/>
        <v>7206.362433708375</v>
      </c>
      <c r="AA21" s="127">
        <f t="shared" si="18"/>
        <v>7126.41074749788</v>
      </c>
      <c r="AB21" s="127">
        <f t="shared" si="18"/>
        <v>7045.9926764511565</v>
      </c>
      <c r="AC21" s="127">
        <f t="shared" si="18"/>
        <v>7045.9926764511565</v>
      </c>
      <c r="AD21" s="127">
        <f aca="true" t="shared" si="19" ref="AD21:AP21">SUM(AD22:AD23)</f>
        <v>6965.105499989995</v>
      </c>
      <c r="AE21" s="127">
        <f t="shared" si="19"/>
        <v>6883.746481666143</v>
      </c>
      <c r="AF21" s="127">
        <f t="shared" si="19"/>
        <v>6801.912869068736</v>
      </c>
      <c r="AG21" s="127">
        <f t="shared" si="19"/>
        <v>6719.6018937311765</v>
      </c>
      <c r="AH21" s="127">
        <f t="shared" si="19"/>
        <v>6636.810771037482</v>
      </c>
      <c r="AI21" s="127">
        <f t="shared" si="19"/>
        <v>6553.536700128074</v>
      </c>
      <c r="AJ21" s="127">
        <f t="shared" si="19"/>
        <v>6469.7768638050275</v>
      </c>
      <c r="AK21" s="127">
        <f t="shared" si="19"/>
        <v>6385.528428436763</v>
      </c>
      <c r="AL21" s="127">
        <f t="shared" si="19"/>
        <v>6300.788543862184</v>
      </c>
      <c r="AM21" s="127">
        <f t="shared" si="19"/>
        <v>6215.554343294254</v>
      </c>
      <c r="AN21" s="127">
        <f t="shared" si="19"/>
        <v>6129.822943223009</v>
      </c>
      <c r="AO21" s="127">
        <f t="shared" si="19"/>
        <v>6043.591443318017</v>
      </c>
      <c r="AP21" s="127">
        <f t="shared" si="19"/>
        <v>6043.591443318017</v>
      </c>
      <c r="AQ21" s="127">
        <f t="shared" si="18"/>
        <v>4968.726543991292</v>
      </c>
      <c r="AR21" s="127">
        <f t="shared" si="18"/>
        <v>3816.1595741827077</v>
      </c>
      <c r="AS21" s="127">
        <f t="shared" si="18"/>
        <v>2580.273444934435</v>
      </c>
      <c r="AT21" s="127">
        <f t="shared" si="18"/>
        <v>1255.0450074737043</v>
      </c>
      <c r="AU21" s="127">
        <f>SUM(AU22:AU23)</f>
        <v>2.5565327632648405E-11</v>
      </c>
    </row>
    <row r="22" spans="1:47" ht="12.75">
      <c r="A22" s="131" t="s">
        <v>127</v>
      </c>
      <c r="B22" s="133"/>
      <c r="C22" s="127"/>
      <c r="D22" s="133">
        <f>кр!C27</f>
        <v>0</v>
      </c>
      <c r="E22" s="133">
        <f>кр!D27</f>
        <v>0</v>
      </c>
      <c r="F22" s="133">
        <f>кр!E27</f>
        <v>0</v>
      </c>
      <c r="G22" s="133">
        <f>кр!F27</f>
        <v>0</v>
      </c>
      <c r="H22" s="133">
        <f>кр!G27</f>
        <v>0</v>
      </c>
      <c r="I22" s="133">
        <f>кр!H27</f>
        <v>0</v>
      </c>
      <c r="J22" s="133">
        <f>кр!I27</f>
        <v>0</v>
      </c>
      <c r="K22" s="133">
        <f>кр!J27</f>
        <v>0</v>
      </c>
      <c r="L22" s="133">
        <f>кр!K27</f>
        <v>0</v>
      </c>
      <c r="M22" s="133">
        <f>кр!L27</f>
        <v>2518.6623000000004</v>
      </c>
      <c r="N22" s="133">
        <f>кр!M27</f>
        <v>7024.374600000001</v>
      </c>
      <c r="O22" s="133">
        <f>кр!N27</f>
        <v>7024.374600000001</v>
      </c>
      <c r="P22" s="133">
        <f>кр!O27</f>
        <v>7024.374600000001</v>
      </c>
      <c r="Q22" s="133">
        <f>кр!P27</f>
        <v>7024.374600000001</v>
      </c>
      <c r="R22" s="133">
        <f>кр!Q27</f>
        <v>7024.374600000001</v>
      </c>
      <c r="S22" s="133">
        <f>кр!R27</f>
        <v>7024.374600000001</v>
      </c>
      <c r="T22" s="133">
        <f>кр!S27</f>
        <v>7024.374600000001</v>
      </c>
      <c r="U22" s="133">
        <f>кр!T27</f>
        <v>7024.374600000001</v>
      </c>
      <c r="V22" s="133">
        <f>кр!U27</f>
        <v>7024.374600000001</v>
      </c>
      <c r="W22" s="133">
        <f>кр!V27</f>
        <v>7156.604370750001</v>
      </c>
      <c r="X22" s="133">
        <f>кр!W27</f>
        <v>7364.877455135024</v>
      </c>
      <c r="Y22" s="133">
        <f>кр!X27</f>
        <v>7285.850439882852</v>
      </c>
      <c r="Z22" s="133">
        <f>кр!Y27</f>
        <v>7206.362433708375</v>
      </c>
      <c r="AA22" s="133">
        <f>кр!Z27</f>
        <v>7126.41074749788</v>
      </c>
      <c r="AB22" s="133">
        <f>кр!AA27</f>
        <v>7045.9926764511565</v>
      </c>
      <c r="AC22" s="133">
        <f>кр!AB27</f>
        <v>7045.9926764511565</v>
      </c>
      <c r="AD22" s="133">
        <f>кр!AC27</f>
        <v>6965.105499989995</v>
      </c>
      <c r="AE22" s="133">
        <f>кр!AD27</f>
        <v>6883.746481666143</v>
      </c>
      <c r="AF22" s="133">
        <f>кр!AE27</f>
        <v>6801.912869068736</v>
      </c>
      <c r="AG22" s="133">
        <f>кр!AF27</f>
        <v>6719.6018937311765</v>
      </c>
      <c r="AH22" s="133">
        <f>кр!AG27</f>
        <v>6636.810771037482</v>
      </c>
      <c r="AI22" s="133">
        <f>кр!AH27</f>
        <v>6553.536700128074</v>
      </c>
      <c r="AJ22" s="133">
        <f>кр!AI27</f>
        <v>6469.7768638050275</v>
      </c>
      <c r="AK22" s="133">
        <f>кр!AJ27</f>
        <v>6385.528428436763</v>
      </c>
      <c r="AL22" s="133">
        <f>кр!AK27</f>
        <v>6300.788543862184</v>
      </c>
      <c r="AM22" s="133">
        <f>кр!AL27</f>
        <v>6215.554343294254</v>
      </c>
      <c r="AN22" s="133">
        <f>кр!AM27</f>
        <v>6129.822943223009</v>
      </c>
      <c r="AO22" s="133">
        <f>кр!AN27</f>
        <v>6043.591443318017</v>
      </c>
      <c r="AP22" s="133">
        <f>кр!AO27</f>
        <v>6043.591443318017</v>
      </c>
      <c r="AQ22" s="133">
        <f>кр!BB27</f>
        <v>4968.726543991292</v>
      </c>
      <c r="AR22" s="133">
        <f>кр!BO27</f>
        <v>3816.1595741827077</v>
      </c>
      <c r="AS22" s="133">
        <f>кр!CB27</f>
        <v>2580.273444934435</v>
      </c>
      <c r="AT22" s="133">
        <f>кр!CO27</f>
        <v>1255.0450074737043</v>
      </c>
      <c r="AU22" s="133">
        <f>кр!DB27</f>
        <v>2.5565327632648405E-11</v>
      </c>
    </row>
    <row r="23" spans="1:47" ht="15" customHeight="1" hidden="1">
      <c r="A23" s="131" t="s">
        <v>130</v>
      </c>
      <c r="B23" s="133"/>
      <c r="C23" s="133"/>
      <c r="D23" s="133">
        <f>C23</f>
        <v>0</v>
      </c>
      <c r="E23" s="133">
        <f>D23</f>
        <v>0</v>
      </c>
      <c r="F23" s="133">
        <f aca="true" t="shared" si="20" ref="F23:AU23">E23</f>
        <v>0</v>
      </c>
      <c r="G23" s="133">
        <f t="shared" si="20"/>
        <v>0</v>
      </c>
      <c r="H23" s="133">
        <f t="shared" si="20"/>
        <v>0</v>
      </c>
      <c r="I23" s="133">
        <f t="shared" si="20"/>
        <v>0</v>
      </c>
      <c r="J23" s="133">
        <f t="shared" si="20"/>
        <v>0</v>
      </c>
      <c r="K23" s="133">
        <f t="shared" si="20"/>
        <v>0</v>
      </c>
      <c r="L23" s="133">
        <f t="shared" si="20"/>
        <v>0</v>
      </c>
      <c r="M23" s="133">
        <f t="shared" si="20"/>
        <v>0</v>
      </c>
      <c r="N23" s="133">
        <f t="shared" si="20"/>
        <v>0</v>
      </c>
      <c r="O23" s="133">
        <f t="shared" si="20"/>
        <v>0</v>
      </c>
      <c r="P23" s="133">
        <f t="shared" si="20"/>
        <v>0</v>
      </c>
      <c r="Q23" s="133">
        <f t="shared" si="20"/>
        <v>0</v>
      </c>
      <c r="R23" s="133">
        <f t="shared" si="20"/>
        <v>0</v>
      </c>
      <c r="S23" s="133">
        <f t="shared" si="20"/>
        <v>0</v>
      </c>
      <c r="T23" s="133">
        <f t="shared" si="20"/>
        <v>0</v>
      </c>
      <c r="U23" s="133">
        <f t="shared" si="20"/>
        <v>0</v>
      </c>
      <c r="V23" s="133">
        <f t="shared" si="20"/>
        <v>0</v>
      </c>
      <c r="W23" s="133">
        <f t="shared" si="20"/>
        <v>0</v>
      </c>
      <c r="X23" s="133">
        <f t="shared" si="20"/>
        <v>0</v>
      </c>
      <c r="Y23" s="133">
        <f t="shared" si="20"/>
        <v>0</v>
      </c>
      <c r="Z23" s="133">
        <f t="shared" si="20"/>
        <v>0</v>
      </c>
      <c r="AA23" s="133">
        <f t="shared" si="20"/>
        <v>0</v>
      </c>
      <c r="AB23" s="133">
        <f t="shared" si="20"/>
        <v>0</v>
      </c>
      <c r="AC23" s="127">
        <f aca="true" t="shared" si="21" ref="AC23:AP23">AB23</f>
        <v>0</v>
      </c>
      <c r="AD23" s="133">
        <f t="shared" si="21"/>
        <v>0</v>
      </c>
      <c r="AE23" s="133">
        <f t="shared" si="21"/>
        <v>0</v>
      </c>
      <c r="AF23" s="133">
        <f t="shared" si="21"/>
        <v>0</v>
      </c>
      <c r="AG23" s="133">
        <f t="shared" si="21"/>
        <v>0</v>
      </c>
      <c r="AH23" s="133">
        <f t="shared" si="21"/>
        <v>0</v>
      </c>
      <c r="AI23" s="133">
        <f t="shared" si="21"/>
        <v>0</v>
      </c>
      <c r="AJ23" s="133">
        <f t="shared" si="21"/>
        <v>0</v>
      </c>
      <c r="AK23" s="133">
        <f t="shared" si="21"/>
        <v>0</v>
      </c>
      <c r="AL23" s="133">
        <f t="shared" si="21"/>
        <v>0</v>
      </c>
      <c r="AM23" s="133">
        <f t="shared" si="21"/>
        <v>0</v>
      </c>
      <c r="AN23" s="133">
        <f t="shared" si="21"/>
        <v>0</v>
      </c>
      <c r="AO23" s="133">
        <f t="shared" si="21"/>
        <v>0</v>
      </c>
      <c r="AP23" s="127">
        <f t="shared" si="21"/>
        <v>0</v>
      </c>
      <c r="AQ23" s="133">
        <f t="shared" si="20"/>
        <v>0</v>
      </c>
      <c r="AR23" s="133">
        <f t="shared" si="20"/>
        <v>0</v>
      </c>
      <c r="AS23" s="133">
        <f t="shared" si="20"/>
        <v>0</v>
      </c>
      <c r="AT23" s="133">
        <f t="shared" si="20"/>
        <v>0</v>
      </c>
      <c r="AU23" s="133">
        <f t="shared" si="20"/>
        <v>0</v>
      </c>
    </row>
    <row r="24" spans="1:47" s="130" customFormat="1" ht="15" customHeight="1">
      <c r="A24" s="126" t="s">
        <v>131</v>
      </c>
      <c r="B24" s="127"/>
      <c r="C24" s="127">
        <f aca="true" t="shared" si="22" ref="C24:AT24">SUM(C25:C26)</f>
        <v>0</v>
      </c>
      <c r="D24" s="127">
        <f t="shared" si="22"/>
        <v>0</v>
      </c>
      <c r="E24" s="127">
        <f t="shared" si="22"/>
        <v>0</v>
      </c>
      <c r="F24" s="127">
        <f t="shared" si="22"/>
        <v>0</v>
      </c>
      <c r="G24" s="127">
        <f t="shared" si="22"/>
        <v>0</v>
      </c>
      <c r="H24" s="127">
        <f t="shared" si="22"/>
        <v>0</v>
      </c>
      <c r="I24" s="127">
        <f t="shared" si="22"/>
        <v>0</v>
      </c>
      <c r="J24" s="127">
        <f t="shared" si="22"/>
        <v>0</v>
      </c>
      <c r="K24" s="127">
        <f t="shared" si="22"/>
        <v>0</v>
      </c>
      <c r="L24" s="127">
        <f t="shared" si="22"/>
        <v>0</v>
      </c>
      <c r="M24" s="127">
        <f t="shared" si="22"/>
        <v>0</v>
      </c>
      <c r="N24" s="127">
        <f t="shared" si="22"/>
        <v>-14.692196750000003</v>
      </c>
      <c r="O24" s="127">
        <f t="shared" si="22"/>
        <v>2162.6886447499996</v>
      </c>
      <c r="P24" s="127">
        <f t="shared" si="22"/>
        <v>2162.6886447499996</v>
      </c>
      <c r="Q24" s="127">
        <f t="shared" si="22"/>
        <v>3124.246356285714</v>
      </c>
      <c r="R24" s="127">
        <f t="shared" si="22"/>
        <v>4085.804067821428</v>
      </c>
      <c r="S24" s="127">
        <f t="shared" si="22"/>
        <v>9143.58941935714</v>
      </c>
      <c r="T24" s="127">
        <f t="shared" si="22"/>
        <v>8626.242890892856</v>
      </c>
      <c r="U24" s="127">
        <f t="shared" si="22"/>
        <v>8108.89636242857</v>
      </c>
      <c r="V24" s="127">
        <f t="shared" si="22"/>
        <v>7274.2000149642845</v>
      </c>
      <c r="W24" s="127">
        <f t="shared" si="22"/>
        <v>6439.503667499998</v>
      </c>
      <c r="X24" s="127">
        <f t="shared" si="22"/>
        <v>8369.512973849194</v>
      </c>
      <c r="Y24" s="127">
        <f t="shared" si="22"/>
        <v>9693.831508158526</v>
      </c>
      <c r="Z24" s="127">
        <f t="shared" si="22"/>
        <v>9809.65934196159</v>
      </c>
      <c r="AA24" s="127">
        <f t="shared" si="22"/>
        <v>9925.950855800671</v>
      </c>
      <c r="AB24" s="127">
        <f t="shared" si="22"/>
        <v>9891.58979304741</v>
      </c>
      <c r="AC24" s="127">
        <f t="shared" si="22"/>
        <v>9891.58979304741</v>
      </c>
      <c r="AD24" s="127">
        <f aca="true" t="shared" si="23" ref="AD24:AP24">SUM(AD25:AD26)</f>
        <v>10161.953170851446</v>
      </c>
      <c r="AE24" s="127">
        <f t="shared" si="23"/>
        <v>10432.788390518172</v>
      </c>
      <c r="AF24" s="127">
        <f t="shared" si="23"/>
        <v>10704.098204458453</v>
      </c>
      <c r="AG24" s="127">
        <f t="shared" si="23"/>
        <v>10930.967648911108</v>
      </c>
      <c r="AH24" s="127">
        <f t="shared" si="23"/>
        <v>11148.781508140362</v>
      </c>
      <c r="AI24" s="127">
        <f t="shared" si="23"/>
        <v>10565.190998964074</v>
      </c>
      <c r="AJ24" s="127">
        <f t="shared" si="23"/>
        <v>9982.086255201422</v>
      </c>
      <c r="AK24" s="127">
        <f t="shared" si="23"/>
        <v>13780.271183244333</v>
      </c>
      <c r="AL24" s="127">
        <f t="shared" si="23"/>
        <v>16511.577010835437</v>
      </c>
      <c r="AM24" s="127">
        <f t="shared" si="23"/>
        <v>17416.41795750694</v>
      </c>
      <c r="AN24" s="127">
        <f t="shared" si="23"/>
        <v>18321.65666378109</v>
      </c>
      <c r="AO24" s="127">
        <f t="shared" si="23"/>
        <v>18998.937908207954</v>
      </c>
      <c r="AP24" s="127">
        <f t="shared" si="23"/>
        <v>18998.937908207954</v>
      </c>
      <c r="AQ24" s="127">
        <f t="shared" si="22"/>
        <v>31065.956745658063</v>
      </c>
      <c r="AR24" s="127">
        <f t="shared" si="22"/>
        <v>42676.41274744566</v>
      </c>
      <c r="AS24" s="127">
        <f t="shared" si="22"/>
        <v>53808.86336013461</v>
      </c>
      <c r="AT24" s="127">
        <f t="shared" si="22"/>
        <v>64440.89406691061</v>
      </c>
      <c r="AU24" s="127">
        <f>SUM(AU25:AU26)</f>
        <v>74548.87290867108</v>
      </c>
    </row>
    <row r="25" spans="1:47" ht="15" customHeight="1">
      <c r="A25" s="131" t="s">
        <v>132</v>
      </c>
      <c r="B25" s="127"/>
      <c r="C25" s="133"/>
      <c r="D25" s="133">
        <f>C25+'1-Ф3'!D27</f>
        <v>0</v>
      </c>
      <c r="E25" s="133">
        <f>D25+'1-Ф3'!E27</f>
        <v>0</v>
      </c>
      <c r="F25" s="133">
        <f>E25+'1-Ф3'!F27</f>
        <v>0</v>
      </c>
      <c r="G25" s="133">
        <f>F25+'1-Ф3'!G27</f>
        <v>0</v>
      </c>
      <c r="H25" s="133">
        <f>G25+'1-Ф3'!H27</f>
        <v>0</v>
      </c>
      <c r="I25" s="133">
        <f>H25+'1-Ф3'!I27</f>
        <v>0</v>
      </c>
      <c r="J25" s="133">
        <f>I25+'1-Ф3'!J27</f>
        <v>0</v>
      </c>
      <c r="K25" s="133">
        <f>J25+'1-Ф3'!K27</f>
        <v>0</v>
      </c>
      <c r="L25" s="133">
        <f>K25+'1-Ф3'!L27</f>
        <v>0</v>
      </c>
      <c r="M25" s="133">
        <f>L25+'1-Ф3'!M27</f>
        <v>0</v>
      </c>
      <c r="N25" s="133">
        <f>M25+'1-Ф3'!N27</f>
        <v>0</v>
      </c>
      <c r="O25" s="133">
        <f>N25+'1-Ф3'!O27</f>
        <v>2218.3563599999998</v>
      </c>
      <c r="P25" s="133">
        <f>O25</f>
        <v>2218.3563599999998</v>
      </c>
      <c r="Q25" s="133">
        <f>P25+'1-Ф3'!Q27</f>
        <v>3697.2605999999996</v>
      </c>
      <c r="R25" s="133">
        <f>Q25+'1-Ф3'!R27</f>
        <v>5176.1648399999995</v>
      </c>
      <c r="S25" s="133">
        <f>R25+'1-Ф3'!S27</f>
        <v>10751.296719999998</v>
      </c>
      <c r="T25" s="133">
        <f>S25+'1-Ф3'!T27</f>
        <v>10751.296719999998</v>
      </c>
      <c r="U25" s="133">
        <f>T25+'1-Ф3'!U27</f>
        <v>10751.296719999998</v>
      </c>
      <c r="V25" s="133">
        <f>U25+'1-Ф3'!V27</f>
        <v>10751.296719999998</v>
      </c>
      <c r="W25" s="133">
        <f>V25+'1-Ф3'!W27</f>
        <v>10751.296719999998</v>
      </c>
      <c r="X25" s="133">
        <f>W25+'1-Ф3'!X27</f>
        <v>10751.296719999998</v>
      </c>
      <c r="Y25" s="133">
        <f>X25+'1-Ф3'!Y27</f>
        <v>10751.296719999998</v>
      </c>
      <c r="Z25" s="133">
        <f>Y25+'1-Ф3'!Z27</f>
        <v>10751.296719999998</v>
      </c>
      <c r="AA25" s="133">
        <f>Z25+'1-Ф3'!AA27</f>
        <v>10751.296719999998</v>
      </c>
      <c r="AB25" s="133">
        <f>AA25+'1-Ф3'!AB27</f>
        <v>10751.296719999998</v>
      </c>
      <c r="AC25" s="133">
        <f>AB25</f>
        <v>10751.296719999998</v>
      </c>
      <c r="AD25" s="133">
        <f>AC25+'1-Ф3'!AD27</f>
        <v>10751.296719999998</v>
      </c>
      <c r="AE25" s="133">
        <f>AD25+'1-Ф3'!AE27</f>
        <v>10751.296719999998</v>
      </c>
      <c r="AF25" s="133">
        <f>AE25+'1-Ф3'!AF27</f>
        <v>10751.296719999998</v>
      </c>
      <c r="AG25" s="133">
        <f>AF25+'1-Ф3'!AG27</f>
        <v>10751.296719999998</v>
      </c>
      <c r="AH25" s="133">
        <f>AG25+'1-Ф3'!AH27</f>
        <v>10751.296719999998</v>
      </c>
      <c r="AI25" s="133">
        <f>AH25+'1-Ф3'!AI27</f>
        <v>10751.296719999998</v>
      </c>
      <c r="AJ25" s="133">
        <f>AI25+'1-Ф3'!AJ27</f>
        <v>10751.296719999998</v>
      </c>
      <c r="AK25" s="133">
        <f>AJ25+'1-Ф3'!AK27</f>
        <v>10751.296719999998</v>
      </c>
      <c r="AL25" s="133">
        <f>AK25+'1-Ф3'!AL27</f>
        <v>10751.296719999998</v>
      </c>
      <c r="AM25" s="133">
        <f>AL25+'1-Ф3'!AM27</f>
        <v>10751.296719999998</v>
      </c>
      <c r="AN25" s="133">
        <f>AM25+'1-Ф3'!AN27</f>
        <v>10751.296719999998</v>
      </c>
      <c r="AO25" s="133">
        <f>AN25+'1-Ф3'!AO27</f>
        <v>10751.296719999998</v>
      </c>
      <c r="AP25" s="133">
        <f>AO25</f>
        <v>10751.296719999998</v>
      </c>
      <c r="AQ25" s="133">
        <f>AP25+'1-Ф3'!AQ27</f>
        <v>10751.296719999998</v>
      </c>
      <c r="AR25" s="133">
        <f>AQ25+'1-Ф3'!AR27</f>
        <v>10751.296719999998</v>
      </c>
      <c r="AS25" s="133">
        <f>AR25+'1-Ф3'!AS27</f>
        <v>10751.296719999998</v>
      </c>
      <c r="AT25" s="133">
        <f>AS25+'1-Ф3'!AT27</f>
        <v>10751.296719999998</v>
      </c>
      <c r="AU25" s="133">
        <f>AT25+'1-Ф3'!AU27</f>
        <v>10751.296719999998</v>
      </c>
    </row>
    <row r="26" spans="1:47" ht="15" customHeight="1">
      <c r="A26" s="131" t="s">
        <v>133</v>
      </c>
      <c r="B26" s="127"/>
      <c r="C26" s="133"/>
      <c r="D26" s="133">
        <f>'2-ф2'!D16</f>
        <v>0</v>
      </c>
      <c r="E26" s="133">
        <f>'2-ф2'!E16</f>
        <v>0</v>
      </c>
      <c r="F26" s="133">
        <f>'2-ф2'!F16</f>
        <v>0</v>
      </c>
      <c r="G26" s="133">
        <f>'2-ф2'!G16</f>
        <v>0</v>
      </c>
      <c r="H26" s="133">
        <f>'2-ф2'!H16</f>
        <v>0</v>
      </c>
      <c r="I26" s="133">
        <f>'2-ф2'!I16</f>
        <v>0</v>
      </c>
      <c r="J26" s="133">
        <f>'2-ф2'!J16</f>
        <v>0</v>
      </c>
      <c r="K26" s="133">
        <f>'2-ф2'!K16</f>
        <v>0</v>
      </c>
      <c r="L26" s="133">
        <f>'2-ф2'!L16</f>
        <v>0</v>
      </c>
      <c r="M26" s="133">
        <f>'2-ф2'!M16</f>
        <v>0</v>
      </c>
      <c r="N26" s="133">
        <f>'2-ф2'!N16</f>
        <v>-14.692196750000003</v>
      </c>
      <c r="O26" s="133">
        <f>'2-ф2'!O16</f>
        <v>-55.66771525000001</v>
      </c>
      <c r="P26" s="133">
        <f>'2-ф2'!P16</f>
        <v>-55.66771525000001</v>
      </c>
      <c r="Q26" s="133">
        <f>'2-ф2'!Q16</f>
        <v>-573.0142437142858</v>
      </c>
      <c r="R26" s="133">
        <f>'2-ф2'!R16</f>
        <v>-1090.3607721785716</v>
      </c>
      <c r="S26" s="133">
        <f>'2-ф2'!S16</f>
        <v>-1607.7073006428573</v>
      </c>
      <c r="T26" s="133">
        <f>'2-ф2'!T16</f>
        <v>-2125.053829107143</v>
      </c>
      <c r="U26" s="133">
        <f>'2-ф2'!U16</f>
        <v>-2642.4003575714287</v>
      </c>
      <c r="V26" s="133">
        <f>'2-ф2'!V16</f>
        <v>-3477.0967050357144</v>
      </c>
      <c r="W26" s="133">
        <f>'2-ф2'!W16</f>
        <v>-4311.7930525</v>
      </c>
      <c r="X26" s="133">
        <f>'2-ф2'!X16</f>
        <v>-2381.7837461508043</v>
      </c>
      <c r="Y26" s="133">
        <f>'2-ф2'!Y16</f>
        <v>-1057.4652118414724</v>
      </c>
      <c r="Z26" s="133">
        <f>'2-ф2'!Z16</f>
        <v>-941.6373780384085</v>
      </c>
      <c r="AA26" s="133">
        <f>'2-ф2'!AA16</f>
        <v>-825.3458641993269</v>
      </c>
      <c r="AB26" s="133">
        <f>'2-ф2'!AB16</f>
        <v>-859.7069269525883</v>
      </c>
      <c r="AC26" s="133">
        <f>'2-ф2'!AC16</f>
        <v>-859.7069269525883</v>
      </c>
      <c r="AD26" s="133">
        <f>'2-ф2'!AD16</f>
        <v>-589.3435491485529</v>
      </c>
      <c r="AE26" s="133">
        <f>'2-ф2'!AE16</f>
        <v>-318.5083294818274</v>
      </c>
      <c r="AF26" s="133">
        <f>'2-ф2'!AF16</f>
        <v>-47.198515541546044</v>
      </c>
      <c r="AG26" s="133">
        <f>'2-ф2'!AG16</f>
        <v>179.67092891110946</v>
      </c>
      <c r="AH26" s="133">
        <f>'2-ф2'!AH16</f>
        <v>397.48478814036434</v>
      </c>
      <c r="AI26" s="133">
        <f>'2-ф2'!AI16</f>
        <v>-186.10572103592528</v>
      </c>
      <c r="AJ26" s="133">
        <f>'2-ф2'!AJ16</f>
        <v>-769.2104647985767</v>
      </c>
      <c r="AK26" s="133">
        <f>'2-ф2'!AK16</f>
        <v>3028.9744632443344</v>
      </c>
      <c r="AL26" s="133">
        <f>'2-ф2'!AL16</f>
        <v>5760.280290835439</v>
      </c>
      <c r="AM26" s="133">
        <f>'2-ф2'!AM16</f>
        <v>6665.12123750694</v>
      </c>
      <c r="AN26" s="133">
        <f>'2-ф2'!AN16</f>
        <v>7570.359943781091</v>
      </c>
      <c r="AO26" s="133">
        <f>'2-ф2'!AO16</f>
        <v>8247.641188207956</v>
      </c>
      <c r="AP26" s="133">
        <f>'2-ф2'!AP16</f>
        <v>8247.641188207956</v>
      </c>
      <c r="AQ26" s="133">
        <f>'2-ф2'!AQ16</f>
        <v>20314.660025658064</v>
      </c>
      <c r="AR26" s="133">
        <f>'2-ф2'!AR16</f>
        <v>31925.116027445663</v>
      </c>
      <c r="AS26" s="133">
        <f>'2-ф2'!AS16</f>
        <v>43057.56664013461</v>
      </c>
      <c r="AT26" s="133">
        <f>'2-ф2'!AT16</f>
        <v>53689.59734691061</v>
      </c>
      <c r="AU26" s="133">
        <f>'2-ф2'!AU16</f>
        <v>63797.57618867108</v>
      </c>
    </row>
    <row r="28" spans="1:47" ht="12.75">
      <c r="A28" s="136" t="s">
        <v>134</v>
      </c>
      <c r="B28" s="137"/>
      <c r="C28" s="138">
        <f aca="true" t="shared" si="24" ref="C28:AT28">C5-C16</f>
        <v>0</v>
      </c>
      <c r="D28" s="263">
        <f t="shared" si="24"/>
        <v>0</v>
      </c>
      <c r="E28" s="263">
        <f t="shared" si="24"/>
        <v>0</v>
      </c>
      <c r="F28" s="263">
        <f t="shared" si="24"/>
        <v>0</v>
      </c>
      <c r="G28" s="263">
        <f t="shared" si="24"/>
        <v>0</v>
      </c>
      <c r="H28" s="263">
        <f t="shared" si="24"/>
        <v>0</v>
      </c>
      <c r="I28" s="263">
        <f t="shared" si="24"/>
        <v>0</v>
      </c>
      <c r="J28" s="263">
        <f t="shared" si="24"/>
        <v>0</v>
      </c>
      <c r="K28" s="263">
        <f t="shared" si="24"/>
        <v>0</v>
      </c>
      <c r="L28" s="263">
        <f aca="true" t="shared" si="25" ref="L28:Q28">L5-L16</f>
        <v>0</v>
      </c>
      <c r="M28" s="263">
        <f t="shared" si="25"/>
        <v>0</v>
      </c>
      <c r="N28" s="263">
        <f t="shared" si="25"/>
        <v>0</v>
      </c>
      <c r="O28" s="263">
        <f t="shared" si="25"/>
        <v>0</v>
      </c>
      <c r="P28" s="263">
        <f t="shared" si="25"/>
        <v>0</v>
      </c>
      <c r="Q28" s="263">
        <f t="shared" si="25"/>
        <v>0</v>
      </c>
      <c r="R28" s="263">
        <f t="shared" si="24"/>
        <v>0</v>
      </c>
      <c r="S28" s="263">
        <f t="shared" si="24"/>
        <v>0</v>
      </c>
      <c r="T28" s="263">
        <f t="shared" si="24"/>
        <v>0</v>
      </c>
      <c r="U28" s="263">
        <f t="shared" si="24"/>
        <v>0</v>
      </c>
      <c r="V28" s="263">
        <f t="shared" si="24"/>
        <v>0</v>
      </c>
      <c r="W28" s="263">
        <f t="shared" si="24"/>
        <v>0</v>
      </c>
      <c r="X28" s="263">
        <f t="shared" si="24"/>
        <v>0</v>
      </c>
      <c r="Y28" s="263">
        <f t="shared" si="24"/>
        <v>0</v>
      </c>
      <c r="Z28" s="263">
        <f t="shared" si="24"/>
        <v>0</v>
      </c>
      <c r="AA28" s="263">
        <f t="shared" si="24"/>
        <v>0</v>
      </c>
      <c r="AB28" s="263">
        <f t="shared" si="24"/>
        <v>0</v>
      </c>
      <c r="AC28" s="263">
        <f t="shared" si="24"/>
        <v>0</v>
      </c>
      <c r="AD28" s="263">
        <f t="shared" si="24"/>
        <v>0</v>
      </c>
      <c r="AE28" s="263">
        <f t="shared" si="24"/>
        <v>0</v>
      </c>
      <c r="AF28" s="263">
        <f aca="true" t="shared" si="26" ref="AF28:AP28">AF5-AF16</f>
        <v>0</v>
      </c>
      <c r="AG28" s="263">
        <f t="shared" si="26"/>
        <v>0</v>
      </c>
      <c r="AH28" s="263">
        <f t="shared" si="26"/>
        <v>0</v>
      </c>
      <c r="AI28" s="263">
        <f t="shared" si="26"/>
        <v>0</v>
      </c>
      <c r="AJ28" s="263">
        <f t="shared" si="26"/>
        <v>0</v>
      </c>
      <c r="AK28" s="263">
        <f t="shared" si="26"/>
        <v>0</v>
      </c>
      <c r="AL28" s="263">
        <f t="shared" si="26"/>
        <v>0</v>
      </c>
      <c r="AM28" s="263">
        <f t="shared" si="26"/>
        <v>0</v>
      </c>
      <c r="AN28" s="263">
        <f t="shared" si="26"/>
        <v>0</v>
      </c>
      <c r="AO28" s="263">
        <f t="shared" si="26"/>
        <v>0</v>
      </c>
      <c r="AP28" s="263">
        <f t="shared" si="26"/>
        <v>0</v>
      </c>
      <c r="AQ28" s="263">
        <f t="shared" si="24"/>
        <v>0</v>
      </c>
      <c r="AR28" s="263">
        <f t="shared" si="24"/>
        <v>0</v>
      </c>
      <c r="AS28" s="263">
        <f t="shared" si="24"/>
        <v>0</v>
      </c>
      <c r="AT28" s="263">
        <f t="shared" si="24"/>
        <v>0</v>
      </c>
      <c r="AU28" s="263">
        <f>AU5-AU16</f>
        <v>0</v>
      </c>
    </row>
    <row r="29" spans="11:47" ht="12.75" hidden="1"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</row>
    <row r="30" spans="1:47" ht="12.75" hidden="1">
      <c r="A30" s="119" t="s">
        <v>133</v>
      </c>
      <c r="K30" s="303"/>
      <c r="L30" s="303" t="e">
        <f>'[45]ф2'!L32</f>
        <v>#REF!</v>
      </c>
      <c r="M30" s="303" t="e">
        <f>'[45]ф2'!M32</f>
        <v>#REF!</v>
      </c>
      <c r="N30" s="303" t="e">
        <f>'[45]ф2'!N32</f>
        <v>#REF!</v>
      </c>
      <c r="O30" s="303" t="e">
        <f>'[45]ф2'!O32</f>
        <v>#REF!</v>
      </c>
      <c r="P30" s="303" t="e">
        <f>'[45]ф2'!P32</f>
        <v>#REF!</v>
      </c>
      <c r="Q30" s="303">
        <f>'[45]ф2'!Q32</f>
        <v>109.48954266069855</v>
      </c>
      <c r="R30" s="303">
        <f>'[45]ф2'!R32</f>
        <v>109.48954266069855</v>
      </c>
      <c r="S30" s="303">
        <f>'[45]ф2'!S32</f>
        <v>108.45296951069854</v>
      </c>
      <c r="T30" s="303">
        <f>'[45]ф2'!T32</f>
        <v>106.37982321069852</v>
      </c>
      <c r="U30" s="303">
        <f>'[45]ф2'!U32</f>
        <v>103.27010376069849</v>
      </c>
      <c r="V30" s="303">
        <f>'[45]ф2'!V32</f>
        <v>103.27010376069849</v>
      </c>
      <c r="W30" s="303">
        <f>'[45]ф2'!W32</f>
        <v>103.27010376069849</v>
      </c>
      <c r="X30" s="303">
        <f>'[45]ф2'!X32</f>
        <v>99.20125340855881</v>
      </c>
      <c r="Y30" s="303">
        <f>'[45]ф2'!Y32</f>
        <v>99.20125340855881</v>
      </c>
      <c r="Z30" s="303">
        <f>'[45]ф2'!Z32</f>
        <v>99.20125340855881</v>
      </c>
      <c r="AA30" s="303">
        <f>'[45]ф2'!AA32</f>
        <v>99.20125340855881</v>
      </c>
      <c r="AB30" s="303">
        <f>'[45]ф2'!AB32</f>
        <v>82.61608300855879</v>
      </c>
      <c r="AC30" s="303">
        <f>AC26-P26</f>
        <v>-804.0392117025883</v>
      </c>
      <c r="AD30" s="303" t="e">
        <f>'[45]ф2'!AD32</f>
        <v>#REF!</v>
      </c>
      <c r="AE30" s="303" t="e">
        <f>'[45]ф2'!AE32</f>
        <v>#REF!</v>
      </c>
      <c r="AF30" s="303" t="e">
        <f>'[45]ф2'!AF32</f>
        <v>#REF!</v>
      </c>
      <c r="AG30" s="303" t="e">
        <f>'[45]ф2'!AG32</f>
        <v>#REF!</v>
      </c>
      <c r="AH30" s="303" t="e">
        <f>'[45]ф2'!AH32</f>
        <v>#REF!</v>
      </c>
      <c r="AI30" s="303" t="e">
        <f>'[45]ф2'!AI32</f>
        <v>#REF!</v>
      </c>
      <c r="AJ30" s="303" t="e">
        <f>'[45]ф2'!AJ32</f>
        <v>#REF!</v>
      </c>
      <c r="AK30" s="303" t="e">
        <f>'[45]ф2'!AK32</f>
        <v>#REF!</v>
      </c>
      <c r="AL30" s="303" t="e">
        <f>'[45]ф2'!AL32</f>
        <v>#REF!</v>
      </c>
      <c r="AM30" s="303" t="e">
        <f>'[45]ф2'!AM32</f>
        <v>#REF!</v>
      </c>
      <c r="AN30" s="303" t="e">
        <f>'[45]ф2'!AN32</f>
        <v>#REF!</v>
      </c>
      <c r="AO30" s="303" t="e">
        <f>'[45]ф2'!AO32</f>
        <v>#REF!</v>
      </c>
      <c r="AP30" s="303">
        <f>AP26-AC26</f>
        <v>9107.348115160545</v>
      </c>
      <c r="AQ30" s="303">
        <f>AQ26-AP26</f>
        <v>12067.018837450109</v>
      </c>
      <c r="AR30" s="303">
        <f>AR26-AQ26</f>
        <v>11610.4560017876</v>
      </c>
      <c r="AS30" s="303">
        <f>AS26-AR26</f>
        <v>11132.450612688946</v>
      </c>
      <c r="AT30" s="303">
        <f>AT26-AS26</f>
        <v>10632.030706776</v>
      </c>
      <c r="AU30" s="303">
        <f>AU26-AT26</f>
        <v>10107.978841760472</v>
      </c>
    </row>
    <row r="31" spans="1:47" ht="12.75" hidden="1">
      <c r="A31" s="119" t="s">
        <v>135</v>
      </c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>
        <f>(AC8+AC10+AC13+AC14)-(P8+P10+P13+P14)</f>
        <v>-990.2926028571428</v>
      </c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>
        <f>(AP8+AP10+AP13+AP14)-(AC8+AC10+AC13+AC14)</f>
        <v>0</v>
      </c>
      <c r="AQ31" s="303">
        <f>(AQ8+AQ10+AQ13+AQ14)-(AP8+AP10+AP13+AP14)</f>
        <v>0</v>
      </c>
      <c r="AR31" s="303">
        <f>(AR8+AR10+AR13+AR14)-(AQ8+AQ10+AQ13+AQ14)</f>
        <v>0</v>
      </c>
      <c r="AS31" s="303">
        <f>(AS8+AS10+AS13+AS14)-(AR8+AR10+AR13+AR14)</f>
        <v>0</v>
      </c>
      <c r="AT31" s="303">
        <f>(AT8+AT10+AT13+AT14)-(AS8+AS10+AS13+AS14)</f>
        <v>0</v>
      </c>
      <c r="AU31" s="303">
        <f>(AU8+AU10+AU13+AU14)-(AT8+AT10+AT13+AT14)</f>
        <v>0</v>
      </c>
    </row>
    <row r="32" spans="1:47" ht="12.75" hidden="1">
      <c r="A32" s="119" t="s">
        <v>136</v>
      </c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>
        <f>AC9-P9</f>
        <v>1568.6948545714301</v>
      </c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>
        <f>AP9-AC9</f>
        <v>0</v>
      </c>
      <c r="AQ32" s="303">
        <f>AQ9-AP9</f>
        <v>0</v>
      </c>
      <c r="AR32" s="303">
        <f>AR9-AQ9</f>
        <v>0</v>
      </c>
      <c r="AS32" s="303">
        <f>AS9-AR9</f>
        <v>0</v>
      </c>
      <c r="AT32" s="303">
        <f>AT9-AS9</f>
        <v>0</v>
      </c>
      <c r="AU32" s="303">
        <f>AU9-AT9</f>
        <v>0</v>
      </c>
    </row>
    <row r="33" spans="1:47" ht="12.75" hidden="1">
      <c r="A33" s="119" t="s">
        <v>137</v>
      </c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>
        <f>(AC21+AC17)-(P21+P17)</f>
        <v>-34.04963879884417</v>
      </c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>
        <f>(AP21+AP17)-(AC21+AC17)</f>
        <v>-1002.4012331331396</v>
      </c>
      <c r="AQ33" s="303">
        <f>(AQ21+AQ17)-(AP21+AP17)</f>
        <v>-1074.8648993267252</v>
      </c>
      <c r="AR33" s="303">
        <f>(AR21+AR17)-(AQ21+AQ17)</f>
        <v>-1152.566969808584</v>
      </c>
      <c r="AS33" s="303">
        <f>(AS21+AS17)-(AR21+AR17)</f>
        <v>-1235.886129248273</v>
      </c>
      <c r="AT33" s="303">
        <f>(AT21+AT17)-(AS21+AS17)</f>
        <v>-1325.2284374607304</v>
      </c>
      <c r="AU33" s="303">
        <f>(AU21+AU17)-(AT21+AT17)</f>
        <v>-1255.0450074736789</v>
      </c>
    </row>
    <row r="34" spans="1:47" ht="12.75" hidden="1">
      <c r="A34" s="119" t="s">
        <v>138</v>
      </c>
      <c r="K34" s="303"/>
      <c r="L34" s="303">
        <f aca="true" t="shared" si="27" ref="L34:Q34">L31+L32+L33</f>
        <v>0</v>
      </c>
      <c r="M34" s="303">
        <f t="shared" si="27"/>
        <v>0</v>
      </c>
      <c r="N34" s="303">
        <f t="shared" si="27"/>
        <v>0</v>
      </c>
      <c r="O34" s="303">
        <f t="shared" si="27"/>
        <v>0</v>
      </c>
      <c r="P34" s="303">
        <f t="shared" si="27"/>
        <v>0</v>
      </c>
      <c r="Q34" s="303">
        <f t="shared" si="27"/>
        <v>0</v>
      </c>
      <c r="R34" s="303">
        <f aca="true" t="shared" si="28" ref="R34:AB34">R31+R32+R33</f>
        <v>0</v>
      </c>
      <c r="S34" s="303">
        <f t="shared" si="28"/>
        <v>0</v>
      </c>
      <c r="T34" s="303">
        <f t="shared" si="28"/>
        <v>0</v>
      </c>
      <c r="U34" s="303">
        <f t="shared" si="28"/>
        <v>0</v>
      </c>
      <c r="V34" s="303">
        <f t="shared" si="28"/>
        <v>0</v>
      </c>
      <c r="W34" s="303">
        <f t="shared" si="28"/>
        <v>0</v>
      </c>
      <c r="X34" s="303">
        <f t="shared" si="28"/>
        <v>0</v>
      </c>
      <c r="Y34" s="303">
        <f t="shared" si="28"/>
        <v>0</v>
      </c>
      <c r="Z34" s="303">
        <f t="shared" si="28"/>
        <v>0</v>
      </c>
      <c r="AA34" s="303">
        <f t="shared" si="28"/>
        <v>0</v>
      </c>
      <c r="AB34" s="303">
        <f t="shared" si="28"/>
        <v>0</v>
      </c>
      <c r="AC34" s="303">
        <f>-AC31+AC32+AC33</f>
        <v>2524.937818629729</v>
      </c>
      <c r="AD34" s="303">
        <f aca="true" t="shared" si="29" ref="AD34:AO34">AD31+AD32+AD33</f>
        <v>0</v>
      </c>
      <c r="AE34" s="303">
        <f t="shared" si="29"/>
        <v>0</v>
      </c>
      <c r="AF34" s="303">
        <f t="shared" si="29"/>
        <v>0</v>
      </c>
      <c r="AG34" s="303">
        <f t="shared" si="29"/>
        <v>0</v>
      </c>
      <c r="AH34" s="303">
        <f t="shared" si="29"/>
        <v>0</v>
      </c>
      <c r="AI34" s="303">
        <f t="shared" si="29"/>
        <v>0</v>
      </c>
      <c r="AJ34" s="303">
        <f t="shared" si="29"/>
        <v>0</v>
      </c>
      <c r="AK34" s="303">
        <f t="shared" si="29"/>
        <v>0</v>
      </c>
      <c r="AL34" s="303">
        <f t="shared" si="29"/>
        <v>0</v>
      </c>
      <c r="AM34" s="303">
        <f t="shared" si="29"/>
        <v>0</v>
      </c>
      <c r="AN34" s="303">
        <f t="shared" si="29"/>
        <v>0</v>
      </c>
      <c r="AO34" s="303">
        <f t="shared" si="29"/>
        <v>0</v>
      </c>
      <c r="AP34" s="303">
        <f aca="true" t="shared" si="30" ref="AP34:AU34">-AP31+AP32+AP33</f>
        <v>-1002.4012331331396</v>
      </c>
      <c r="AQ34" s="303">
        <f t="shared" si="30"/>
        <v>-1074.8648993267252</v>
      </c>
      <c r="AR34" s="303">
        <f t="shared" si="30"/>
        <v>-1152.566969808584</v>
      </c>
      <c r="AS34" s="303">
        <f t="shared" si="30"/>
        <v>-1235.886129248273</v>
      </c>
      <c r="AT34" s="303">
        <f t="shared" si="30"/>
        <v>-1325.2284374607304</v>
      </c>
      <c r="AU34" s="303">
        <f t="shared" si="30"/>
        <v>-1255.0450074736789</v>
      </c>
    </row>
    <row r="35" spans="1:47" ht="12.75" hidden="1">
      <c r="A35" s="119" t="s">
        <v>77</v>
      </c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>
        <f>'2-ф2'!AC11</f>
        <v>627.1763035714285</v>
      </c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>
        <f>'2-ф2'!AP11</f>
        <v>627.1763035714285</v>
      </c>
      <c r="AQ35" s="303">
        <f>'2-ф2'!AQ11</f>
        <v>627.1763035714285</v>
      </c>
      <c r="AR35" s="303">
        <f>'2-ф2'!AR11</f>
        <v>627.1763035714285</v>
      </c>
      <c r="AS35" s="303">
        <f>'2-ф2'!AS11</f>
        <v>627.1763035714285</v>
      </c>
      <c r="AT35" s="303">
        <f>'2-ф2'!AT11</f>
        <v>627.1763035714285</v>
      </c>
      <c r="AU35" s="303">
        <f>'2-ф2'!AU11</f>
        <v>627.1763035714285</v>
      </c>
    </row>
    <row r="36" spans="1:47" ht="12.75" hidden="1">
      <c r="A36" s="119" t="s">
        <v>139</v>
      </c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>
        <f>-'1-Ф3'!AC20</f>
        <v>0</v>
      </c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>
        <f>-'1-Ф3'!AP20</f>
        <v>0</v>
      </c>
      <c r="AQ36" s="303">
        <f>-'1-Ф3'!AQ20</f>
        <v>0</v>
      </c>
      <c r="AR36" s="303">
        <f>-'1-Ф3'!AR20</f>
        <v>0</v>
      </c>
      <c r="AS36" s="303">
        <f>-'1-Ф3'!AS20</f>
        <v>0</v>
      </c>
      <c r="AT36" s="303">
        <f>-'1-Ф3'!AT20</f>
        <v>0</v>
      </c>
      <c r="AU36" s="303">
        <f>-'1-Ф3'!AU20</f>
        <v>0</v>
      </c>
    </row>
    <row r="37" spans="1:47" ht="12.75" hidden="1">
      <c r="A37" s="119" t="s">
        <v>140</v>
      </c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>
        <f>AC30+AC34+AC35+AC36</f>
        <v>2348.0749104985694</v>
      </c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>
        <f aca="true" t="shared" si="31" ref="AP37:AU37">AP30+AP34+AP35+AP36</f>
        <v>8732.123185598834</v>
      </c>
      <c r="AQ37" s="303">
        <f t="shared" si="31"/>
        <v>11619.330241694812</v>
      </c>
      <c r="AR37" s="303">
        <f t="shared" si="31"/>
        <v>11085.065335550444</v>
      </c>
      <c r="AS37" s="303">
        <f t="shared" si="31"/>
        <v>10523.740787012102</v>
      </c>
      <c r="AT37" s="303">
        <f t="shared" si="31"/>
        <v>9933.9785728867</v>
      </c>
      <c r="AU37" s="303">
        <f t="shared" si="31"/>
        <v>9480.110137858223</v>
      </c>
    </row>
    <row r="38" spans="11:47" ht="12.75" hidden="1"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</row>
    <row r="39" spans="1:47" ht="12.75" hidden="1">
      <c r="A39" s="119" t="s">
        <v>146</v>
      </c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>
        <f>'1-Ф3'!AC33</f>
        <v>7743.625561355704</v>
      </c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>
        <f>'1-Ф3'!AP33</f>
        <v>8732.123185598823</v>
      </c>
      <c r="AQ39" s="303">
        <f>'1-Ф3'!AQ33</f>
        <v>11619.330241694815</v>
      </c>
      <c r="AR39" s="303">
        <f>'1-Ф3'!AR33</f>
        <v>11085.065335550447</v>
      </c>
      <c r="AS39" s="303">
        <f>'1-Ф3'!AS33</f>
        <v>10523.740787012113</v>
      </c>
      <c r="AT39" s="303">
        <f>'1-Ф3'!AT33</f>
        <v>9933.978572886695</v>
      </c>
      <c r="AU39" s="303">
        <f>'1-Ф3'!AU33</f>
        <v>9480.110137858233</v>
      </c>
    </row>
    <row r="40" spans="1:47" ht="12.75" hidden="1">
      <c r="A40" s="136" t="s">
        <v>134</v>
      </c>
      <c r="B40" s="137"/>
      <c r="C40" s="138"/>
      <c r="D40" s="139"/>
      <c r="E40" s="139"/>
      <c r="F40" s="139"/>
      <c r="G40" s="139"/>
      <c r="H40" s="139"/>
      <c r="I40" s="139"/>
      <c r="J40" s="139"/>
      <c r="K40" s="263"/>
      <c r="L40" s="263">
        <f aca="true" t="shared" si="32" ref="L40:Q40">L39-L37</f>
        <v>0</v>
      </c>
      <c r="M40" s="263">
        <f t="shared" si="32"/>
        <v>0</v>
      </c>
      <c r="N40" s="263">
        <f t="shared" si="32"/>
        <v>0</v>
      </c>
      <c r="O40" s="263">
        <f t="shared" si="32"/>
        <v>0</v>
      </c>
      <c r="P40" s="263">
        <f t="shared" si="32"/>
        <v>0</v>
      </c>
      <c r="Q40" s="263">
        <f t="shared" si="32"/>
        <v>0</v>
      </c>
      <c r="R40" s="263">
        <f aca="true" t="shared" si="33" ref="R40:AB40">R39-R37</f>
        <v>0</v>
      </c>
      <c r="S40" s="263">
        <f t="shared" si="33"/>
        <v>0</v>
      </c>
      <c r="T40" s="263">
        <f t="shared" si="33"/>
        <v>0</v>
      </c>
      <c r="U40" s="263">
        <f t="shared" si="33"/>
        <v>0</v>
      </c>
      <c r="V40" s="263">
        <f t="shared" si="33"/>
        <v>0</v>
      </c>
      <c r="W40" s="263">
        <f t="shared" si="33"/>
        <v>0</v>
      </c>
      <c r="X40" s="263">
        <f t="shared" si="33"/>
        <v>0</v>
      </c>
      <c r="Y40" s="263">
        <f t="shared" si="33"/>
        <v>0</v>
      </c>
      <c r="Z40" s="263">
        <f t="shared" si="33"/>
        <v>0</v>
      </c>
      <c r="AA40" s="263">
        <f t="shared" si="33"/>
        <v>0</v>
      </c>
      <c r="AB40" s="263">
        <f t="shared" si="33"/>
        <v>0</v>
      </c>
      <c r="AC40" s="263">
        <f aca="true" t="shared" si="34" ref="AC40:AT40">AC39-AC37</f>
        <v>5395.550650857134</v>
      </c>
      <c r="AD40" s="263">
        <f t="shared" si="34"/>
        <v>0</v>
      </c>
      <c r="AE40" s="263">
        <f t="shared" si="34"/>
        <v>0</v>
      </c>
      <c r="AF40" s="263">
        <f t="shared" si="34"/>
        <v>0</v>
      </c>
      <c r="AG40" s="263">
        <f t="shared" si="34"/>
        <v>0</v>
      </c>
      <c r="AH40" s="263">
        <f t="shared" si="34"/>
        <v>0</v>
      </c>
      <c r="AI40" s="263">
        <f t="shared" si="34"/>
        <v>0</v>
      </c>
      <c r="AJ40" s="263">
        <f t="shared" si="34"/>
        <v>0</v>
      </c>
      <c r="AK40" s="263">
        <f t="shared" si="34"/>
        <v>0</v>
      </c>
      <c r="AL40" s="263">
        <f t="shared" si="34"/>
        <v>0</v>
      </c>
      <c r="AM40" s="263">
        <f t="shared" si="34"/>
        <v>0</v>
      </c>
      <c r="AN40" s="263">
        <f t="shared" si="34"/>
        <v>0</v>
      </c>
      <c r="AO40" s="263">
        <f t="shared" si="34"/>
        <v>0</v>
      </c>
      <c r="AP40" s="263">
        <f t="shared" si="34"/>
        <v>0</v>
      </c>
      <c r="AQ40" s="263">
        <f t="shared" si="34"/>
        <v>0</v>
      </c>
      <c r="AR40" s="263">
        <f t="shared" si="34"/>
        <v>0</v>
      </c>
      <c r="AS40" s="263">
        <f t="shared" si="34"/>
        <v>0</v>
      </c>
      <c r="AT40" s="263">
        <f t="shared" si="34"/>
        <v>0</v>
      </c>
      <c r="AU40" s="263">
        <f>AU39-AU37</f>
        <v>0</v>
      </c>
    </row>
    <row r="41" spans="11:47" ht="12.75">
      <c r="K41" s="303">
        <f>K28-J28</f>
        <v>0</v>
      </c>
      <c r="L41" s="303">
        <f aca="true" t="shared" si="35" ref="L41:Q41">L28-K28</f>
        <v>0</v>
      </c>
      <c r="M41" s="303">
        <f t="shared" si="35"/>
        <v>0</v>
      </c>
      <c r="N41" s="303">
        <f t="shared" si="35"/>
        <v>0</v>
      </c>
      <c r="O41" s="303">
        <f t="shared" si="35"/>
        <v>0</v>
      </c>
      <c r="P41" s="303">
        <f t="shared" si="35"/>
        <v>0</v>
      </c>
      <c r="Q41" s="303">
        <f t="shared" si="35"/>
        <v>0</v>
      </c>
      <c r="R41" s="303">
        <f>R28-Q28</f>
        <v>0</v>
      </c>
      <c r="S41" s="303">
        <f aca="true" t="shared" si="36" ref="S41:AU41">S28-R28</f>
        <v>0</v>
      </c>
      <c r="T41" s="303">
        <f t="shared" si="36"/>
        <v>0</v>
      </c>
      <c r="U41" s="303">
        <f t="shared" si="36"/>
        <v>0</v>
      </c>
      <c r="V41" s="303">
        <f t="shared" si="36"/>
        <v>0</v>
      </c>
      <c r="W41" s="303">
        <f t="shared" si="36"/>
        <v>0</v>
      </c>
      <c r="X41" s="303">
        <f t="shared" si="36"/>
        <v>0</v>
      </c>
      <c r="Y41" s="303">
        <f t="shared" si="36"/>
        <v>0</v>
      </c>
      <c r="Z41" s="303">
        <f t="shared" si="36"/>
        <v>0</v>
      </c>
      <c r="AA41" s="303">
        <f t="shared" si="36"/>
        <v>0</v>
      </c>
      <c r="AB41" s="303">
        <f t="shared" si="36"/>
        <v>0</v>
      </c>
      <c r="AC41" s="303">
        <f>AC28-AB28</f>
        <v>0</v>
      </c>
      <c r="AD41" s="303">
        <f>AD28-AC28</f>
        <v>0</v>
      </c>
      <c r="AE41" s="303">
        <f>AE28-AD28</f>
        <v>0</v>
      </c>
      <c r="AF41" s="303">
        <f>AF28-AE28</f>
        <v>0</v>
      </c>
      <c r="AG41" s="303">
        <f t="shared" si="36"/>
        <v>0</v>
      </c>
      <c r="AH41" s="303">
        <f t="shared" si="36"/>
        <v>0</v>
      </c>
      <c r="AI41" s="303">
        <f t="shared" si="36"/>
        <v>0</v>
      </c>
      <c r="AJ41" s="303">
        <f t="shared" si="36"/>
        <v>0</v>
      </c>
      <c r="AK41" s="303">
        <f t="shared" si="36"/>
        <v>0</v>
      </c>
      <c r="AL41" s="303">
        <f t="shared" si="36"/>
        <v>0</v>
      </c>
      <c r="AM41" s="303">
        <f t="shared" si="36"/>
        <v>0</v>
      </c>
      <c r="AN41" s="303">
        <f t="shared" si="36"/>
        <v>0</v>
      </c>
      <c r="AO41" s="303">
        <f t="shared" si="36"/>
        <v>0</v>
      </c>
      <c r="AP41" s="303">
        <f t="shared" si="36"/>
        <v>0</v>
      </c>
      <c r="AQ41" s="303">
        <f t="shared" si="36"/>
        <v>0</v>
      </c>
      <c r="AR41" s="303">
        <f t="shared" si="36"/>
        <v>0</v>
      </c>
      <c r="AS41" s="303">
        <f t="shared" si="36"/>
        <v>0</v>
      </c>
      <c r="AT41" s="303">
        <f t="shared" si="36"/>
        <v>0</v>
      </c>
      <c r="AU41" s="303">
        <f t="shared" si="36"/>
        <v>0</v>
      </c>
    </row>
  </sheetData>
  <sheetProtection/>
  <mergeCells count="5">
    <mergeCell ref="A3:A4"/>
    <mergeCell ref="B3:B4"/>
    <mergeCell ref="D3:P3"/>
    <mergeCell ref="Q3:AC3"/>
    <mergeCell ref="AD3:AP3"/>
  </mergeCells>
  <printOptions/>
  <pageMargins left="0.35433070866141736" right="0.2362204724409449" top="0.7874015748031497" bottom="0.2362204724409449" header="0.3937007874015748" footer="0.15748031496062992"/>
  <pageSetup horizontalDpi="600" verticalDpi="600" orientation="landscape" paperSize="9" r:id="rId1"/>
  <headerFooter alignWithMargins="0">
    <oddHeader>&amp;RПриложение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N54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C8" sqref="C8"/>
    </sheetView>
  </sheetViews>
  <sheetFormatPr defaultColWidth="9.00390625" defaultRowHeight="12.75"/>
  <cols>
    <col min="1" max="1" width="31.25390625" style="78" customWidth="1"/>
    <col min="2" max="2" width="16.125" style="78" customWidth="1"/>
    <col min="3" max="3" width="10.75390625" style="78" customWidth="1"/>
    <col min="4" max="4" width="5.375" style="78" customWidth="1"/>
    <col min="5" max="5" width="7.00390625" style="78" bestFit="1" customWidth="1"/>
    <col min="6" max="6" width="5.875" style="78" customWidth="1"/>
    <col min="7" max="8" width="5.75390625" style="78" bestFit="1" customWidth="1"/>
    <col min="9" max="9" width="6.375" style="78" bestFit="1" customWidth="1"/>
    <col min="10" max="10" width="8.75390625" style="78" bestFit="1" customWidth="1"/>
    <col min="11" max="11" width="7.625" style="78" bestFit="1" customWidth="1"/>
    <col min="12" max="12" width="19.00390625" style="78" customWidth="1"/>
    <col min="13" max="13" width="8.00390625" style="78" bestFit="1" customWidth="1"/>
    <col min="14" max="14" width="14.375" style="78" customWidth="1"/>
    <col min="15" max="16384" width="9.125" style="78" customWidth="1"/>
  </cols>
  <sheetData>
    <row r="1" spans="1:3" ht="15.75" customHeight="1">
      <c r="A1" s="343" t="s">
        <v>39</v>
      </c>
      <c r="B1" s="343"/>
      <c r="C1" s="343"/>
    </row>
    <row r="2" spans="1:14" ht="12" customHeight="1">
      <c r="A2" s="62"/>
      <c r="N2" s="248">
        <f>'1-Ф3'!$B$2</f>
        <v>0</v>
      </c>
    </row>
    <row r="3" spans="1:14" ht="12.75">
      <c r="A3" s="79" t="s">
        <v>28</v>
      </c>
      <c r="B3" s="80" t="s">
        <v>40</v>
      </c>
      <c r="C3" s="80" t="s">
        <v>8</v>
      </c>
      <c r="N3" s="248">
        <f>'Осн.пок-ли'!B6</f>
        <v>10751.29672</v>
      </c>
    </row>
    <row r="4" ht="12.75">
      <c r="A4" s="62" t="s">
        <v>148</v>
      </c>
    </row>
    <row r="5" spans="1:4" ht="12.75">
      <c r="A5" s="81" t="s">
        <v>102</v>
      </c>
      <c r="B5" s="81"/>
      <c r="C5" s="234">
        <v>152.85</v>
      </c>
      <c r="D5" s="78" t="s">
        <v>300</v>
      </c>
    </row>
    <row r="6" spans="1:4" ht="12.75">
      <c r="A6" s="81" t="s">
        <v>301</v>
      </c>
      <c r="B6" s="81"/>
      <c r="C6" s="234">
        <v>25.01</v>
      </c>
      <c r="D6" s="78" t="s">
        <v>300</v>
      </c>
    </row>
    <row r="7" spans="1:4" ht="12.75">
      <c r="A7" s="81" t="s">
        <v>157</v>
      </c>
      <c r="B7" s="81"/>
      <c r="C7" s="234">
        <v>4.64</v>
      </c>
      <c r="D7" s="78" t="s">
        <v>300</v>
      </c>
    </row>
    <row r="8" spans="1:4" ht="12.75">
      <c r="A8" s="81" t="s">
        <v>73</v>
      </c>
      <c r="B8" s="81"/>
      <c r="C8" s="160">
        <f>20%*C9+C45*(1-C20)*(1-C9)</f>
        <v>0.1430958232636808</v>
      </c>
      <c r="D8" s="78" t="s">
        <v>158</v>
      </c>
    </row>
    <row r="9" spans="1:3" ht="12.75">
      <c r="A9" s="81" t="s">
        <v>207</v>
      </c>
      <c r="B9" s="81"/>
      <c r="C9" s="160">
        <f>'1-Ф3'!B27/'1-Ф3'!B26</f>
        <v>0.6048321059977835</v>
      </c>
    </row>
    <row r="10" spans="1:3" ht="12.75">
      <c r="A10" s="81" t="s">
        <v>141</v>
      </c>
      <c r="B10" s="81"/>
      <c r="C10" s="85" t="s">
        <v>59</v>
      </c>
    </row>
    <row r="11" ht="12.75">
      <c r="A11" s="62" t="s">
        <v>142</v>
      </c>
    </row>
    <row r="12" spans="1:4" ht="12.75">
      <c r="A12" s="81" t="s">
        <v>47</v>
      </c>
      <c r="B12" s="83" t="s">
        <v>42</v>
      </c>
      <c r="C12" s="84">
        <v>0.1</v>
      </c>
      <c r="D12" s="78" t="s">
        <v>214</v>
      </c>
    </row>
    <row r="13" spans="1:4" ht="12.75">
      <c r="A13" s="81" t="s">
        <v>52</v>
      </c>
      <c r="B13" s="83" t="s">
        <v>42</v>
      </c>
      <c r="C13" s="84">
        <v>0.05</v>
      </c>
      <c r="D13" s="78" t="s">
        <v>214</v>
      </c>
    </row>
    <row r="14" spans="1:4" ht="12.75">
      <c r="A14" s="81" t="s">
        <v>48</v>
      </c>
      <c r="B14" s="83" t="s">
        <v>42</v>
      </c>
      <c r="C14" s="84">
        <v>0.1</v>
      </c>
      <c r="D14" s="78" t="s">
        <v>214</v>
      </c>
    </row>
    <row r="15" spans="1:4" ht="12.75">
      <c r="A15" s="81" t="s">
        <v>50</v>
      </c>
      <c r="B15" s="83" t="s">
        <v>42</v>
      </c>
      <c r="C15" s="84">
        <v>0.11</v>
      </c>
      <c r="D15" s="78" t="s">
        <v>214</v>
      </c>
    </row>
    <row r="16" spans="1:4" ht="12.75">
      <c r="A16" s="81" t="s">
        <v>112</v>
      </c>
      <c r="B16" s="83" t="s">
        <v>59</v>
      </c>
      <c r="C16" s="86">
        <v>18.66</v>
      </c>
      <c r="D16" s="78" t="s">
        <v>214</v>
      </c>
    </row>
    <row r="17" spans="1:4" ht="12.75">
      <c r="A17" s="81" t="s">
        <v>2</v>
      </c>
      <c r="B17" s="83"/>
      <c r="C17" s="244">
        <v>0.015</v>
      </c>
      <c r="D17" s="78" t="s">
        <v>214</v>
      </c>
    </row>
    <row r="18" spans="1:4" ht="12.75">
      <c r="A18" s="81" t="s">
        <v>41</v>
      </c>
      <c r="B18" s="83" t="s">
        <v>42</v>
      </c>
      <c r="C18" s="84">
        <v>0.12</v>
      </c>
      <c r="D18" s="78" t="s">
        <v>214</v>
      </c>
    </row>
    <row r="19" spans="1:4" ht="12.75">
      <c r="A19" s="81" t="s">
        <v>60</v>
      </c>
      <c r="B19" s="81"/>
      <c r="C19" s="82">
        <v>1.12</v>
      </c>
      <c r="D19" s="78" t="s">
        <v>214</v>
      </c>
    </row>
    <row r="20" spans="1:4" ht="12.75">
      <c r="A20" s="81" t="s">
        <v>209</v>
      </c>
      <c r="B20" s="81"/>
      <c r="C20" s="84">
        <v>0.2</v>
      </c>
      <c r="D20" s="78" t="s">
        <v>214</v>
      </c>
    </row>
    <row r="21" ht="12.75">
      <c r="A21" s="62" t="s">
        <v>196</v>
      </c>
    </row>
    <row r="22" spans="1:4" ht="12.75">
      <c r="A22" s="344" t="s">
        <v>327</v>
      </c>
      <c r="B22" s="83" t="s">
        <v>328</v>
      </c>
      <c r="C22" s="145">
        <v>28</v>
      </c>
      <c r="D22" s="278" t="s">
        <v>329</v>
      </c>
    </row>
    <row r="23" spans="1:4" ht="12.75">
      <c r="A23" s="345"/>
      <c r="B23" s="83" t="s">
        <v>330</v>
      </c>
      <c r="C23" s="146">
        <f>C22*60</f>
        <v>1680</v>
      </c>
      <c r="D23" s="304"/>
    </row>
    <row r="24" spans="1:5" ht="12.75">
      <c r="A24" s="81" t="s">
        <v>208</v>
      </c>
      <c r="B24" s="83" t="s">
        <v>201</v>
      </c>
      <c r="C24" s="145">
        <v>25</v>
      </c>
      <c r="D24" s="78" t="s">
        <v>303</v>
      </c>
      <c r="E24" s="248"/>
    </row>
    <row r="25" spans="1:5" ht="12.75">
      <c r="A25" s="81" t="s">
        <v>264</v>
      </c>
      <c r="B25" s="83" t="s">
        <v>265</v>
      </c>
      <c r="C25" s="145">
        <v>1</v>
      </c>
      <c r="E25" s="248"/>
    </row>
    <row r="26" spans="1:5" ht="12.75">
      <c r="A26" s="81" t="s">
        <v>261</v>
      </c>
      <c r="B26" s="83" t="s">
        <v>262</v>
      </c>
      <c r="C26" s="145">
        <v>8</v>
      </c>
      <c r="E26" s="248"/>
    </row>
    <row r="27" ht="12.75">
      <c r="A27" s="62" t="s">
        <v>210</v>
      </c>
    </row>
    <row r="28" spans="1:4" ht="12.75">
      <c r="A28" s="81" t="str">
        <f>A22</f>
        <v>Ручка шариковая</v>
      </c>
      <c r="B28" s="83" t="s">
        <v>331</v>
      </c>
      <c r="C28" s="146">
        <f>C23/1000*C26*C25*C24</f>
        <v>336</v>
      </c>
      <c r="D28" s="278" t="s">
        <v>231</v>
      </c>
    </row>
    <row r="30" spans="1:14" ht="12.75">
      <c r="A30" s="62" t="s">
        <v>211</v>
      </c>
      <c r="N30" s="201"/>
    </row>
    <row r="31" spans="1:14" ht="12.75">
      <c r="A31" s="81" t="str">
        <f>A28</f>
        <v>Ручка шариковая</v>
      </c>
      <c r="B31" s="83" t="s">
        <v>332</v>
      </c>
      <c r="C31" s="145">
        <v>24</v>
      </c>
      <c r="N31" s="201"/>
    </row>
    <row r="32" spans="1:3" ht="12.75">
      <c r="A32" s="295" t="s">
        <v>333</v>
      </c>
      <c r="B32" s="83" t="s">
        <v>337</v>
      </c>
      <c r="C32" s="234">
        <v>1.8</v>
      </c>
    </row>
    <row r="33" spans="1:4" ht="12.75">
      <c r="A33" s="295" t="s">
        <v>334</v>
      </c>
      <c r="B33" s="83" t="s">
        <v>338</v>
      </c>
      <c r="C33" s="234">
        <f>52.5*$C$7/1000</f>
        <v>0.24359999999999998</v>
      </c>
      <c r="D33" s="78" t="s">
        <v>340</v>
      </c>
    </row>
    <row r="34" spans="1:14" ht="12.75">
      <c r="A34" s="295" t="s">
        <v>335</v>
      </c>
      <c r="B34" s="83" t="s">
        <v>332</v>
      </c>
      <c r="C34" s="234">
        <v>1.2</v>
      </c>
      <c r="N34" s="201"/>
    </row>
    <row r="35" spans="1:3" ht="12.75">
      <c r="A35" s="295" t="s">
        <v>336</v>
      </c>
      <c r="B35" s="83" t="s">
        <v>339</v>
      </c>
      <c r="C35" s="234">
        <v>1.4</v>
      </c>
    </row>
    <row r="36" spans="1:6" ht="12.75">
      <c r="A36" s="295" t="s">
        <v>266</v>
      </c>
      <c r="B36" s="83" t="s">
        <v>260</v>
      </c>
      <c r="C36" s="234">
        <v>19.15</v>
      </c>
      <c r="F36" s="290" t="s">
        <v>341</v>
      </c>
    </row>
    <row r="37" ht="12.75">
      <c r="A37" s="62" t="s">
        <v>304</v>
      </c>
    </row>
    <row r="38" spans="1:6" ht="12.75">
      <c r="A38" s="295" t="s">
        <v>306</v>
      </c>
      <c r="B38" s="83" t="s">
        <v>243</v>
      </c>
      <c r="C38" s="145">
        <v>110</v>
      </c>
      <c r="F38" s="290" t="s">
        <v>342</v>
      </c>
    </row>
    <row r="39" spans="1:3" ht="12.75">
      <c r="A39" s="295" t="str">
        <f>A32</f>
        <v>Чернила</v>
      </c>
      <c r="B39" s="83" t="s">
        <v>344</v>
      </c>
      <c r="C39" s="234">
        <v>4.2</v>
      </c>
    </row>
    <row r="40" spans="1:3" ht="12.75">
      <c r="A40" s="295" t="str">
        <f>A33</f>
        <v>Полипропилен</v>
      </c>
      <c r="B40" s="83" t="s">
        <v>345</v>
      </c>
      <c r="C40" s="234">
        <v>10.5</v>
      </c>
    </row>
    <row r="41" spans="1:3" ht="12.75">
      <c r="A41" s="295" t="str">
        <f>A34</f>
        <v>Медный наконечник с шариком</v>
      </c>
      <c r="B41" s="83" t="s">
        <v>346</v>
      </c>
      <c r="C41" s="145">
        <v>1</v>
      </c>
    </row>
    <row r="42" spans="1:3" ht="12.75">
      <c r="A42" s="295" t="str">
        <f>A35</f>
        <v>Пигмент</v>
      </c>
      <c r="B42" s="83" t="s">
        <v>345</v>
      </c>
      <c r="C42" s="234">
        <v>1.5</v>
      </c>
    </row>
    <row r="43" spans="1:5" ht="12.75">
      <c r="A43" s="295" t="s">
        <v>307</v>
      </c>
      <c r="B43" s="83" t="s">
        <v>308</v>
      </c>
      <c r="C43" s="146">
        <f>C25*C26*C24*C38</f>
        <v>22000</v>
      </c>
      <c r="D43" s="78">
        <f>C43/(C28*1000)</f>
        <v>0.06547619047619048</v>
      </c>
      <c r="E43" s="78" t="s">
        <v>343</v>
      </c>
    </row>
    <row r="44" ht="12.75">
      <c r="A44" s="62" t="s">
        <v>149</v>
      </c>
    </row>
    <row r="45" spans="1:4" ht="12.75">
      <c r="A45" s="81" t="s">
        <v>57</v>
      </c>
      <c r="B45" s="83" t="s">
        <v>42</v>
      </c>
      <c r="C45" s="84">
        <v>0.07</v>
      </c>
      <c r="D45" s="78" t="s">
        <v>309</v>
      </c>
    </row>
    <row r="46" spans="1:3" ht="12.75">
      <c r="A46" s="81" t="s">
        <v>150</v>
      </c>
      <c r="B46" s="83" t="s">
        <v>151</v>
      </c>
      <c r="C46" s="234">
        <v>7</v>
      </c>
    </row>
    <row r="47" spans="1:3" ht="12.75">
      <c r="A47" s="81" t="s">
        <v>152</v>
      </c>
      <c r="B47" s="83" t="s">
        <v>154</v>
      </c>
      <c r="C47" s="145">
        <v>9</v>
      </c>
    </row>
    <row r="48" spans="1:3" ht="12.75">
      <c r="A48" s="81" t="s">
        <v>153</v>
      </c>
      <c r="B48" s="83" t="s">
        <v>154</v>
      </c>
      <c r="C48" s="145">
        <v>9</v>
      </c>
    </row>
    <row r="50" ht="12.75">
      <c r="A50" s="62" t="s">
        <v>244</v>
      </c>
    </row>
    <row r="51" spans="1:14" ht="12.75">
      <c r="A51" s="81" t="s">
        <v>218</v>
      </c>
      <c r="B51" s="83" t="s">
        <v>219</v>
      </c>
      <c r="C51" s="83" t="s">
        <v>220</v>
      </c>
      <c r="D51" s="83" t="s">
        <v>221</v>
      </c>
      <c r="E51" s="83" t="s">
        <v>222</v>
      </c>
      <c r="F51" s="83" t="s">
        <v>223</v>
      </c>
      <c r="G51" s="83" t="s">
        <v>224</v>
      </c>
      <c r="H51" s="83" t="s">
        <v>225</v>
      </c>
      <c r="I51" s="83" t="s">
        <v>226</v>
      </c>
      <c r="J51" s="83" t="s">
        <v>227</v>
      </c>
      <c r="K51" s="83" t="s">
        <v>228</v>
      </c>
      <c r="L51" s="83" t="s">
        <v>229</v>
      </c>
      <c r="M51" s="83" t="s">
        <v>230</v>
      </c>
      <c r="N51" s="275" t="s">
        <v>235</v>
      </c>
    </row>
    <row r="52" spans="1:14" ht="12.75">
      <c r="A52" s="81" t="s">
        <v>293</v>
      </c>
      <c r="B52" s="254">
        <v>0.06</v>
      </c>
      <c r="C52" s="254">
        <v>0.06</v>
      </c>
      <c r="D52" s="254">
        <v>0.06</v>
      </c>
      <c r="E52" s="254">
        <v>0.06</v>
      </c>
      <c r="F52" s="254">
        <v>0.06</v>
      </c>
      <c r="G52" s="254">
        <v>0.03</v>
      </c>
      <c r="H52" s="254">
        <v>0.03</v>
      </c>
      <c r="I52" s="254">
        <v>0.21</v>
      </c>
      <c r="J52" s="254">
        <v>0.17</v>
      </c>
      <c r="K52" s="254">
        <v>0.09</v>
      </c>
      <c r="L52" s="254">
        <v>0.09</v>
      </c>
      <c r="M52" s="254">
        <v>0.08</v>
      </c>
      <c r="N52" s="302">
        <f>SUM(B52:M52)</f>
        <v>0.9999999999999999</v>
      </c>
    </row>
    <row r="53" spans="1:2" ht="12.75">
      <c r="A53" s="148"/>
      <c r="B53" s="148"/>
    </row>
    <row r="54" spans="1:2" ht="12.75">
      <c r="A54" s="148" t="s">
        <v>294</v>
      </c>
      <c r="B54" s="310">
        <f>1/12</f>
        <v>0.08333333333333333</v>
      </c>
    </row>
  </sheetData>
  <sheetProtection/>
  <mergeCells count="2">
    <mergeCell ref="A1:C1"/>
    <mergeCell ref="A22:A23"/>
  </mergeCells>
  <hyperlinks>
    <hyperlink ref="F36" r:id="rId1" display="http://www.atyrauenergo.kz/page.php?page_id=289&amp;lang=1"/>
    <hyperlink ref="F38" r:id="rId2" display="http://www.86007machine.com/cpxx.php?xzq=4&amp;id=232"/>
  </hyperlinks>
  <printOptions/>
  <pageMargins left="0.66" right="0.22" top="0.5" bottom="0.28" header="0.23" footer="0.17"/>
  <pageSetup horizontalDpi="600" verticalDpi="600" orientation="landscape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13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1" sqref="E21"/>
    </sheetView>
  </sheetViews>
  <sheetFormatPr defaultColWidth="8.875" defaultRowHeight="12.75"/>
  <cols>
    <col min="1" max="1" width="28.125" style="78" customWidth="1"/>
    <col min="2" max="2" width="7.875" style="78" bestFit="1" customWidth="1"/>
    <col min="3" max="3" width="9.125" style="78" bestFit="1" customWidth="1"/>
    <col min="4" max="4" width="19.00390625" style="78" bestFit="1" customWidth="1"/>
    <col min="5" max="5" width="28.875" style="78" bestFit="1" customWidth="1"/>
    <col min="6" max="6" width="19.00390625" style="78" bestFit="1" customWidth="1"/>
    <col min="7" max="7" width="8.75390625" style="78" customWidth="1"/>
    <col min="8" max="8" width="19.00390625" style="78" bestFit="1" customWidth="1"/>
    <col min="9" max="9" width="7.375" style="78" bestFit="1" customWidth="1"/>
    <col min="10" max="16384" width="8.875" style="78" customWidth="1"/>
  </cols>
  <sheetData>
    <row r="1" ht="12.75">
      <c r="A1" s="62" t="s">
        <v>197</v>
      </c>
    </row>
    <row r="2" ht="12.75">
      <c r="A2" s="62"/>
    </row>
    <row r="3" ht="12.75">
      <c r="F3" s="248"/>
    </row>
    <row r="4" spans="1:5" ht="12.75">
      <c r="A4" s="352" t="s">
        <v>185</v>
      </c>
      <c r="B4" s="350" t="s">
        <v>215</v>
      </c>
      <c r="C4" s="355" t="s">
        <v>217</v>
      </c>
      <c r="D4" s="356"/>
      <c r="E4" s="350" t="s">
        <v>206</v>
      </c>
    </row>
    <row r="5" spans="1:5" ht="12.75">
      <c r="A5" s="353"/>
      <c r="B5" s="351"/>
      <c r="C5" s="250" t="s">
        <v>43</v>
      </c>
      <c r="D5" s="250" t="s">
        <v>216</v>
      </c>
      <c r="E5" s="351"/>
    </row>
    <row r="6" spans="1:5" ht="12.75">
      <c r="A6" s="81" t="str">
        <f>Исх!A22</f>
        <v>Ручка шариковая</v>
      </c>
      <c r="B6" s="232" t="s">
        <v>347</v>
      </c>
      <c r="C6" s="232">
        <f>D6/Исх!$C$19</f>
        <v>21.428571428571427</v>
      </c>
      <c r="D6" s="232">
        <f>Исх!$C$31</f>
        <v>24</v>
      </c>
      <c r="E6" s="81" t="s">
        <v>348</v>
      </c>
    </row>
    <row r="10" spans="1:9" ht="12.75" customHeight="1">
      <c r="A10" s="352" t="s">
        <v>185</v>
      </c>
      <c r="B10" s="350" t="s">
        <v>215</v>
      </c>
      <c r="C10" s="250" t="s">
        <v>299</v>
      </c>
      <c r="D10" s="354" t="s">
        <v>295</v>
      </c>
      <c r="E10" s="354"/>
      <c r="F10" s="346" t="s">
        <v>263</v>
      </c>
      <c r="G10" s="347"/>
      <c r="H10" s="348" t="s">
        <v>248</v>
      </c>
      <c r="I10" s="349"/>
    </row>
    <row r="11" spans="1:9" ht="12.75">
      <c r="A11" s="353"/>
      <c r="B11" s="351"/>
      <c r="C11" s="250" t="s">
        <v>43</v>
      </c>
      <c r="D11" s="250" t="s">
        <v>296</v>
      </c>
      <c r="E11" s="250" t="s">
        <v>297</v>
      </c>
      <c r="F11" s="250" t="s">
        <v>296</v>
      </c>
      <c r="G11" s="250" t="s">
        <v>297</v>
      </c>
      <c r="H11" s="250" t="s">
        <v>296</v>
      </c>
      <c r="I11" s="250" t="s">
        <v>298</v>
      </c>
    </row>
    <row r="12" spans="1:9" ht="12.75">
      <c r="A12" s="81" t="str">
        <f>A6</f>
        <v>Ручка шариковая</v>
      </c>
      <c r="B12" s="232" t="str">
        <f>B6</f>
        <v>шт</v>
      </c>
      <c r="C12" s="232">
        <f>C6</f>
        <v>21.428571428571427</v>
      </c>
      <c r="D12" s="232">
        <f>'Расх перем'!E11</f>
        <v>13.09970450680272</v>
      </c>
      <c r="E12" s="232">
        <f>'Расх перем'!E15</f>
        <v>18.270323804438977</v>
      </c>
      <c r="F12" s="232">
        <f>C12-D12</f>
        <v>8.328866921768707</v>
      </c>
      <c r="G12" s="232">
        <f>C12-E12</f>
        <v>3.15824762413245</v>
      </c>
      <c r="H12" s="280">
        <f>F12/C12</f>
        <v>0.38868045634920634</v>
      </c>
      <c r="I12" s="280">
        <f>G12/C12</f>
        <v>0.147384889126181</v>
      </c>
    </row>
    <row r="13" spans="1:9" ht="12.75" hidden="1">
      <c r="A13" s="81"/>
      <c r="B13" s="232"/>
      <c r="C13" s="232"/>
      <c r="D13" s="232"/>
      <c r="E13" s="232"/>
      <c r="F13" s="232"/>
      <c r="G13" s="232"/>
      <c r="H13" s="280"/>
      <c r="I13" s="280"/>
    </row>
  </sheetData>
  <sheetProtection/>
  <mergeCells count="9">
    <mergeCell ref="F10:G10"/>
    <mergeCell ref="H10:I10"/>
    <mergeCell ref="B10:B11"/>
    <mergeCell ref="A10:A11"/>
    <mergeCell ref="D10:E10"/>
    <mergeCell ref="A4:A5"/>
    <mergeCell ref="B4:B5"/>
    <mergeCell ref="C4:D4"/>
    <mergeCell ref="E4:E5"/>
  </mergeCells>
  <printOptions/>
  <pageMargins left="0.1968503937007874" right="0.1968503937007874" top="0.6299212598425197" bottom="2.125984251968504" header="0.196850393700787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outlinePr summaryBelow="0"/>
  </sheetPr>
  <dimension ref="A1:AV15"/>
  <sheetViews>
    <sheetView showGridLines="0" showZeros="0" zoomScalePageLayoutView="0" workbookViewId="0" topLeftCell="A1">
      <pane xSplit="3" ySplit="4" topLeftCell="D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13" sqref="A13"/>
    </sheetView>
  </sheetViews>
  <sheetFormatPr defaultColWidth="10.125" defaultRowHeight="12.75" outlineLevelCol="1"/>
  <cols>
    <col min="1" max="1" width="30.125" style="238" customWidth="1"/>
    <col min="2" max="2" width="11.375" style="238" customWidth="1"/>
    <col min="3" max="3" width="10.125" style="238" customWidth="1"/>
    <col min="4" max="15" width="7.00390625" style="238" hidden="1" customWidth="1" outlineLevel="1"/>
    <col min="16" max="16" width="9.125" style="238" customWidth="1" collapsed="1"/>
    <col min="17" max="28" width="8.375" style="238" hidden="1" customWidth="1" outlineLevel="1"/>
    <col min="29" max="29" width="9.125" style="238" customWidth="1" collapsed="1"/>
    <col min="30" max="41" width="8.375" style="238" hidden="1" customWidth="1" outlineLevel="1"/>
    <col min="42" max="42" width="9.125" style="238" customWidth="1" collapsed="1"/>
    <col min="43" max="47" width="9.125" style="238" customWidth="1"/>
    <col min="48" max="48" width="10.125" style="235" customWidth="1"/>
    <col min="49" max="16384" width="10.125" style="238" customWidth="1"/>
  </cols>
  <sheetData>
    <row r="1" spans="1:48" ht="21" customHeight="1">
      <c r="A1" s="241" t="s">
        <v>233</v>
      </c>
      <c r="B1" s="237"/>
      <c r="C1" s="237"/>
      <c r="AV1" s="238"/>
    </row>
    <row r="2" spans="1:48" ht="17.25" customHeight="1">
      <c r="A2" s="241"/>
      <c r="B2" s="242"/>
      <c r="C2" s="239"/>
      <c r="AV2" s="238"/>
    </row>
    <row r="3" spans="1:48" ht="12.75" customHeight="1">
      <c r="A3" s="357" t="s">
        <v>191</v>
      </c>
      <c r="B3" s="338" t="s">
        <v>89</v>
      </c>
      <c r="C3" s="359" t="s">
        <v>40</v>
      </c>
      <c r="D3" s="339">
        <v>2013</v>
      </c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>
        <v>2014</v>
      </c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40">
        <v>2015</v>
      </c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2"/>
      <c r="AQ3" s="123">
        <v>2016</v>
      </c>
      <c r="AR3" s="123">
        <f>AQ3+1</f>
        <v>2017</v>
      </c>
      <c r="AS3" s="123">
        <f>AR3+1</f>
        <v>2018</v>
      </c>
      <c r="AT3" s="123">
        <f>AS3+1</f>
        <v>2019</v>
      </c>
      <c r="AU3" s="123">
        <f>AT3+1</f>
        <v>2020</v>
      </c>
      <c r="AV3" s="238"/>
    </row>
    <row r="4" spans="1:48" ht="12.75">
      <c r="A4" s="358"/>
      <c r="B4" s="338"/>
      <c r="C4" s="360"/>
      <c r="D4" s="125">
        <f aca="true" t="shared" si="0" ref="D4:L4">C4+1</f>
        <v>1</v>
      </c>
      <c r="E4" s="125">
        <f t="shared" si="0"/>
        <v>2</v>
      </c>
      <c r="F4" s="125">
        <f t="shared" si="0"/>
        <v>3</v>
      </c>
      <c r="G4" s="125">
        <f t="shared" si="0"/>
        <v>4</v>
      </c>
      <c r="H4" s="125">
        <f t="shared" si="0"/>
        <v>5</v>
      </c>
      <c r="I4" s="125">
        <f t="shared" si="0"/>
        <v>6</v>
      </c>
      <c r="J4" s="125">
        <f t="shared" si="0"/>
        <v>7</v>
      </c>
      <c r="K4" s="125">
        <f t="shared" si="0"/>
        <v>8</v>
      </c>
      <c r="L4" s="125">
        <f t="shared" si="0"/>
        <v>9</v>
      </c>
      <c r="M4" s="125">
        <f>L4+1</f>
        <v>10</v>
      </c>
      <c r="N4" s="125">
        <f>M4+1</f>
        <v>11</v>
      </c>
      <c r="O4" s="125">
        <f>N4+1</f>
        <v>12</v>
      </c>
      <c r="P4" s="121" t="s">
        <v>0</v>
      </c>
      <c r="Q4" s="125">
        <v>1</v>
      </c>
      <c r="R4" s="125">
        <f aca="true" t="shared" si="1" ref="R4:AB4">Q4+1</f>
        <v>2</v>
      </c>
      <c r="S4" s="125">
        <f t="shared" si="1"/>
        <v>3</v>
      </c>
      <c r="T4" s="125">
        <f t="shared" si="1"/>
        <v>4</v>
      </c>
      <c r="U4" s="125">
        <f t="shared" si="1"/>
        <v>5</v>
      </c>
      <c r="V4" s="125">
        <f t="shared" si="1"/>
        <v>6</v>
      </c>
      <c r="W4" s="125">
        <f t="shared" si="1"/>
        <v>7</v>
      </c>
      <c r="X4" s="125">
        <f t="shared" si="1"/>
        <v>8</v>
      </c>
      <c r="Y4" s="125">
        <f t="shared" si="1"/>
        <v>9</v>
      </c>
      <c r="Z4" s="125">
        <f t="shared" si="1"/>
        <v>10</v>
      </c>
      <c r="AA4" s="125">
        <f t="shared" si="1"/>
        <v>11</v>
      </c>
      <c r="AB4" s="125">
        <f t="shared" si="1"/>
        <v>12</v>
      </c>
      <c r="AC4" s="121" t="s">
        <v>0</v>
      </c>
      <c r="AD4" s="125">
        <v>1</v>
      </c>
      <c r="AE4" s="125">
        <f aca="true" t="shared" si="2" ref="AE4:AO4">AD4+1</f>
        <v>2</v>
      </c>
      <c r="AF4" s="125">
        <f t="shared" si="2"/>
        <v>3</v>
      </c>
      <c r="AG4" s="125">
        <f t="shared" si="2"/>
        <v>4</v>
      </c>
      <c r="AH4" s="125">
        <f t="shared" si="2"/>
        <v>5</v>
      </c>
      <c r="AI4" s="125">
        <f t="shared" si="2"/>
        <v>6</v>
      </c>
      <c r="AJ4" s="125">
        <f t="shared" si="2"/>
        <v>7</v>
      </c>
      <c r="AK4" s="125">
        <f t="shared" si="2"/>
        <v>8</v>
      </c>
      <c r="AL4" s="125">
        <f t="shared" si="2"/>
        <v>9</v>
      </c>
      <c r="AM4" s="125">
        <f t="shared" si="2"/>
        <v>10</v>
      </c>
      <c r="AN4" s="125">
        <f t="shared" si="2"/>
        <v>11</v>
      </c>
      <c r="AO4" s="125">
        <f t="shared" si="2"/>
        <v>12</v>
      </c>
      <c r="AP4" s="121" t="s">
        <v>0</v>
      </c>
      <c r="AQ4" s="121" t="s">
        <v>111</v>
      </c>
      <c r="AR4" s="121" t="s">
        <v>111</v>
      </c>
      <c r="AS4" s="121" t="s">
        <v>111</v>
      </c>
      <c r="AT4" s="121" t="s">
        <v>111</v>
      </c>
      <c r="AU4" s="121" t="s">
        <v>111</v>
      </c>
      <c r="AV4" s="238"/>
    </row>
    <row r="5" spans="1:48" ht="12.75">
      <c r="A5" s="259" t="s">
        <v>192</v>
      </c>
      <c r="B5" s="127"/>
      <c r="C5" s="128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28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28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238"/>
    </row>
    <row r="6" spans="1:48" ht="15" customHeight="1">
      <c r="A6" s="240" t="s">
        <v>198</v>
      </c>
      <c r="B6" s="127"/>
      <c r="C6" s="128"/>
      <c r="D6" s="132"/>
      <c r="E6" s="132"/>
      <c r="F6" s="132"/>
      <c r="G6" s="132"/>
      <c r="H6" s="132"/>
      <c r="I6" s="246"/>
      <c r="J6" s="246"/>
      <c r="K6" s="246"/>
      <c r="L6" s="246"/>
      <c r="M6" s="246"/>
      <c r="N6" s="246"/>
      <c r="O6" s="246"/>
      <c r="P6" s="246"/>
      <c r="Q6" s="247">
        <v>0.3</v>
      </c>
      <c r="R6" s="246">
        <f>Q6</f>
        <v>0.3</v>
      </c>
      <c r="S6" s="246">
        <f>R6</f>
        <v>0.3</v>
      </c>
      <c r="T6" s="247">
        <v>0.4</v>
      </c>
      <c r="U6" s="246">
        <f>T6</f>
        <v>0.4</v>
      </c>
      <c r="V6" s="246">
        <f>U6</f>
        <v>0.4</v>
      </c>
      <c r="W6" s="247">
        <v>0.5</v>
      </c>
      <c r="X6" s="246">
        <f>W6</f>
        <v>0.5</v>
      </c>
      <c r="Y6" s="246">
        <f>X6</f>
        <v>0.5</v>
      </c>
      <c r="Z6" s="247">
        <v>0.6</v>
      </c>
      <c r="AA6" s="246">
        <f>Z6</f>
        <v>0.6</v>
      </c>
      <c r="AB6" s="246">
        <f>AA6</f>
        <v>0.6</v>
      </c>
      <c r="AC6" s="246">
        <f>AVERAGE(Q6:AB6)</f>
        <v>0.4499999999999999</v>
      </c>
      <c r="AD6" s="247">
        <v>0.7</v>
      </c>
      <c r="AE6" s="246">
        <f>AD6</f>
        <v>0.7</v>
      </c>
      <c r="AF6" s="246">
        <f>AE6</f>
        <v>0.7</v>
      </c>
      <c r="AG6" s="247">
        <v>0.8</v>
      </c>
      <c r="AH6" s="246">
        <f>AG6</f>
        <v>0.8</v>
      </c>
      <c r="AI6" s="246">
        <f>AH6</f>
        <v>0.8</v>
      </c>
      <c r="AJ6" s="247">
        <v>0.9</v>
      </c>
      <c r="AK6" s="246">
        <f>AJ6</f>
        <v>0.9</v>
      </c>
      <c r="AL6" s="246">
        <f>AK6</f>
        <v>0.9</v>
      </c>
      <c r="AM6" s="247">
        <v>1</v>
      </c>
      <c r="AN6" s="246">
        <f>AM6</f>
        <v>1</v>
      </c>
      <c r="AO6" s="246">
        <f>AN6</f>
        <v>1</v>
      </c>
      <c r="AP6" s="246">
        <f>AVERAGE(AD6:AO6)</f>
        <v>0.85</v>
      </c>
      <c r="AQ6" s="247">
        <v>1</v>
      </c>
      <c r="AR6" s="246">
        <f>AQ6</f>
        <v>1</v>
      </c>
      <c r="AS6" s="246">
        <f>AR6</f>
        <v>1</v>
      </c>
      <c r="AT6" s="246">
        <f>AS6</f>
        <v>1</v>
      </c>
      <c r="AU6" s="246">
        <f>AT6</f>
        <v>1</v>
      </c>
      <c r="AV6" s="238"/>
    </row>
    <row r="7" spans="1:48" ht="15" customHeight="1">
      <c r="A7" s="240" t="str">
        <f>Дох!A12</f>
        <v>Ручка шариковая</v>
      </c>
      <c r="B7" s="127">
        <f>P7+AC7+AP7+AQ7+AR7+AS7+AT7+AU7</f>
        <v>25401.6</v>
      </c>
      <c r="C7" s="306" t="s">
        <v>349</v>
      </c>
      <c r="D7" s="132">
        <f>Исх!$C27*Производство!D$6</f>
        <v>0</v>
      </c>
      <c r="E7" s="132">
        <f>Исх!$C27*Производство!E$6</f>
        <v>0</v>
      </c>
      <c r="F7" s="132">
        <f>Исх!$C27*Производство!F$6</f>
        <v>0</v>
      </c>
      <c r="G7" s="132">
        <f>Исх!$C27*Производство!G$6</f>
        <v>0</v>
      </c>
      <c r="H7" s="132">
        <f>Исх!$C27*Производство!H$6</f>
        <v>0</v>
      </c>
      <c r="I7" s="132">
        <f>Исх!$C28*Производство!I$6</f>
        <v>0</v>
      </c>
      <c r="J7" s="132">
        <f>Исх!$C28*Производство!J$6</f>
        <v>0</v>
      </c>
      <c r="K7" s="132">
        <f>Исх!$C28*Производство!K$6</f>
        <v>0</v>
      </c>
      <c r="L7" s="132">
        <f>Исх!$C28*Производство!L$6</f>
        <v>0</v>
      </c>
      <c r="M7" s="132">
        <f>Исх!$C28*Производство!M$6</f>
        <v>0</v>
      </c>
      <c r="N7" s="132">
        <f>Исх!$C28*Производство!N$6</f>
        <v>0</v>
      </c>
      <c r="O7" s="132">
        <f>Исх!$C28*Производство!O$6</f>
        <v>0</v>
      </c>
      <c r="P7" s="128">
        <f>SUM(D7:O7)</f>
        <v>0</v>
      </c>
      <c r="Q7" s="132">
        <f>Исх!$C$28*Производство!Q$6</f>
        <v>100.8</v>
      </c>
      <c r="R7" s="132">
        <f>Исх!$C$28*Производство!R$6</f>
        <v>100.8</v>
      </c>
      <c r="S7" s="132">
        <f>Исх!$C$28*Производство!S$6</f>
        <v>100.8</v>
      </c>
      <c r="T7" s="132">
        <f>Исх!$C$28*Производство!T$6</f>
        <v>134.4</v>
      </c>
      <c r="U7" s="132">
        <f>Исх!$C$28*Производство!U$6</f>
        <v>134.4</v>
      </c>
      <c r="V7" s="132">
        <f>Исх!$C$28*Производство!V$6</f>
        <v>134.4</v>
      </c>
      <c r="W7" s="132">
        <f>Исх!$C$28*Производство!W$6</f>
        <v>168</v>
      </c>
      <c r="X7" s="132">
        <f>Исх!$C$28*Производство!X$6</f>
        <v>168</v>
      </c>
      <c r="Y7" s="132">
        <f>Исх!$C$28*Производство!Y$6</f>
        <v>168</v>
      </c>
      <c r="Z7" s="132">
        <f>Исх!$C$28*Производство!Z$6</f>
        <v>201.6</v>
      </c>
      <c r="AA7" s="132">
        <f>Исх!$C$28*Производство!AA$6</f>
        <v>201.6</v>
      </c>
      <c r="AB7" s="132">
        <f>Исх!$C$28*Производство!AB$6</f>
        <v>201.6</v>
      </c>
      <c r="AC7" s="128">
        <f>SUM(Q7:AB7)</f>
        <v>1814.3999999999996</v>
      </c>
      <c r="AD7" s="132">
        <f>Исх!$C$28*Производство!AD$6</f>
        <v>235.2</v>
      </c>
      <c r="AE7" s="132">
        <f>Исх!$C$28*Производство!AE$6</f>
        <v>235.2</v>
      </c>
      <c r="AF7" s="132">
        <f>Исх!$C$28*Производство!AF$6</f>
        <v>235.2</v>
      </c>
      <c r="AG7" s="132">
        <f>Исх!$C$28*Производство!AG$6</f>
        <v>268.8</v>
      </c>
      <c r="AH7" s="132">
        <f>Исх!$C$28*Производство!AH$6</f>
        <v>268.8</v>
      </c>
      <c r="AI7" s="132">
        <f>Исх!$C$28*Производство!AI$6</f>
        <v>268.8</v>
      </c>
      <c r="AJ7" s="132">
        <f>Исх!$C$28*Производство!AJ$6</f>
        <v>302.40000000000003</v>
      </c>
      <c r="AK7" s="132">
        <f>Исх!$C$28*Производство!AK$6</f>
        <v>302.40000000000003</v>
      </c>
      <c r="AL7" s="132">
        <f>Исх!$C$28*Производство!AL$6</f>
        <v>302.40000000000003</v>
      </c>
      <c r="AM7" s="132">
        <f>Исх!$C$28*Производство!AM$6</f>
        <v>336</v>
      </c>
      <c r="AN7" s="132">
        <f>Исх!$C$28*Производство!AN$6</f>
        <v>336</v>
      </c>
      <c r="AO7" s="132">
        <f>Исх!$C$28*Производство!AO$6</f>
        <v>336</v>
      </c>
      <c r="AP7" s="132">
        <f>SUM(AD7:AO7)</f>
        <v>3427.2</v>
      </c>
      <c r="AQ7" s="132">
        <f>Исх!$C$28*Производство!AQ$6*12</f>
        <v>4032</v>
      </c>
      <c r="AR7" s="132">
        <f>Исх!$C$28*Производство!AR$6*12</f>
        <v>4032</v>
      </c>
      <c r="AS7" s="132">
        <f>Исх!$C$28*Производство!AS$6*12</f>
        <v>4032</v>
      </c>
      <c r="AT7" s="132">
        <f>Исх!$C$28*Производство!AT$6*12</f>
        <v>4032</v>
      </c>
      <c r="AU7" s="132">
        <f>Исх!$C$28*Производство!AU$6*12</f>
        <v>4032</v>
      </c>
      <c r="AV7" s="238"/>
    </row>
    <row r="8" ht="12.75">
      <c r="C8" s="307"/>
    </row>
    <row r="9" spans="1:48" ht="12.75">
      <c r="A9" s="260" t="s">
        <v>234</v>
      </c>
      <c r="B9" s="127"/>
      <c r="C9" s="308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27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27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238"/>
    </row>
    <row r="10" spans="1:48" ht="15" customHeight="1">
      <c r="A10" s="240" t="str">
        <f>A7</f>
        <v>Ручка шариковая</v>
      </c>
      <c r="B10" s="127">
        <f>P10+AC10+AP10+AQ10+AR10+AS10+AT10+AU10</f>
        <v>25281.8496</v>
      </c>
      <c r="C10" s="306" t="str">
        <f>C7</f>
        <v>тыс.шт.</v>
      </c>
      <c r="D10" s="132"/>
      <c r="E10" s="132"/>
      <c r="F10" s="132"/>
      <c r="G10" s="132"/>
      <c r="H10" s="132"/>
      <c r="I10" s="132"/>
      <c r="J10" s="132">
        <f>J7*Исх!H$52*0.5</f>
        <v>0</v>
      </c>
      <c r="K10" s="132">
        <f>K7*Исх!I$52</f>
        <v>0</v>
      </c>
      <c r="L10" s="132">
        <f>L7*Исх!J$52</f>
        <v>0</v>
      </c>
      <c r="M10" s="132">
        <f>M7*Исх!K$52</f>
        <v>0</v>
      </c>
      <c r="N10" s="132">
        <f>N7*Исх!L$52</f>
        <v>0</v>
      </c>
      <c r="O10" s="132"/>
      <c r="P10" s="128">
        <f>SUM(D10:O10)</f>
        <v>0</v>
      </c>
      <c r="Q10" s="281">
        <f>$AC$7*Исх!B52*0.8</f>
        <v>87.09119999999999</v>
      </c>
      <c r="R10" s="281">
        <f>$AC$7*Исх!C52*0.8</f>
        <v>87.09119999999999</v>
      </c>
      <c r="S10" s="281">
        <f>$AC$7*Исх!D52*0.8</f>
        <v>87.09119999999999</v>
      </c>
      <c r="T10" s="281">
        <f>$AC$7*Исх!E52*0.8</f>
        <v>87.09119999999999</v>
      </c>
      <c r="U10" s="281">
        <f>$AC$7*Исх!F52*0.8</f>
        <v>87.09119999999999</v>
      </c>
      <c r="V10" s="281">
        <f>$AC$7*Исх!G52*0.9</f>
        <v>48.98879999999999</v>
      </c>
      <c r="W10" s="281">
        <f>$AC$7*Исх!H52*0.9</f>
        <v>48.98879999999999</v>
      </c>
      <c r="X10" s="132">
        <f>$AC$7*Исх!I52</f>
        <v>381.0239999999999</v>
      </c>
      <c r="Y10" s="132">
        <f>$AC$7*Исх!J52</f>
        <v>308.448</v>
      </c>
      <c r="Z10" s="132">
        <f>$AC$7*Исх!K52</f>
        <v>163.29599999999996</v>
      </c>
      <c r="AA10" s="132">
        <f>$AC$7*Исх!L52</f>
        <v>163.29599999999996</v>
      </c>
      <c r="AB10" s="132">
        <f>$AC$7*Исх!M52</f>
        <v>145.152</v>
      </c>
      <c r="AC10" s="128">
        <f>SUM(Q10:AB10)</f>
        <v>1694.6495999999997</v>
      </c>
      <c r="AD10" s="132">
        <f>$AP$7*Исх!B52</f>
        <v>205.63199999999998</v>
      </c>
      <c r="AE10" s="132">
        <f>$AP$7*Исх!C52</f>
        <v>205.63199999999998</v>
      </c>
      <c r="AF10" s="132">
        <f>$AP$7*Исх!D52</f>
        <v>205.63199999999998</v>
      </c>
      <c r="AG10" s="132">
        <f>$AP$7*Исх!E52</f>
        <v>205.63199999999998</v>
      </c>
      <c r="AH10" s="132">
        <f>$AP$7*Исх!F52</f>
        <v>205.63199999999998</v>
      </c>
      <c r="AI10" s="132">
        <f>$AP$7*Исх!G52</f>
        <v>102.81599999999999</v>
      </c>
      <c r="AJ10" s="132">
        <f>$AP$7*Исх!H52</f>
        <v>102.81599999999999</v>
      </c>
      <c r="AK10" s="132">
        <f>$AP$7*Исх!I52</f>
        <v>719.712</v>
      </c>
      <c r="AL10" s="132">
        <f>$AP$7*Исх!J52</f>
        <v>582.624</v>
      </c>
      <c r="AM10" s="132">
        <f>$AP$7*Исх!K52</f>
        <v>308.448</v>
      </c>
      <c r="AN10" s="132">
        <f>$AP$7*Исх!L52</f>
        <v>308.448</v>
      </c>
      <c r="AO10" s="132">
        <f>$AP$7*Исх!M52</f>
        <v>274.176</v>
      </c>
      <c r="AP10" s="128">
        <f>SUM(AD10:AO10)</f>
        <v>3427.1999999999994</v>
      </c>
      <c r="AQ10" s="132">
        <f>AQ7</f>
        <v>4032</v>
      </c>
      <c r="AR10" s="132">
        <f>AR7</f>
        <v>4032</v>
      </c>
      <c r="AS10" s="132">
        <f>AS7</f>
        <v>4032</v>
      </c>
      <c r="AT10" s="132">
        <f>AT7</f>
        <v>4032</v>
      </c>
      <c r="AU10" s="132">
        <f>AU7</f>
        <v>4032</v>
      </c>
      <c r="AV10" s="238"/>
    </row>
    <row r="11" ht="12.75">
      <c r="C11" s="307"/>
    </row>
    <row r="12" spans="1:48" ht="12.75">
      <c r="A12" s="260" t="s">
        <v>350</v>
      </c>
      <c r="B12" s="127"/>
      <c r="C12" s="308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27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27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238"/>
    </row>
    <row r="13" spans="1:48" ht="15" customHeight="1">
      <c r="A13" s="240" t="str">
        <f>A10</f>
        <v>Ручка шариковая</v>
      </c>
      <c r="B13" s="127">
        <f>AU13</f>
        <v>119.75040000000081</v>
      </c>
      <c r="C13" s="306" t="str">
        <f>C10</f>
        <v>тыс.шт.</v>
      </c>
      <c r="D13" s="132"/>
      <c r="E13" s="132">
        <f aca="true" t="shared" si="3" ref="E13:K13">D13+E7-E10</f>
        <v>0</v>
      </c>
      <c r="F13" s="132">
        <f t="shared" si="3"/>
        <v>0</v>
      </c>
      <c r="G13" s="132">
        <f t="shared" si="3"/>
        <v>0</v>
      </c>
      <c r="H13" s="132">
        <f t="shared" si="3"/>
        <v>0</v>
      </c>
      <c r="I13" s="132">
        <f t="shared" si="3"/>
        <v>0</v>
      </c>
      <c r="J13" s="132">
        <f t="shared" si="3"/>
        <v>0</v>
      </c>
      <c r="K13" s="132">
        <f t="shared" si="3"/>
        <v>0</v>
      </c>
      <c r="L13" s="132">
        <f>K13+L7-L10</f>
        <v>0</v>
      </c>
      <c r="M13" s="132">
        <f>L13+M7-M10</f>
        <v>0</v>
      </c>
      <c r="N13" s="132">
        <f>M13+N7-N10</f>
        <v>0</v>
      </c>
      <c r="O13" s="132">
        <f>N13+O7-O10</f>
        <v>0</v>
      </c>
      <c r="P13" s="128">
        <f>O13</f>
        <v>0</v>
      </c>
      <c r="Q13" s="132">
        <f aca="true" t="shared" si="4" ref="Q13:AB13">P13+Q7-Q10</f>
        <v>13.70880000000001</v>
      </c>
      <c r="R13" s="132">
        <f t="shared" si="4"/>
        <v>27.41760000000002</v>
      </c>
      <c r="S13" s="132">
        <f t="shared" si="4"/>
        <v>41.12640000000002</v>
      </c>
      <c r="T13" s="132">
        <f t="shared" si="4"/>
        <v>88.43520000000004</v>
      </c>
      <c r="U13" s="132">
        <f t="shared" si="4"/>
        <v>135.74400000000006</v>
      </c>
      <c r="V13" s="132">
        <f t="shared" si="4"/>
        <v>221.15520000000006</v>
      </c>
      <c r="W13" s="132">
        <f t="shared" si="4"/>
        <v>340.16640000000007</v>
      </c>
      <c r="X13" s="132">
        <f t="shared" si="4"/>
        <v>127.14240000000018</v>
      </c>
      <c r="Y13" s="132">
        <f t="shared" si="4"/>
        <v>-13.3055999999998</v>
      </c>
      <c r="Z13" s="132">
        <f t="shared" si="4"/>
        <v>24.99840000000023</v>
      </c>
      <c r="AA13" s="132">
        <f t="shared" si="4"/>
        <v>63.30240000000026</v>
      </c>
      <c r="AB13" s="132">
        <f t="shared" si="4"/>
        <v>119.7504000000003</v>
      </c>
      <c r="AC13" s="128">
        <f>AB13</f>
        <v>119.7504000000003</v>
      </c>
      <c r="AD13" s="132">
        <f aca="true" t="shared" si="5" ref="AD13:AO13">AC13+AD7-AD10</f>
        <v>149.3184000000003</v>
      </c>
      <c r="AE13" s="132">
        <f t="shared" si="5"/>
        <v>178.8864000000003</v>
      </c>
      <c r="AF13" s="132">
        <f t="shared" si="5"/>
        <v>208.45440000000028</v>
      </c>
      <c r="AG13" s="132">
        <f t="shared" si="5"/>
        <v>271.6224000000003</v>
      </c>
      <c r="AH13" s="132">
        <f t="shared" si="5"/>
        <v>334.79040000000043</v>
      </c>
      <c r="AI13" s="132">
        <f t="shared" si="5"/>
        <v>500.7744000000005</v>
      </c>
      <c r="AJ13" s="132">
        <f t="shared" si="5"/>
        <v>700.3584000000005</v>
      </c>
      <c r="AK13" s="132">
        <f t="shared" si="5"/>
        <v>283.04640000000063</v>
      </c>
      <c r="AL13" s="132">
        <f t="shared" si="5"/>
        <v>2.822400000000698</v>
      </c>
      <c r="AM13" s="132">
        <f t="shared" si="5"/>
        <v>30.37440000000072</v>
      </c>
      <c r="AN13" s="132">
        <f t="shared" si="5"/>
        <v>57.92640000000074</v>
      </c>
      <c r="AO13" s="132">
        <f t="shared" si="5"/>
        <v>119.75040000000075</v>
      </c>
      <c r="AP13" s="132">
        <f>AO13</f>
        <v>119.75040000000075</v>
      </c>
      <c r="AQ13" s="132">
        <f>AP13+AQ7-AQ10</f>
        <v>119.75040000000081</v>
      </c>
      <c r="AR13" s="132">
        <f>AQ13+AR7-AR10</f>
        <v>119.75040000000081</v>
      </c>
      <c r="AS13" s="132">
        <f>AR13+AS7-AS10</f>
        <v>119.75040000000081</v>
      </c>
      <c r="AT13" s="132">
        <f>AS13+AT7-AT10</f>
        <v>119.75040000000081</v>
      </c>
      <c r="AU13" s="132">
        <f>AT13+AU7-AU10</f>
        <v>119.75040000000081</v>
      </c>
      <c r="AV13" s="238"/>
    </row>
    <row r="15" spans="1:13" ht="12.75">
      <c r="A15" s="264" t="s">
        <v>235</v>
      </c>
      <c r="B15" s="261">
        <f>B7-B10-B13</f>
        <v>-3.637978807091713E-12</v>
      </c>
      <c r="M15" s="303"/>
    </row>
  </sheetData>
  <sheetProtection/>
  <mergeCells count="6">
    <mergeCell ref="A3:A4"/>
    <mergeCell ref="B3:B4"/>
    <mergeCell ref="D3:P3"/>
    <mergeCell ref="Q3:AC3"/>
    <mergeCell ref="AD3:AP3"/>
    <mergeCell ref="C3:C4"/>
  </mergeCells>
  <printOptions/>
  <pageMargins left="0.35433070866141736" right="0.2362204724409449" top="0.8267716535433072" bottom="0.2362204724409449" header="0.35433070866141736" footer="0.1574803149606299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15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" sqref="D6:D9"/>
    </sheetView>
  </sheetViews>
  <sheetFormatPr defaultColWidth="8.875" defaultRowHeight="12.75"/>
  <cols>
    <col min="1" max="1" width="50.625" style="78" customWidth="1"/>
    <col min="2" max="2" width="8.125" style="78" customWidth="1"/>
    <col min="3" max="3" width="9.375" style="78" customWidth="1"/>
    <col min="4" max="4" width="16.00390625" style="78" customWidth="1"/>
    <col min="5" max="5" width="14.625" style="78" bestFit="1" customWidth="1"/>
    <col min="6" max="6" width="17.375" style="78" hidden="1" customWidth="1"/>
    <col min="7" max="7" width="18.125" style="78" hidden="1" customWidth="1"/>
    <col min="8" max="8" width="10.75390625" style="78" customWidth="1"/>
    <col min="9" max="9" width="12.625" style="78" customWidth="1"/>
    <col min="10" max="10" width="11.625" style="78" customWidth="1"/>
    <col min="11" max="16384" width="8.875" style="78" customWidth="1"/>
  </cols>
  <sheetData>
    <row r="1" spans="1:6" ht="12.75">
      <c r="A1" s="62" t="s">
        <v>195</v>
      </c>
      <c r="B1" s="62"/>
      <c r="D1" s="62"/>
      <c r="F1" s="62"/>
    </row>
    <row r="2" spans="1:6" ht="12.75">
      <c r="A2" s="62"/>
      <c r="D2" s="62"/>
      <c r="F2" s="62"/>
    </row>
    <row r="3" spans="1:5" ht="12.75">
      <c r="A3" s="305" t="s">
        <v>43</v>
      </c>
      <c r="D3" s="365"/>
      <c r="E3" s="365"/>
    </row>
    <row r="4" spans="1:7" ht="12.75">
      <c r="A4" s="352" t="s">
        <v>203</v>
      </c>
      <c r="B4" s="363" t="s">
        <v>193</v>
      </c>
      <c r="C4" s="363" t="s">
        <v>232</v>
      </c>
      <c r="D4" s="361" t="str">
        <f>Дох!A6</f>
        <v>Ручка шариковая</v>
      </c>
      <c r="E4" s="362"/>
      <c r="F4" s="361"/>
      <c r="G4" s="362"/>
    </row>
    <row r="5" spans="1:7" ht="25.5">
      <c r="A5" s="353"/>
      <c r="B5" s="364"/>
      <c r="C5" s="364"/>
      <c r="D5" s="255" t="s">
        <v>354</v>
      </c>
      <c r="E5" s="255" t="s">
        <v>355</v>
      </c>
      <c r="F5" s="255"/>
      <c r="G5" s="255"/>
    </row>
    <row r="6" spans="1:7" ht="12.75">
      <c r="A6" s="81" t="str">
        <f>Исх!A32</f>
        <v>Чернила</v>
      </c>
      <c r="B6" s="236" t="s">
        <v>352</v>
      </c>
      <c r="C6" s="249">
        <f>Исх!C32/Исх!$C$19</f>
        <v>1.607142857142857</v>
      </c>
      <c r="D6" s="258">
        <f>Исх!C39</f>
        <v>4.2</v>
      </c>
      <c r="E6" s="249">
        <f>D6*$C6</f>
        <v>6.75</v>
      </c>
      <c r="F6" s="258"/>
      <c r="G6" s="146"/>
    </row>
    <row r="7" spans="1:7" ht="12.75">
      <c r="A7" s="81" t="str">
        <f>Исх!A33</f>
        <v>Полипропилен</v>
      </c>
      <c r="B7" s="236" t="s">
        <v>351</v>
      </c>
      <c r="C7" s="249">
        <f>Исх!C33/Исх!$C$19</f>
        <v>0.21749999999999997</v>
      </c>
      <c r="D7" s="258">
        <f>Исх!C40</f>
        <v>10.5</v>
      </c>
      <c r="E7" s="249">
        <f>D7*$C7</f>
        <v>2.2837499999999995</v>
      </c>
      <c r="F7" s="258"/>
      <c r="G7" s="146"/>
    </row>
    <row r="8" spans="1:7" ht="12.75">
      <c r="A8" s="81" t="str">
        <f>Исх!A34</f>
        <v>Медный наконечник с шариком</v>
      </c>
      <c r="B8" s="236" t="s">
        <v>347</v>
      </c>
      <c r="C8" s="249">
        <f>Исх!C34/Исх!$C$19</f>
        <v>1.0714285714285714</v>
      </c>
      <c r="D8" s="258">
        <f>Исх!C41</f>
        <v>1</v>
      </c>
      <c r="E8" s="249">
        <f>D8*$C8</f>
        <v>1.0714285714285714</v>
      </c>
      <c r="F8" s="249"/>
      <c r="G8" s="146"/>
    </row>
    <row r="9" spans="1:7" ht="12.75">
      <c r="A9" s="81" t="str">
        <f>Исх!A35</f>
        <v>Пигмент</v>
      </c>
      <c r="B9" s="236" t="s">
        <v>351</v>
      </c>
      <c r="C9" s="249">
        <f>Исх!C35/Исх!$C$19</f>
        <v>1.2499999999999998</v>
      </c>
      <c r="D9" s="258">
        <f>Исх!C42</f>
        <v>1.5</v>
      </c>
      <c r="E9" s="249">
        <f>D9*$C9</f>
        <v>1.8749999999999996</v>
      </c>
      <c r="F9" s="258"/>
      <c r="G9" s="249"/>
    </row>
    <row r="10" spans="1:7" ht="12.75">
      <c r="A10" s="81" t="s">
        <v>266</v>
      </c>
      <c r="B10" s="236" t="s">
        <v>353</v>
      </c>
      <c r="C10" s="249">
        <f>Исх!C36/Исх!$C$19</f>
        <v>17.09821428571428</v>
      </c>
      <c r="D10" s="258">
        <f>Исх!D43</f>
        <v>0.06547619047619048</v>
      </c>
      <c r="E10" s="249">
        <f>D10*$C10</f>
        <v>1.1195259353741494</v>
      </c>
      <c r="F10" s="258"/>
      <c r="G10" s="249"/>
    </row>
    <row r="11" spans="1:8" ht="12.75">
      <c r="A11" s="156" t="s">
        <v>0</v>
      </c>
      <c r="B11" s="256"/>
      <c r="C11" s="251"/>
      <c r="D11" s="257"/>
      <c r="E11" s="251">
        <f>SUM(E6:E10)</f>
        <v>13.09970450680272</v>
      </c>
      <c r="F11" s="257"/>
      <c r="G11" s="245">
        <f>SUM(G6:G10)</f>
        <v>0</v>
      </c>
      <c r="H11" s="148"/>
    </row>
    <row r="12" spans="1:7" s="148" customFormat="1" ht="12.75">
      <c r="A12" s="148" t="s">
        <v>240</v>
      </c>
      <c r="E12" s="266">
        <f>('2-ф2'!$B$10+'2-ф2'!$B$11+'2-ф2'!$B$12)*'Расх перем'!E13</f>
        <v>130722.81942169751</v>
      </c>
      <c r="G12" s="266"/>
    </row>
    <row r="13" spans="1:7" s="148" customFormat="1" ht="12.75">
      <c r="A13" s="148" t="s">
        <v>237</v>
      </c>
      <c r="E13" s="265">
        <f>'2-ф2'!$B$6/'2-ф2'!$B$5</f>
        <v>1</v>
      </c>
      <c r="F13" s="265"/>
      <c r="G13" s="265"/>
    </row>
    <row r="14" spans="1:7" s="148" customFormat="1" ht="12.75">
      <c r="A14" s="148" t="s">
        <v>239</v>
      </c>
      <c r="E14" s="266">
        <f>E12/Производство!$B$10</f>
        <v>5.170619297636257</v>
      </c>
      <c r="G14" s="266"/>
    </row>
    <row r="15" spans="1:7" s="148" customFormat="1" ht="12.75">
      <c r="A15" s="267" t="s">
        <v>238</v>
      </c>
      <c r="B15" s="268"/>
      <c r="C15" s="268"/>
      <c r="D15" s="268"/>
      <c r="E15" s="269">
        <f>E11+E14</f>
        <v>18.270323804438977</v>
      </c>
      <c r="F15" s="268"/>
      <c r="G15" s="269"/>
    </row>
    <row r="16" s="148" customFormat="1" ht="12.75"/>
  </sheetData>
  <sheetProtection/>
  <mergeCells count="6">
    <mergeCell ref="D4:E4"/>
    <mergeCell ref="A4:A5"/>
    <mergeCell ref="B4:B5"/>
    <mergeCell ref="C4:C5"/>
    <mergeCell ref="F4:G4"/>
    <mergeCell ref="D3:E3"/>
  </mergeCells>
  <printOptions/>
  <pageMargins left="0.34" right="0.43" top="0.45" bottom="0.38" header="0.2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M30"/>
  <sheetViews>
    <sheetView showGridLines="0" zoomScalePageLayoutView="0" workbookViewId="0" topLeftCell="A1">
      <pane xSplit="1" ySplit="4" topLeftCell="B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K34" sqref="K34"/>
    </sheetView>
  </sheetViews>
  <sheetFormatPr defaultColWidth="9.00390625" defaultRowHeight="12.75"/>
  <cols>
    <col min="1" max="1" width="5.625" style="78" customWidth="1"/>
    <col min="2" max="2" width="33.375" style="78" customWidth="1"/>
    <col min="3" max="3" width="10.00390625" style="78" customWidth="1"/>
    <col min="4" max="4" width="11.625" style="78" customWidth="1"/>
    <col min="5" max="5" width="12.75390625" style="78" customWidth="1"/>
    <col min="6" max="9" width="11.625" style="78" customWidth="1"/>
    <col min="10" max="10" width="10.125" style="78" customWidth="1"/>
    <col min="11" max="11" width="12.00390625" style="78" customWidth="1"/>
    <col min="12" max="16384" width="9.125" style="78" customWidth="1"/>
  </cols>
  <sheetData>
    <row r="1" ht="5.25" customHeight="1"/>
    <row r="2" spans="1:13" ht="16.5" customHeight="1">
      <c r="A2" s="62" t="s">
        <v>143</v>
      </c>
      <c r="D2" s="166"/>
      <c r="E2" s="166"/>
      <c r="F2" s="166"/>
      <c r="G2" s="166"/>
      <c r="H2" s="166"/>
      <c r="I2" s="166"/>
      <c r="J2" s="166"/>
      <c r="K2" s="147" t="str">
        <f>Исх!C10</f>
        <v>тыс.тг.</v>
      </c>
      <c r="M2" s="248">
        <f>'1-Ф3'!$B$2</f>
        <v>0</v>
      </c>
    </row>
    <row r="3" spans="1:11" ht="8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42" customHeight="1">
      <c r="A4" s="150" t="s">
        <v>36</v>
      </c>
      <c r="B4" s="151" t="s">
        <v>37</v>
      </c>
      <c r="C4" s="219" t="s">
        <v>38</v>
      </c>
      <c r="D4" s="152" t="s">
        <v>96</v>
      </c>
      <c r="E4" s="152" t="s">
        <v>97</v>
      </c>
      <c r="F4" s="152" t="s">
        <v>47</v>
      </c>
      <c r="G4" s="152" t="s">
        <v>48</v>
      </c>
      <c r="H4" s="152" t="s">
        <v>49</v>
      </c>
      <c r="I4" s="152" t="s">
        <v>50</v>
      </c>
      <c r="J4" s="152" t="s">
        <v>51</v>
      </c>
      <c r="K4" s="152" t="s">
        <v>45</v>
      </c>
    </row>
    <row r="5" spans="1:11" s="62" customFormat="1" ht="12.75">
      <c r="A5" s="143"/>
      <c r="B5" s="153" t="s">
        <v>95</v>
      </c>
      <c r="C5" s="143"/>
      <c r="D5" s="143"/>
      <c r="E5" s="143"/>
      <c r="F5" s="143"/>
      <c r="G5" s="143"/>
      <c r="H5" s="143"/>
      <c r="I5" s="143"/>
      <c r="J5" s="143"/>
      <c r="K5" s="143"/>
    </row>
    <row r="6" spans="1:11" ht="12.75">
      <c r="A6" s="81">
        <v>1</v>
      </c>
      <c r="B6" s="81" t="s">
        <v>245</v>
      </c>
      <c r="C6" s="312">
        <v>1</v>
      </c>
      <c r="D6" s="145">
        <v>100</v>
      </c>
      <c r="E6" s="154">
        <f>C6*D6</f>
        <v>100</v>
      </c>
      <c r="F6" s="154">
        <f>E6*$C$24</f>
        <v>10</v>
      </c>
      <c r="G6" s="154">
        <f>(E6-$C$28-F6)*$C$26</f>
        <v>7.134</v>
      </c>
      <c r="H6" s="154">
        <f>(E6-F6)*$C$25</f>
        <v>4.5</v>
      </c>
      <c r="I6" s="154">
        <f>(E6-F6)*$C$27-H6</f>
        <v>5.4</v>
      </c>
      <c r="J6" s="154">
        <f>E6-F6-G6</f>
        <v>82.866</v>
      </c>
      <c r="K6" s="155">
        <f>SUM(F6:J6)</f>
        <v>109.9</v>
      </c>
    </row>
    <row r="7" spans="1:11" ht="12.75">
      <c r="A7" s="81">
        <v>2</v>
      </c>
      <c r="B7" s="81" t="s">
        <v>246</v>
      </c>
      <c r="C7" s="312">
        <v>1</v>
      </c>
      <c r="D7" s="145">
        <v>60</v>
      </c>
      <c r="E7" s="154">
        <f>C7*D7</f>
        <v>60</v>
      </c>
      <c r="F7" s="154">
        <f>E7*$C$24</f>
        <v>6</v>
      </c>
      <c r="G7" s="154">
        <f>(E7-$C$28-F7)*$C$26</f>
        <v>3.5340000000000007</v>
      </c>
      <c r="H7" s="154">
        <f>(E7-F7)*$C$25</f>
        <v>2.7</v>
      </c>
      <c r="I7" s="154">
        <f>(E7-F7)*$C$27-H7</f>
        <v>3.24</v>
      </c>
      <c r="J7" s="154">
        <f>E7-F7-G7</f>
        <v>50.466</v>
      </c>
      <c r="K7" s="155">
        <f>SUM(F7:J7)</f>
        <v>65.94</v>
      </c>
    </row>
    <row r="8" spans="1:11" s="62" customFormat="1" ht="12.75">
      <c r="A8" s="156"/>
      <c r="B8" s="156" t="s">
        <v>0</v>
      </c>
      <c r="C8" s="31">
        <f aca="true" t="shared" si="0" ref="C8:K8">SUM(C6:C7)</f>
        <v>2</v>
      </c>
      <c r="D8" s="31">
        <f t="shared" si="0"/>
        <v>160</v>
      </c>
      <c r="E8" s="31">
        <f t="shared" si="0"/>
        <v>160</v>
      </c>
      <c r="F8" s="31">
        <f t="shared" si="0"/>
        <v>16</v>
      </c>
      <c r="G8" s="31">
        <f t="shared" si="0"/>
        <v>10.668000000000001</v>
      </c>
      <c r="H8" s="31">
        <f t="shared" si="0"/>
        <v>7.2</v>
      </c>
      <c r="I8" s="31">
        <f t="shared" si="0"/>
        <v>8.64</v>
      </c>
      <c r="J8" s="31">
        <f t="shared" si="0"/>
        <v>133.332</v>
      </c>
      <c r="K8" s="31">
        <f t="shared" si="0"/>
        <v>175.84</v>
      </c>
    </row>
    <row r="9" spans="1:12" s="62" customFormat="1" ht="12.75">
      <c r="A9" s="143"/>
      <c r="B9" s="143" t="s">
        <v>320</v>
      </c>
      <c r="C9" s="143"/>
      <c r="D9" s="144"/>
      <c r="E9" s="144"/>
      <c r="F9" s="144"/>
      <c r="G9" s="144"/>
      <c r="H9" s="144"/>
      <c r="I9" s="144"/>
      <c r="J9" s="144"/>
      <c r="K9" s="144"/>
      <c r="L9" s="78"/>
    </row>
    <row r="10" spans="1:11" ht="12.75">
      <c r="A10" s="81">
        <v>1</v>
      </c>
      <c r="B10" s="81" t="s">
        <v>236</v>
      </c>
      <c r="C10" s="145">
        <v>8</v>
      </c>
      <c r="D10" s="145">
        <v>60</v>
      </c>
      <c r="E10" s="154">
        <f>C10*D10</f>
        <v>480</v>
      </c>
      <c r="F10" s="154">
        <f>E10*$C$24</f>
        <v>48</v>
      </c>
      <c r="G10" s="154">
        <f>(E10-$C$28-F10)*$C$26</f>
        <v>41.334</v>
      </c>
      <c r="H10" s="154">
        <f>(E10-F10)*$C$25</f>
        <v>21.6</v>
      </c>
      <c r="I10" s="154">
        <f>(E10-F10)*$C$27-H10</f>
        <v>25.92</v>
      </c>
      <c r="J10" s="154">
        <f>E10-F10-G10</f>
        <v>390.666</v>
      </c>
      <c r="K10" s="155">
        <f>SUM(F10:J10)</f>
        <v>527.52</v>
      </c>
    </row>
    <row r="11" spans="1:11" s="62" customFormat="1" ht="12.75">
      <c r="A11" s="156"/>
      <c r="B11" s="157" t="s">
        <v>0</v>
      </c>
      <c r="C11" s="276">
        <f aca="true" t="shared" si="1" ref="C11:K11">SUM(C9:C10)</f>
        <v>8</v>
      </c>
      <c r="D11" s="155">
        <f t="shared" si="1"/>
        <v>60</v>
      </c>
      <c r="E11" s="155">
        <f t="shared" si="1"/>
        <v>480</v>
      </c>
      <c r="F11" s="155">
        <f t="shared" si="1"/>
        <v>48</v>
      </c>
      <c r="G11" s="155">
        <f t="shared" si="1"/>
        <v>41.334</v>
      </c>
      <c r="H11" s="155">
        <f t="shared" si="1"/>
        <v>21.6</v>
      </c>
      <c r="I11" s="155">
        <f t="shared" si="1"/>
        <v>25.92</v>
      </c>
      <c r="J11" s="155">
        <f t="shared" si="1"/>
        <v>390.666</v>
      </c>
      <c r="K11" s="155">
        <f t="shared" si="1"/>
        <v>527.52</v>
      </c>
    </row>
    <row r="12" spans="1:11" s="62" customFormat="1" ht="12.75">
      <c r="A12" s="143"/>
      <c r="B12" s="143" t="s">
        <v>305</v>
      </c>
      <c r="C12" s="143"/>
      <c r="D12" s="144"/>
      <c r="E12" s="144"/>
      <c r="F12" s="144"/>
      <c r="G12" s="144"/>
      <c r="H12" s="144"/>
      <c r="I12" s="144"/>
      <c r="J12" s="144"/>
      <c r="K12" s="144"/>
    </row>
    <row r="13" spans="1:11" ht="12.75">
      <c r="A13" s="81">
        <v>1</v>
      </c>
      <c r="B13" s="81" t="s">
        <v>356</v>
      </c>
      <c r="C13" s="312">
        <v>1</v>
      </c>
      <c r="D13" s="145">
        <v>50</v>
      </c>
      <c r="E13" s="154">
        <f>C13*D13</f>
        <v>50</v>
      </c>
      <c r="F13" s="154">
        <f>E13*$C$24</f>
        <v>5</v>
      </c>
      <c r="G13" s="154">
        <f>(E13-$C$28-F13)*$C$26</f>
        <v>2.6340000000000003</v>
      </c>
      <c r="H13" s="154">
        <f>(E13-F13)*$C$25</f>
        <v>2.25</v>
      </c>
      <c r="I13" s="154">
        <f>(E13-F13)*$C$27-H13</f>
        <v>2.7</v>
      </c>
      <c r="J13" s="154">
        <f>E13-F13-G13</f>
        <v>42.366</v>
      </c>
      <c r="K13" s="155">
        <f>SUM(F13:J13)</f>
        <v>54.95</v>
      </c>
    </row>
    <row r="14" spans="1:11" ht="12.75" hidden="1">
      <c r="A14" s="81">
        <v>2</v>
      </c>
      <c r="B14" s="81"/>
      <c r="C14" s="312">
        <v>1</v>
      </c>
      <c r="D14" s="145"/>
      <c r="E14" s="154">
        <f>C14*D14</f>
        <v>0</v>
      </c>
      <c r="F14" s="154">
        <f>E14*$C$24</f>
        <v>0</v>
      </c>
      <c r="G14" s="154">
        <f>(E14-$C$28-F14)*$C$26</f>
        <v>-1.866</v>
      </c>
      <c r="H14" s="154">
        <f>(E14-F14)*$C$25</f>
        <v>0</v>
      </c>
      <c r="I14" s="154">
        <f>(E14-F14)*$C$27-H14</f>
        <v>0</v>
      </c>
      <c r="J14" s="154">
        <f>E14-F14-G14</f>
        <v>1.866</v>
      </c>
      <c r="K14" s="155">
        <f>SUM(F14:J14)</f>
        <v>0</v>
      </c>
    </row>
    <row r="15" spans="1:11" ht="12.75">
      <c r="A15" s="81">
        <v>2</v>
      </c>
      <c r="B15" s="81" t="s">
        <v>247</v>
      </c>
      <c r="C15" s="312">
        <v>1</v>
      </c>
      <c r="D15" s="145">
        <v>70</v>
      </c>
      <c r="E15" s="154">
        <f>C15*D15</f>
        <v>70</v>
      </c>
      <c r="F15" s="154">
        <f>E15*$C$24</f>
        <v>7</v>
      </c>
      <c r="G15" s="154">
        <f>(E15-$C$28-F15)*$C$26</f>
        <v>4.434</v>
      </c>
      <c r="H15" s="154">
        <f>(E15-F15)*$C$25</f>
        <v>3.1500000000000004</v>
      </c>
      <c r="I15" s="154">
        <f>(E15-F15)*$C$27-H15</f>
        <v>3.7799999999999994</v>
      </c>
      <c r="J15" s="154">
        <f>E15-F15-G15</f>
        <v>58.566</v>
      </c>
      <c r="K15" s="155">
        <f>SUM(F15:J15)</f>
        <v>76.93</v>
      </c>
    </row>
    <row r="16" spans="1:11" s="62" customFormat="1" ht="12.75">
      <c r="A16" s="156"/>
      <c r="B16" s="157" t="s">
        <v>0</v>
      </c>
      <c r="C16" s="156">
        <f aca="true" t="shared" si="2" ref="C16:K16">SUM(C13:C15)</f>
        <v>3</v>
      </c>
      <c r="D16" s="155">
        <f t="shared" si="2"/>
        <v>120</v>
      </c>
      <c r="E16" s="155">
        <f t="shared" si="2"/>
        <v>120</v>
      </c>
      <c r="F16" s="155">
        <f t="shared" si="2"/>
        <v>12</v>
      </c>
      <c r="G16" s="155">
        <f t="shared" si="2"/>
        <v>5.202</v>
      </c>
      <c r="H16" s="155">
        <f t="shared" si="2"/>
        <v>5.4</v>
      </c>
      <c r="I16" s="155">
        <f t="shared" si="2"/>
        <v>6.4799999999999995</v>
      </c>
      <c r="J16" s="155">
        <f t="shared" si="2"/>
        <v>102.798</v>
      </c>
      <c r="K16" s="155">
        <f t="shared" si="2"/>
        <v>131.88</v>
      </c>
    </row>
    <row r="17" spans="1:11" s="62" customFormat="1" ht="12.75" hidden="1">
      <c r="A17" s="143"/>
      <c r="B17" s="143" t="s">
        <v>107</v>
      </c>
      <c r="C17" s="143"/>
      <c r="D17" s="144"/>
      <c r="E17" s="144"/>
      <c r="F17" s="144"/>
      <c r="G17" s="144"/>
      <c r="H17" s="144"/>
      <c r="I17" s="144"/>
      <c r="J17" s="144"/>
      <c r="K17" s="144"/>
    </row>
    <row r="18" spans="1:13" ht="12.75" hidden="1">
      <c r="A18" s="81"/>
      <c r="B18" s="81"/>
      <c r="C18" s="312"/>
      <c r="D18" s="145"/>
      <c r="E18" s="154">
        <f>C18*D18</f>
        <v>0</v>
      </c>
      <c r="F18" s="154">
        <f>E18*$C$24</f>
        <v>0</v>
      </c>
      <c r="G18" s="154">
        <f>(E18-$C$28-F18)*$C$26</f>
        <v>-1.866</v>
      </c>
      <c r="H18" s="154">
        <f>(E18-F18)*$C$25</f>
        <v>0</v>
      </c>
      <c r="I18" s="154">
        <f>(E18-F18)*$C$27-H18</f>
        <v>0</v>
      </c>
      <c r="J18" s="154">
        <f>E18-F18-G18</f>
        <v>1.866</v>
      </c>
      <c r="K18" s="155">
        <f>SUM(F18:J18)</f>
        <v>0</v>
      </c>
      <c r="M18" s="158"/>
    </row>
    <row r="19" spans="1:11" ht="12.75" hidden="1">
      <c r="A19" s="81"/>
      <c r="B19" s="81"/>
      <c r="C19" s="312"/>
      <c r="D19" s="145"/>
      <c r="E19" s="154">
        <f>C19*D19</f>
        <v>0</v>
      </c>
      <c r="F19" s="154">
        <f>E19*$C$24</f>
        <v>0</v>
      </c>
      <c r="G19" s="154">
        <f>(E19-$C$28-F19)*$C$26</f>
        <v>-1.866</v>
      </c>
      <c r="H19" s="154">
        <f>(E19-F19)*$C$25</f>
        <v>0</v>
      </c>
      <c r="I19" s="154">
        <f>(E19-F19)*$C$27-H19</f>
        <v>0</v>
      </c>
      <c r="J19" s="154">
        <f>E19-F19-G19</f>
        <v>1.866</v>
      </c>
      <c r="K19" s="155">
        <f>SUM(F19:J19)</f>
        <v>0</v>
      </c>
    </row>
    <row r="20" spans="1:11" s="62" customFormat="1" ht="12.75" hidden="1">
      <c r="A20" s="156"/>
      <c r="B20" s="157" t="s">
        <v>0</v>
      </c>
      <c r="C20" s="156">
        <f aca="true" t="shared" si="3" ref="C20:K20">SUM(C18:C19)</f>
        <v>0</v>
      </c>
      <c r="D20" s="155">
        <f t="shared" si="3"/>
        <v>0</v>
      </c>
      <c r="E20" s="155">
        <f t="shared" si="3"/>
        <v>0</v>
      </c>
      <c r="F20" s="155">
        <f t="shared" si="3"/>
        <v>0</v>
      </c>
      <c r="G20" s="155">
        <f t="shared" si="3"/>
        <v>-3.732</v>
      </c>
      <c r="H20" s="155">
        <f t="shared" si="3"/>
        <v>0</v>
      </c>
      <c r="I20" s="155">
        <f t="shared" si="3"/>
        <v>0</v>
      </c>
      <c r="J20" s="155">
        <f t="shared" si="3"/>
        <v>3.732</v>
      </c>
      <c r="K20" s="155">
        <f t="shared" si="3"/>
        <v>0</v>
      </c>
    </row>
    <row r="21" spans="1:11" ht="12.75">
      <c r="A21" s="81"/>
      <c r="B21" s="81"/>
      <c r="C21" s="81"/>
      <c r="D21" s="154"/>
      <c r="E21" s="154"/>
      <c r="F21" s="154"/>
      <c r="G21" s="154"/>
      <c r="H21" s="154"/>
      <c r="I21" s="154"/>
      <c r="J21" s="154"/>
      <c r="K21" s="154"/>
    </row>
    <row r="22" spans="1:13" s="62" customFormat="1" ht="12.75">
      <c r="A22" s="156"/>
      <c r="B22" s="156" t="s">
        <v>108</v>
      </c>
      <c r="C22" s="155">
        <f aca="true" t="shared" si="4" ref="C22:K22">C8+C11+C16+C20</f>
        <v>13</v>
      </c>
      <c r="D22" s="155">
        <f t="shared" si="4"/>
        <v>340</v>
      </c>
      <c r="E22" s="155">
        <f t="shared" si="4"/>
        <v>760</v>
      </c>
      <c r="F22" s="155">
        <f t="shared" si="4"/>
        <v>76</v>
      </c>
      <c r="G22" s="155">
        <f t="shared" si="4"/>
        <v>53.472</v>
      </c>
      <c r="H22" s="155">
        <f t="shared" si="4"/>
        <v>34.2</v>
      </c>
      <c r="I22" s="155">
        <f t="shared" si="4"/>
        <v>41.04</v>
      </c>
      <c r="J22" s="155">
        <f t="shared" si="4"/>
        <v>630.528</v>
      </c>
      <c r="K22" s="159">
        <f t="shared" si="4"/>
        <v>835.24</v>
      </c>
      <c r="M22" s="248"/>
    </row>
    <row r="24" spans="2:10" ht="12.75" hidden="1">
      <c r="B24" s="81" t="s">
        <v>47</v>
      </c>
      <c r="C24" s="160">
        <f>Исх!C12</f>
        <v>0.1</v>
      </c>
      <c r="D24" s="161"/>
      <c r="E24" s="161"/>
      <c r="F24" s="161"/>
      <c r="G24" s="366"/>
      <c r="H24" s="366"/>
      <c r="I24" s="366"/>
      <c r="J24" s="366"/>
    </row>
    <row r="25" spans="2:10" ht="12.75" hidden="1">
      <c r="B25" s="81" t="s">
        <v>52</v>
      </c>
      <c r="C25" s="160">
        <f>Исх!C13</f>
        <v>0.05</v>
      </c>
      <c r="D25" s="161"/>
      <c r="E25" s="161"/>
      <c r="F25" s="161"/>
      <c r="G25" s="161"/>
      <c r="H25" s="161"/>
      <c r="I25" s="162"/>
      <c r="J25" s="163"/>
    </row>
    <row r="26" spans="2:10" ht="12.75" hidden="1">
      <c r="B26" s="81" t="s">
        <v>48</v>
      </c>
      <c r="C26" s="160">
        <f>Исх!C14</f>
        <v>0.1</v>
      </c>
      <c r="D26" s="161"/>
      <c r="E26" s="161"/>
      <c r="F26" s="161"/>
      <c r="G26" s="161"/>
      <c r="H26" s="161"/>
      <c r="I26" s="162"/>
      <c r="J26" s="163"/>
    </row>
    <row r="27" spans="2:10" ht="12.75" hidden="1">
      <c r="B27" s="81" t="s">
        <v>50</v>
      </c>
      <c r="C27" s="160">
        <f>Исх!C15</f>
        <v>0.11</v>
      </c>
      <c r="D27" s="164"/>
      <c r="E27" s="164"/>
      <c r="F27" s="161"/>
      <c r="G27" s="161"/>
      <c r="H27" s="161"/>
      <c r="I27" s="162"/>
      <c r="J27" s="163"/>
    </row>
    <row r="28" spans="2:3" ht="12.75" hidden="1">
      <c r="B28" s="81" t="s">
        <v>112</v>
      </c>
      <c r="C28" s="165">
        <f>Исх!C16</f>
        <v>18.66</v>
      </c>
    </row>
    <row r="29" spans="7:10" ht="12.75">
      <c r="G29" s="161"/>
      <c r="H29" s="161"/>
      <c r="I29" s="162"/>
      <c r="J29" s="163"/>
    </row>
    <row r="30" ht="12.75">
      <c r="C30" s="201"/>
    </row>
  </sheetData>
  <sheetProtection/>
  <mergeCells count="1">
    <mergeCell ref="G24:J24"/>
  </mergeCells>
  <printOptions/>
  <pageMargins left="0.2755905511811024" right="0.2755905511811024" top="0.5" bottom="0.35433070866141736" header="0.2362204724409449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X50"/>
  <sheetViews>
    <sheetView showGridLines="0" zoomScalePageLayoutView="0" workbookViewId="0" topLeftCell="A1">
      <pane ySplit="4" topLeftCell="A5" activePane="bottomLeft" state="frozen"/>
      <selection pane="topLeft" activeCell="A34" sqref="A34"/>
      <selection pane="bottomLeft" activeCell="C7" sqref="C7"/>
    </sheetView>
  </sheetViews>
  <sheetFormatPr defaultColWidth="8.875" defaultRowHeight="12.75" outlineLevelRow="1"/>
  <cols>
    <col min="1" max="1" width="33.625" style="78" customWidth="1"/>
    <col min="2" max="2" width="5.125" style="78" customWidth="1"/>
    <col min="3" max="3" width="9.125" style="78" customWidth="1"/>
    <col min="4" max="9" width="7.625" style="78" bestFit="1" customWidth="1"/>
    <col min="10" max="10" width="7.25390625" style="78" customWidth="1"/>
    <col min="11" max="11" width="34.00390625" style="78" customWidth="1"/>
    <col min="12" max="12" width="8.75390625" style="78" customWidth="1"/>
    <col min="13" max="13" width="36.625" style="78" customWidth="1"/>
    <col min="14" max="14" width="5.25390625" style="78" bestFit="1" customWidth="1"/>
    <col min="15" max="22" width="8.25390625" style="78" customWidth="1"/>
    <col min="23" max="16384" width="8.875" style="78" customWidth="1"/>
  </cols>
  <sheetData>
    <row r="1" spans="1:23" ht="12.75">
      <c r="A1" s="62" t="s">
        <v>147</v>
      </c>
      <c r="M1" s="62" t="s">
        <v>259</v>
      </c>
      <c r="W1" s="62"/>
    </row>
    <row r="2" spans="1:23" ht="12.75">
      <c r="A2" s="62"/>
      <c r="B2" s="62"/>
      <c r="C2" s="78" t="s">
        <v>289</v>
      </c>
      <c r="E2" s="301">
        <v>0.05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3:20" ht="12.75">
      <c r="C3" s="140"/>
      <c r="D3" s="140"/>
      <c r="E3" s="140"/>
      <c r="F3" s="140"/>
      <c r="G3" s="140"/>
      <c r="H3" s="140"/>
      <c r="J3" s="147" t="str">
        <f>Исх!C10</f>
        <v>тыс.тг.</v>
      </c>
      <c r="O3" s="140"/>
      <c r="P3" s="140"/>
      <c r="Q3" s="140"/>
      <c r="R3" s="140"/>
      <c r="S3" s="140"/>
      <c r="T3" s="140"/>
    </row>
    <row r="4" spans="1:23" ht="12.75">
      <c r="A4" s="217" t="s">
        <v>44</v>
      </c>
      <c r="B4" s="233"/>
      <c r="C4" s="233" t="s">
        <v>8</v>
      </c>
      <c r="D4" s="233">
        <v>2014</v>
      </c>
      <c r="E4" s="233">
        <f aca="true" t="shared" si="0" ref="E4:J4">D4+1</f>
        <v>2015</v>
      </c>
      <c r="F4" s="233">
        <f t="shared" si="0"/>
        <v>2016</v>
      </c>
      <c r="G4" s="233">
        <f t="shared" si="0"/>
        <v>2017</v>
      </c>
      <c r="H4" s="233">
        <f t="shared" si="0"/>
        <v>2018</v>
      </c>
      <c r="I4" s="233">
        <f t="shared" si="0"/>
        <v>2019</v>
      </c>
      <c r="J4" s="233">
        <f t="shared" si="0"/>
        <v>2020</v>
      </c>
      <c r="K4" s="233" t="s">
        <v>206</v>
      </c>
      <c r="M4" s="217" t="str">
        <f aca="true" t="shared" si="1" ref="M4:M16">A4</f>
        <v>Затраты</v>
      </c>
      <c r="N4" s="233"/>
      <c r="O4" s="233" t="str">
        <f aca="true" t="shared" si="2" ref="O4:V4">C4</f>
        <v>Значение</v>
      </c>
      <c r="P4" s="233">
        <f t="shared" si="2"/>
        <v>2014</v>
      </c>
      <c r="Q4" s="233">
        <f t="shared" si="2"/>
        <v>2015</v>
      </c>
      <c r="R4" s="233">
        <f t="shared" si="2"/>
        <v>2016</v>
      </c>
      <c r="S4" s="233">
        <f t="shared" si="2"/>
        <v>2017</v>
      </c>
      <c r="T4" s="233">
        <f t="shared" si="2"/>
        <v>2018</v>
      </c>
      <c r="U4" s="233">
        <f t="shared" si="2"/>
        <v>2019</v>
      </c>
      <c r="V4" s="233">
        <f t="shared" si="2"/>
        <v>2020</v>
      </c>
      <c r="W4" s="248"/>
    </row>
    <row r="5" spans="1:22" ht="12.75">
      <c r="A5" s="81" t="s">
        <v>45</v>
      </c>
      <c r="B5" s="146"/>
      <c r="C5" s="154">
        <f>ФОТ!$K$22</f>
        <v>835.24</v>
      </c>
      <c r="D5" s="154">
        <f>ФОТ!$K$22</f>
        <v>835.24</v>
      </c>
      <c r="E5" s="154">
        <f aca="true" t="shared" si="3" ref="E5:E15">D5+D5*$E$2</f>
        <v>877.002</v>
      </c>
      <c r="F5" s="154">
        <f>E5+E5*$E$2</f>
        <v>920.8521</v>
      </c>
      <c r="G5" s="154">
        <f>F5+F5*$E$2</f>
        <v>966.8947049999999</v>
      </c>
      <c r="H5" s="154">
        <f>G5+G5*$E$2</f>
        <v>1015.2394402499999</v>
      </c>
      <c r="I5" s="154">
        <f>H5+H5*$E$2</f>
        <v>1066.0014122624998</v>
      </c>
      <c r="J5" s="154">
        <f>I5+I5*$E$2</f>
        <v>1119.3014828756247</v>
      </c>
      <c r="K5" s="154"/>
      <c r="M5" s="81" t="str">
        <f t="shared" si="1"/>
        <v>ФОТ</v>
      </c>
      <c r="N5" s="146"/>
      <c r="O5" s="154">
        <f aca="true" t="shared" si="4" ref="O5:O15">C5*12</f>
        <v>10022.880000000001</v>
      </c>
      <c r="P5" s="154">
        <f aca="true" t="shared" si="5" ref="P5:P15">D5*12</f>
        <v>10022.880000000001</v>
      </c>
      <c r="Q5" s="154">
        <f aca="true" t="shared" si="6" ref="Q5:Q15">E5*12</f>
        <v>10524.024</v>
      </c>
      <c r="R5" s="154">
        <f aca="true" t="shared" si="7" ref="R5:R15">F5*12</f>
        <v>11050.225199999999</v>
      </c>
      <c r="S5" s="154">
        <f aca="true" t="shared" si="8" ref="S5:S15">G5*12</f>
        <v>11602.73646</v>
      </c>
      <c r="T5" s="154">
        <f aca="true" t="shared" si="9" ref="T5:T15">H5*12</f>
        <v>12182.873282999999</v>
      </c>
      <c r="U5" s="154">
        <f aca="true" t="shared" si="10" ref="U5:U15">I5*12</f>
        <v>12792.016947149998</v>
      </c>
      <c r="V5" s="154">
        <f aca="true" t="shared" si="11" ref="V5:V15">J5*12</f>
        <v>13431.617794507496</v>
      </c>
    </row>
    <row r="6" spans="1:22" ht="12.75">
      <c r="A6" s="167" t="s">
        <v>357</v>
      </c>
      <c r="B6" s="232"/>
      <c r="C6" s="145">
        <f>150*1</f>
        <v>150</v>
      </c>
      <c r="D6" s="154">
        <f>Исх!$C$43*Производство!AC6*Исх!$C$36/Исх!$C$19/1000</f>
        <v>169.27232142857136</v>
      </c>
      <c r="E6" s="154">
        <f>Исх!$C$43*Производство!AP6*Исх!$C$36/Исх!$C$19/1000</f>
        <v>319.7366071428571</v>
      </c>
      <c r="F6" s="154">
        <f>Исх!$C$43*Производство!AQ6*Исх!$C$36/Исх!$C$19/1000</f>
        <v>376.1607142857142</v>
      </c>
      <c r="G6" s="154">
        <f>Исх!$C$43*Производство!AR6*Исх!$C$36/Исх!$C$19/1000</f>
        <v>376.1607142857142</v>
      </c>
      <c r="H6" s="154">
        <f>Исх!$C$43*Производство!AS6*Исх!$C$36/Исх!$C$19/1000</f>
        <v>376.1607142857142</v>
      </c>
      <c r="I6" s="154">
        <f>Исх!$C$43*Производство!AT6*Исх!$C$36/Исх!$C$19/1000</f>
        <v>376.1607142857142</v>
      </c>
      <c r="J6" s="154">
        <f>Исх!$C$43*Производство!AU6*Исх!$C$36/Исх!$C$19/1000</f>
        <v>376.1607142857142</v>
      </c>
      <c r="K6" s="292" t="s">
        <v>362</v>
      </c>
      <c r="M6" s="81" t="str">
        <f t="shared" si="1"/>
        <v>Аренда помещения</v>
      </c>
      <c r="N6" s="232"/>
      <c r="O6" s="154">
        <f t="shared" si="4"/>
        <v>1800</v>
      </c>
      <c r="P6" s="154">
        <f t="shared" si="5"/>
        <v>2031.2678571428564</v>
      </c>
      <c r="Q6" s="154">
        <f t="shared" si="6"/>
        <v>3836.8392857142853</v>
      </c>
      <c r="R6" s="154">
        <f t="shared" si="7"/>
        <v>4513.928571428571</v>
      </c>
      <c r="S6" s="154">
        <f t="shared" si="8"/>
        <v>4513.928571428571</v>
      </c>
      <c r="T6" s="154">
        <f t="shared" si="9"/>
        <v>4513.928571428571</v>
      </c>
      <c r="U6" s="154">
        <f t="shared" si="10"/>
        <v>4513.928571428571</v>
      </c>
      <c r="V6" s="154">
        <f t="shared" si="11"/>
        <v>4513.928571428571</v>
      </c>
    </row>
    <row r="7" spans="1:22" ht="12.75">
      <c r="A7" s="167" t="s">
        <v>212</v>
      </c>
      <c r="B7" s="232"/>
      <c r="C7" s="145">
        <v>20</v>
      </c>
      <c r="D7" s="154">
        <f aca="true" t="shared" si="12" ref="D7:D15">C7</f>
        <v>20</v>
      </c>
      <c r="E7" s="154">
        <f t="shared" si="3"/>
        <v>21</v>
      </c>
      <c r="F7" s="154">
        <f>E7+E7*$E$2</f>
        <v>22.05</v>
      </c>
      <c r="G7" s="154">
        <f>F7+F7*$E$2</f>
        <v>23.1525</v>
      </c>
      <c r="H7" s="154">
        <f>G7+G7*$E$2</f>
        <v>24.310125</v>
      </c>
      <c r="I7" s="154">
        <f>H7+H7*$E$2</f>
        <v>25.52563125</v>
      </c>
      <c r="J7" s="154">
        <f>I7+I7*$E$2</f>
        <v>26.8019128125</v>
      </c>
      <c r="K7" s="154" t="s">
        <v>358</v>
      </c>
      <c r="M7" s="81" t="str">
        <f t="shared" si="1"/>
        <v>Коммунальные расходы</v>
      </c>
      <c r="N7" s="232"/>
      <c r="O7" s="154">
        <f t="shared" si="4"/>
        <v>240</v>
      </c>
      <c r="P7" s="154">
        <f t="shared" si="5"/>
        <v>240</v>
      </c>
      <c r="Q7" s="154">
        <f t="shared" si="6"/>
        <v>252</v>
      </c>
      <c r="R7" s="154">
        <f t="shared" si="7"/>
        <v>264.6</v>
      </c>
      <c r="S7" s="154">
        <f t="shared" si="8"/>
        <v>277.83</v>
      </c>
      <c r="T7" s="154">
        <f t="shared" si="9"/>
        <v>291.7215</v>
      </c>
      <c r="U7" s="154">
        <f t="shared" si="10"/>
        <v>306.307575</v>
      </c>
      <c r="V7" s="154">
        <f t="shared" si="11"/>
        <v>321.62295374999997</v>
      </c>
    </row>
    <row r="8" spans="1:22" ht="12.75">
      <c r="A8" s="293" t="s">
        <v>292</v>
      </c>
      <c r="B8" s="294"/>
      <c r="C8" s="262">
        <v>12</v>
      </c>
      <c r="D8" s="116">
        <f t="shared" si="12"/>
        <v>12</v>
      </c>
      <c r="E8" s="116">
        <f t="shared" si="3"/>
        <v>12.6</v>
      </c>
      <c r="F8" s="116">
        <f aca="true" t="shared" si="13" ref="F8:J12">E8+E8*$E$2</f>
        <v>13.23</v>
      </c>
      <c r="G8" s="116">
        <f t="shared" si="13"/>
        <v>13.8915</v>
      </c>
      <c r="H8" s="116">
        <f t="shared" si="13"/>
        <v>14.586075000000001</v>
      </c>
      <c r="I8" s="116">
        <f t="shared" si="13"/>
        <v>15.31537875</v>
      </c>
      <c r="J8" s="116">
        <f t="shared" si="13"/>
        <v>16.0811476875</v>
      </c>
      <c r="K8" s="292" t="s">
        <v>359</v>
      </c>
      <c r="M8" s="115" t="str">
        <f t="shared" si="1"/>
        <v>Услуги охранной фирмы</v>
      </c>
      <c r="N8" s="294"/>
      <c r="O8" s="154">
        <f t="shared" si="4"/>
        <v>144</v>
      </c>
      <c r="P8" s="154">
        <f t="shared" si="5"/>
        <v>144</v>
      </c>
      <c r="Q8" s="154">
        <f t="shared" si="6"/>
        <v>151.2</v>
      </c>
      <c r="R8" s="154">
        <f t="shared" si="7"/>
        <v>158.76</v>
      </c>
      <c r="S8" s="154">
        <f t="shared" si="8"/>
        <v>166.698</v>
      </c>
      <c r="T8" s="154">
        <f t="shared" si="9"/>
        <v>175.0329</v>
      </c>
      <c r="U8" s="154">
        <f t="shared" si="10"/>
        <v>183.784545</v>
      </c>
      <c r="V8" s="154">
        <f t="shared" si="11"/>
        <v>192.97377225</v>
      </c>
    </row>
    <row r="9" spans="1:22" ht="12.75">
      <c r="A9" s="167" t="s">
        <v>249</v>
      </c>
      <c r="B9" s="146"/>
      <c r="C9" s="145">
        <v>10</v>
      </c>
      <c r="D9" s="154">
        <f t="shared" si="12"/>
        <v>10</v>
      </c>
      <c r="E9" s="154">
        <f t="shared" si="3"/>
        <v>10.5</v>
      </c>
      <c r="F9" s="154">
        <f t="shared" si="13"/>
        <v>11.025</v>
      </c>
      <c r="G9" s="154">
        <f t="shared" si="13"/>
        <v>11.57625</v>
      </c>
      <c r="H9" s="154">
        <f t="shared" si="13"/>
        <v>12.1550625</v>
      </c>
      <c r="I9" s="154">
        <f t="shared" si="13"/>
        <v>12.762815625</v>
      </c>
      <c r="J9" s="154">
        <f t="shared" si="13"/>
        <v>13.40095640625</v>
      </c>
      <c r="K9" s="154"/>
      <c r="M9" s="81" t="str">
        <f t="shared" si="1"/>
        <v>Спецодежда, перчатки, хоз.товары</v>
      </c>
      <c r="N9" s="146"/>
      <c r="O9" s="154">
        <f t="shared" si="4"/>
        <v>120</v>
      </c>
      <c r="P9" s="154">
        <f t="shared" si="5"/>
        <v>120</v>
      </c>
      <c r="Q9" s="154">
        <f t="shared" si="6"/>
        <v>126</v>
      </c>
      <c r="R9" s="154">
        <f t="shared" si="7"/>
        <v>132.3</v>
      </c>
      <c r="S9" s="154">
        <f t="shared" si="8"/>
        <v>138.915</v>
      </c>
      <c r="T9" s="154">
        <f t="shared" si="9"/>
        <v>145.86075</v>
      </c>
      <c r="U9" s="154">
        <f t="shared" si="10"/>
        <v>153.1537875</v>
      </c>
      <c r="V9" s="154">
        <f t="shared" si="11"/>
        <v>160.81147687499998</v>
      </c>
    </row>
    <row r="10" spans="1:22" ht="12.75">
      <c r="A10" s="81" t="s">
        <v>100</v>
      </c>
      <c r="B10" s="146"/>
      <c r="C10" s="145">
        <v>5</v>
      </c>
      <c r="D10" s="154">
        <f t="shared" si="12"/>
        <v>5</v>
      </c>
      <c r="E10" s="154">
        <f t="shared" si="3"/>
        <v>5.25</v>
      </c>
      <c r="F10" s="154">
        <f t="shared" si="13"/>
        <v>5.5125</v>
      </c>
      <c r="G10" s="154">
        <f t="shared" si="13"/>
        <v>5.788125</v>
      </c>
      <c r="H10" s="154">
        <f t="shared" si="13"/>
        <v>6.07753125</v>
      </c>
      <c r="I10" s="154">
        <f t="shared" si="13"/>
        <v>6.3814078125</v>
      </c>
      <c r="J10" s="154">
        <f t="shared" si="13"/>
        <v>6.700478203125</v>
      </c>
      <c r="K10" s="154"/>
      <c r="M10" s="81" t="str">
        <f t="shared" si="1"/>
        <v>Обслуживание и ремонт ОС</v>
      </c>
      <c r="N10" s="146"/>
      <c r="O10" s="154">
        <f t="shared" si="4"/>
        <v>60</v>
      </c>
      <c r="P10" s="154">
        <f t="shared" si="5"/>
        <v>60</v>
      </c>
      <c r="Q10" s="154">
        <f t="shared" si="6"/>
        <v>63</v>
      </c>
      <c r="R10" s="154">
        <f t="shared" si="7"/>
        <v>66.15</v>
      </c>
      <c r="S10" s="154">
        <f t="shared" si="8"/>
        <v>69.4575</v>
      </c>
      <c r="T10" s="154">
        <f t="shared" si="9"/>
        <v>72.930375</v>
      </c>
      <c r="U10" s="154">
        <f t="shared" si="10"/>
        <v>76.57689375</v>
      </c>
      <c r="V10" s="154">
        <f t="shared" si="11"/>
        <v>80.40573843749999</v>
      </c>
    </row>
    <row r="11" spans="1:22" ht="12.75">
      <c r="A11" s="81" t="s">
        <v>250</v>
      </c>
      <c r="B11" s="146"/>
      <c r="C11" s="145">
        <v>5</v>
      </c>
      <c r="D11" s="154">
        <f t="shared" si="12"/>
        <v>5</v>
      </c>
      <c r="E11" s="154">
        <f t="shared" si="3"/>
        <v>5.25</v>
      </c>
      <c r="F11" s="154">
        <f t="shared" si="13"/>
        <v>5.5125</v>
      </c>
      <c r="G11" s="154">
        <f t="shared" si="13"/>
        <v>5.788125</v>
      </c>
      <c r="H11" s="154">
        <f t="shared" si="13"/>
        <v>6.07753125</v>
      </c>
      <c r="I11" s="154">
        <f t="shared" si="13"/>
        <v>6.3814078125</v>
      </c>
      <c r="J11" s="154">
        <f t="shared" si="13"/>
        <v>6.700478203125</v>
      </c>
      <c r="K11" s="154" t="s">
        <v>290</v>
      </c>
      <c r="M11" s="81" t="str">
        <f t="shared" si="1"/>
        <v>Услуги банка</v>
      </c>
      <c r="N11" s="146"/>
      <c r="O11" s="154">
        <f t="shared" si="4"/>
        <v>60</v>
      </c>
      <c r="P11" s="154">
        <f t="shared" si="5"/>
        <v>60</v>
      </c>
      <c r="Q11" s="154">
        <f t="shared" si="6"/>
        <v>63</v>
      </c>
      <c r="R11" s="154">
        <f t="shared" si="7"/>
        <v>66.15</v>
      </c>
      <c r="S11" s="154">
        <f t="shared" si="8"/>
        <v>69.4575</v>
      </c>
      <c r="T11" s="154">
        <f t="shared" si="9"/>
        <v>72.930375</v>
      </c>
      <c r="U11" s="154">
        <f t="shared" si="10"/>
        <v>76.57689375</v>
      </c>
      <c r="V11" s="154">
        <f t="shared" si="11"/>
        <v>80.40573843749999</v>
      </c>
    </row>
    <row r="12" spans="1:22" ht="12.75">
      <c r="A12" s="81" t="s">
        <v>251</v>
      </c>
      <c r="B12" s="146"/>
      <c r="C12" s="145">
        <v>2</v>
      </c>
      <c r="D12" s="154">
        <f t="shared" si="12"/>
        <v>2</v>
      </c>
      <c r="E12" s="154">
        <f t="shared" si="3"/>
        <v>2.1</v>
      </c>
      <c r="F12" s="154">
        <f t="shared" si="13"/>
        <v>2.205</v>
      </c>
      <c r="G12" s="154">
        <f t="shared" si="13"/>
        <v>2.3152500000000003</v>
      </c>
      <c r="H12" s="154">
        <f t="shared" si="13"/>
        <v>2.4310125000000005</v>
      </c>
      <c r="I12" s="154">
        <f t="shared" si="13"/>
        <v>2.5525631250000007</v>
      </c>
      <c r="J12" s="154">
        <f t="shared" si="13"/>
        <v>2.680191281250001</v>
      </c>
      <c r="K12" s="154"/>
      <c r="M12" s="81" t="str">
        <f t="shared" si="1"/>
        <v>Канц.товары</v>
      </c>
      <c r="N12" s="146"/>
      <c r="O12" s="154">
        <f t="shared" si="4"/>
        <v>24</v>
      </c>
      <c r="P12" s="154">
        <f t="shared" si="5"/>
        <v>24</v>
      </c>
      <c r="Q12" s="154">
        <f t="shared" si="6"/>
        <v>25.200000000000003</v>
      </c>
      <c r="R12" s="154">
        <f t="shared" si="7"/>
        <v>26.46</v>
      </c>
      <c r="S12" s="154">
        <f t="shared" si="8"/>
        <v>27.783</v>
      </c>
      <c r="T12" s="154">
        <f t="shared" si="9"/>
        <v>29.172150000000006</v>
      </c>
      <c r="U12" s="154">
        <f t="shared" si="10"/>
        <v>30.63075750000001</v>
      </c>
      <c r="V12" s="154">
        <f t="shared" si="11"/>
        <v>32.162295375000014</v>
      </c>
    </row>
    <row r="13" spans="1:22" ht="12.75">
      <c r="A13" s="81" t="s">
        <v>242</v>
      </c>
      <c r="B13" s="146"/>
      <c r="C13" s="145">
        <f>10*25*110/1000/1.12</f>
        <v>24.553571428571427</v>
      </c>
      <c r="D13" s="154">
        <f t="shared" si="12"/>
        <v>24.553571428571427</v>
      </c>
      <c r="E13" s="154">
        <f t="shared" si="3"/>
        <v>25.78125</v>
      </c>
      <c r="F13" s="154">
        <f>E13+E13*$E$2</f>
        <v>27.0703125</v>
      </c>
      <c r="G13" s="154">
        <f>F13+F13*$E$2</f>
        <v>28.423828125</v>
      </c>
      <c r="H13" s="154">
        <f>G13+G13*$E$2</f>
        <v>29.84501953125</v>
      </c>
      <c r="I13" s="154">
        <f>H13+H13*$E$2</f>
        <v>31.337270507812498</v>
      </c>
      <c r="J13" s="154">
        <f>I13+I13*$E$2</f>
        <v>32.90413403320312</v>
      </c>
      <c r="K13" s="154" t="s">
        <v>361</v>
      </c>
      <c r="M13" s="81" t="str">
        <f t="shared" si="1"/>
        <v>ГСМ</v>
      </c>
      <c r="N13" s="146"/>
      <c r="O13" s="154">
        <f t="shared" si="4"/>
        <v>294.6428571428571</v>
      </c>
      <c r="P13" s="154">
        <f t="shared" si="5"/>
        <v>294.6428571428571</v>
      </c>
      <c r="Q13" s="154">
        <f t="shared" si="6"/>
        <v>309.375</v>
      </c>
      <c r="R13" s="154">
        <f t="shared" si="7"/>
        <v>324.84375</v>
      </c>
      <c r="S13" s="154">
        <f t="shared" si="8"/>
        <v>341.0859375</v>
      </c>
      <c r="T13" s="154">
        <f t="shared" si="9"/>
        <v>358.140234375</v>
      </c>
      <c r="U13" s="154">
        <f t="shared" si="10"/>
        <v>376.04724609375</v>
      </c>
      <c r="V13" s="154">
        <f t="shared" si="11"/>
        <v>394.84960839843745</v>
      </c>
    </row>
    <row r="14" spans="1:22" ht="12.75">
      <c r="A14" s="81" t="s">
        <v>79</v>
      </c>
      <c r="B14" s="146"/>
      <c r="C14" s="145">
        <v>10</v>
      </c>
      <c r="D14" s="154">
        <f t="shared" si="12"/>
        <v>10</v>
      </c>
      <c r="E14" s="154">
        <f t="shared" si="3"/>
        <v>10.5</v>
      </c>
      <c r="F14" s="154">
        <f aca="true" t="shared" si="14" ref="F14:J15">E14+E14*$E$2</f>
        <v>11.025</v>
      </c>
      <c r="G14" s="154">
        <f t="shared" si="14"/>
        <v>11.57625</v>
      </c>
      <c r="H14" s="154">
        <f t="shared" si="14"/>
        <v>12.1550625</v>
      </c>
      <c r="I14" s="154">
        <f t="shared" si="14"/>
        <v>12.762815625</v>
      </c>
      <c r="J14" s="154">
        <f t="shared" si="14"/>
        <v>13.40095640625</v>
      </c>
      <c r="K14" s="154" t="s">
        <v>291</v>
      </c>
      <c r="M14" s="81" t="str">
        <f t="shared" si="1"/>
        <v>Расходы на рекламу</v>
      </c>
      <c r="N14" s="146"/>
      <c r="O14" s="154">
        <f t="shared" si="4"/>
        <v>120</v>
      </c>
      <c r="P14" s="154">
        <f t="shared" si="5"/>
        <v>120</v>
      </c>
      <c r="Q14" s="154">
        <f t="shared" si="6"/>
        <v>126</v>
      </c>
      <c r="R14" s="154">
        <f t="shared" si="7"/>
        <v>132.3</v>
      </c>
      <c r="S14" s="154">
        <f t="shared" si="8"/>
        <v>138.915</v>
      </c>
      <c r="T14" s="154">
        <f t="shared" si="9"/>
        <v>145.86075</v>
      </c>
      <c r="U14" s="154">
        <f t="shared" si="10"/>
        <v>153.1537875</v>
      </c>
      <c r="V14" s="154">
        <f t="shared" si="11"/>
        <v>160.81147687499998</v>
      </c>
    </row>
    <row r="15" spans="1:22" ht="12.75">
      <c r="A15" s="81" t="s">
        <v>46</v>
      </c>
      <c r="B15" s="154"/>
      <c r="C15" s="145">
        <v>50</v>
      </c>
      <c r="D15" s="154">
        <f t="shared" si="12"/>
        <v>50</v>
      </c>
      <c r="E15" s="154">
        <f t="shared" si="3"/>
        <v>52.5</v>
      </c>
      <c r="F15" s="154">
        <f t="shared" si="14"/>
        <v>55.125</v>
      </c>
      <c r="G15" s="154">
        <f t="shared" si="14"/>
        <v>57.88125</v>
      </c>
      <c r="H15" s="154">
        <f t="shared" si="14"/>
        <v>60.7753125</v>
      </c>
      <c r="I15" s="154">
        <f t="shared" si="14"/>
        <v>63.814078124999995</v>
      </c>
      <c r="J15" s="154">
        <f t="shared" si="14"/>
        <v>67.00478203124999</v>
      </c>
      <c r="K15" s="154"/>
      <c r="M15" s="81" t="str">
        <f t="shared" si="1"/>
        <v>Прочие непредвиденные расходы</v>
      </c>
      <c r="N15" s="154"/>
      <c r="O15" s="154">
        <f t="shared" si="4"/>
        <v>600</v>
      </c>
      <c r="P15" s="154">
        <f t="shared" si="5"/>
        <v>600</v>
      </c>
      <c r="Q15" s="154">
        <f t="shared" si="6"/>
        <v>630</v>
      </c>
      <c r="R15" s="154">
        <f t="shared" si="7"/>
        <v>661.5</v>
      </c>
      <c r="S15" s="154">
        <f t="shared" si="8"/>
        <v>694.575</v>
      </c>
      <c r="T15" s="154">
        <f t="shared" si="9"/>
        <v>729.30375</v>
      </c>
      <c r="U15" s="154">
        <f t="shared" si="10"/>
        <v>765.7689375</v>
      </c>
      <c r="V15" s="154">
        <f t="shared" si="11"/>
        <v>804.0573843749999</v>
      </c>
    </row>
    <row r="16" spans="1:24" ht="12.75">
      <c r="A16" s="217" t="s">
        <v>0</v>
      </c>
      <c r="B16" s="218"/>
      <c r="C16" s="218">
        <f aca="true" t="shared" si="15" ref="C16:J16">SUM(C5:C15)</f>
        <v>1123.7935714285713</v>
      </c>
      <c r="D16" s="218">
        <f t="shared" si="15"/>
        <v>1143.0658928571427</v>
      </c>
      <c r="E16" s="218">
        <f t="shared" si="15"/>
        <v>1342.2198571428569</v>
      </c>
      <c r="F16" s="218">
        <f t="shared" si="15"/>
        <v>1449.7681267857145</v>
      </c>
      <c r="G16" s="218">
        <f t="shared" si="15"/>
        <v>1503.4484974107143</v>
      </c>
      <c r="H16" s="218">
        <f t="shared" si="15"/>
        <v>1559.812886566964</v>
      </c>
      <c r="I16" s="218">
        <f t="shared" si="15"/>
        <v>1618.9954951810264</v>
      </c>
      <c r="J16" s="218">
        <f t="shared" si="15"/>
        <v>1681.137234225792</v>
      </c>
      <c r="K16" s="218"/>
      <c r="M16" s="217" t="str">
        <f t="shared" si="1"/>
        <v>Итого</v>
      </c>
      <c r="N16" s="218"/>
      <c r="O16" s="218">
        <f aca="true" t="shared" si="16" ref="O16:V16">SUM(O5:O15)</f>
        <v>13485.522857142858</v>
      </c>
      <c r="P16" s="218">
        <f t="shared" si="16"/>
        <v>13716.790714285715</v>
      </c>
      <c r="Q16" s="218">
        <f t="shared" si="16"/>
        <v>16106.638285714285</v>
      </c>
      <c r="R16" s="218">
        <f t="shared" si="16"/>
        <v>17397.217521428567</v>
      </c>
      <c r="S16" s="218">
        <f t="shared" si="16"/>
        <v>18041.381968928574</v>
      </c>
      <c r="T16" s="218">
        <f t="shared" si="16"/>
        <v>18717.754638803566</v>
      </c>
      <c r="U16" s="218">
        <f t="shared" si="16"/>
        <v>19427.945942172315</v>
      </c>
      <c r="V16" s="218">
        <f t="shared" si="16"/>
        <v>20173.646810709506</v>
      </c>
      <c r="X16" s="248"/>
    </row>
    <row r="18" spans="1:22" ht="12.75">
      <c r="A18" s="62" t="s">
        <v>80</v>
      </c>
      <c r="C18" s="201">
        <f aca="true" t="shared" si="17" ref="C18:J18">SUM(C19:C19)</f>
        <v>5.01144</v>
      </c>
      <c r="D18" s="201">
        <f t="shared" si="17"/>
        <v>5.01144</v>
      </c>
      <c r="E18" s="201">
        <f t="shared" si="17"/>
        <v>5.2620119999999995</v>
      </c>
      <c r="F18" s="201">
        <f t="shared" si="17"/>
        <v>5.5251126</v>
      </c>
      <c r="G18" s="201">
        <f t="shared" si="17"/>
        <v>5.80136823</v>
      </c>
      <c r="H18" s="201">
        <f t="shared" si="17"/>
        <v>6.0914366415</v>
      </c>
      <c r="I18" s="201">
        <f t="shared" si="17"/>
        <v>6.396008473574999</v>
      </c>
      <c r="J18" s="201">
        <f t="shared" si="17"/>
        <v>6.715808897253749</v>
      </c>
      <c r="M18" s="62" t="str">
        <f>A18</f>
        <v>Страхование</v>
      </c>
      <c r="O18" s="201">
        <f aca="true" t="shared" si="18" ref="O18:V18">SUM(O19:O19)</f>
        <v>60.137280000000004</v>
      </c>
      <c r="P18" s="201">
        <f t="shared" si="18"/>
        <v>60.137280000000004</v>
      </c>
      <c r="Q18" s="201">
        <f t="shared" si="18"/>
        <v>63.144144</v>
      </c>
      <c r="R18" s="201">
        <f t="shared" si="18"/>
        <v>66.3013512</v>
      </c>
      <c r="S18" s="201">
        <f t="shared" si="18"/>
        <v>69.61641875999999</v>
      </c>
      <c r="T18" s="201">
        <f t="shared" si="18"/>
        <v>73.097239698</v>
      </c>
      <c r="U18" s="201">
        <f t="shared" si="18"/>
        <v>76.75210168289999</v>
      </c>
      <c r="V18" s="201">
        <f t="shared" si="18"/>
        <v>80.58970676704499</v>
      </c>
    </row>
    <row r="19" spans="1:22" ht="25.5">
      <c r="A19" s="167" t="s">
        <v>81</v>
      </c>
      <c r="B19" s="170">
        <v>0.006</v>
      </c>
      <c r="C19" s="154">
        <f aca="true" t="shared" si="19" ref="C19:J19">C5*$B$19</f>
        <v>5.01144</v>
      </c>
      <c r="D19" s="154">
        <f t="shared" si="19"/>
        <v>5.01144</v>
      </c>
      <c r="E19" s="154">
        <f t="shared" si="19"/>
        <v>5.2620119999999995</v>
      </c>
      <c r="F19" s="154">
        <f t="shared" si="19"/>
        <v>5.5251126</v>
      </c>
      <c r="G19" s="154">
        <f t="shared" si="19"/>
        <v>5.80136823</v>
      </c>
      <c r="H19" s="154">
        <f t="shared" si="19"/>
        <v>6.0914366415</v>
      </c>
      <c r="I19" s="154">
        <f t="shared" si="19"/>
        <v>6.396008473574999</v>
      </c>
      <c r="J19" s="154">
        <f t="shared" si="19"/>
        <v>6.715808897253749</v>
      </c>
      <c r="M19" s="167" t="s">
        <v>81</v>
      </c>
      <c r="N19" s="170">
        <f>B19</f>
        <v>0.006</v>
      </c>
      <c r="O19" s="154">
        <f aca="true" t="shared" si="20" ref="O19:V19">C19*12</f>
        <v>60.137280000000004</v>
      </c>
      <c r="P19" s="154">
        <f t="shared" si="20"/>
        <v>60.137280000000004</v>
      </c>
      <c r="Q19" s="154">
        <f t="shared" si="20"/>
        <v>63.144144</v>
      </c>
      <c r="R19" s="154">
        <f t="shared" si="20"/>
        <v>66.3013512</v>
      </c>
      <c r="S19" s="154">
        <f t="shared" si="20"/>
        <v>69.61641875999999</v>
      </c>
      <c r="T19" s="154">
        <f t="shared" si="20"/>
        <v>73.097239698</v>
      </c>
      <c r="U19" s="154">
        <f t="shared" si="20"/>
        <v>76.75210168289999</v>
      </c>
      <c r="V19" s="154">
        <f t="shared" si="20"/>
        <v>80.58970676704499</v>
      </c>
    </row>
    <row r="21" spans="1:22" ht="12.75">
      <c r="A21" s="62" t="s">
        <v>82</v>
      </c>
      <c r="C21" s="201">
        <f>SUM(C22:C23)</f>
        <v>1.3333333333333333</v>
      </c>
      <c r="D21" s="201">
        <f aca="true" t="shared" si="21" ref="D21:I21">SUM(D22:D23)</f>
        <v>1.4</v>
      </c>
      <c r="E21" s="201">
        <f t="shared" si="21"/>
        <v>1.47</v>
      </c>
      <c r="F21" s="201">
        <f t="shared" si="21"/>
        <v>1.5434999999999999</v>
      </c>
      <c r="G21" s="201">
        <f t="shared" si="21"/>
        <v>1.6206749999999999</v>
      </c>
      <c r="H21" s="201">
        <f t="shared" si="21"/>
        <v>1.7017087499999999</v>
      </c>
      <c r="I21" s="201">
        <f t="shared" si="21"/>
        <v>1.7867941875</v>
      </c>
      <c r="J21" s="201">
        <f>SUM(J22:J23)</f>
        <v>1.8761338968749999</v>
      </c>
      <c r="M21" s="62" t="str">
        <f>A21</f>
        <v>Налоги (кроме налогов на ФЗП)</v>
      </c>
      <c r="O21" s="201">
        <f>SUM(O22:O23)</f>
        <v>16</v>
      </c>
      <c r="P21" s="201">
        <f aca="true" t="shared" si="22" ref="P21:U21">SUM(P22:P23)</f>
        <v>16.799999999999997</v>
      </c>
      <c r="Q21" s="201">
        <f t="shared" si="22"/>
        <v>17.64</v>
      </c>
      <c r="R21" s="201">
        <f t="shared" si="22"/>
        <v>18.522</v>
      </c>
      <c r="S21" s="201">
        <f t="shared" si="22"/>
        <v>19.448099999999997</v>
      </c>
      <c r="T21" s="201">
        <f t="shared" si="22"/>
        <v>20.420505</v>
      </c>
      <c r="U21" s="201">
        <f t="shared" si="22"/>
        <v>21.44153025</v>
      </c>
      <c r="V21" s="201">
        <f>SUM(V22:V23)</f>
        <v>22.513606762499997</v>
      </c>
    </row>
    <row r="22" spans="1:22" ht="12.75">
      <c r="A22" s="81" t="s">
        <v>2</v>
      </c>
      <c r="B22" s="172">
        <f>Исх!C17</f>
        <v>0.015</v>
      </c>
      <c r="C22" s="154">
        <f>(C35+C38)/2*$B$22/12</f>
        <v>0</v>
      </c>
      <c r="D22" s="154">
        <f aca="true" t="shared" si="23" ref="D22:I22">(D35+D38)/2*$B$22/12</f>
        <v>0</v>
      </c>
      <c r="E22" s="154">
        <f>(E35+E38)/2*$B$22/12</f>
        <v>0</v>
      </c>
      <c r="F22" s="154">
        <f t="shared" si="23"/>
        <v>0</v>
      </c>
      <c r="G22" s="154">
        <f t="shared" si="23"/>
        <v>0</v>
      </c>
      <c r="H22" s="154">
        <f t="shared" si="23"/>
        <v>0</v>
      </c>
      <c r="I22" s="154">
        <f t="shared" si="23"/>
        <v>0</v>
      </c>
      <c r="J22" s="154">
        <f>(J35+J38)/2*$B$22/12</f>
        <v>0</v>
      </c>
      <c r="M22" s="81" t="s">
        <v>2</v>
      </c>
      <c r="N22" s="172">
        <f>B22</f>
        <v>0.015</v>
      </c>
      <c r="O22" s="154">
        <f aca="true" t="shared" si="24" ref="O22:V23">C22*12</f>
        <v>0</v>
      </c>
      <c r="P22" s="154">
        <f t="shared" si="24"/>
        <v>0</v>
      </c>
      <c r="Q22" s="154">
        <f t="shared" si="24"/>
        <v>0</v>
      </c>
      <c r="R22" s="154">
        <f t="shared" si="24"/>
        <v>0</v>
      </c>
      <c r="S22" s="154">
        <f t="shared" si="24"/>
        <v>0</v>
      </c>
      <c r="T22" s="154">
        <f t="shared" si="24"/>
        <v>0</v>
      </c>
      <c r="U22" s="154">
        <f t="shared" si="24"/>
        <v>0</v>
      </c>
      <c r="V22" s="154">
        <f t="shared" si="24"/>
        <v>0</v>
      </c>
    </row>
    <row r="23" spans="1:22" ht="12.75">
      <c r="A23" s="81" t="s">
        <v>101</v>
      </c>
      <c r="B23" s="81"/>
      <c r="C23" s="145">
        <f>16/12</f>
        <v>1.3333333333333333</v>
      </c>
      <c r="D23" s="154">
        <f aca="true" t="shared" si="25" ref="D23:J23">C23+C23*$E$2</f>
        <v>1.4</v>
      </c>
      <c r="E23" s="154">
        <f t="shared" si="25"/>
        <v>1.47</v>
      </c>
      <c r="F23" s="154">
        <f t="shared" si="25"/>
        <v>1.5434999999999999</v>
      </c>
      <c r="G23" s="154">
        <f t="shared" si="25"/>
        <v>1.6206749999999999</v>
      </c>
      <c r="H23" s="154">
        <f t="shared" si="25"/>
        <v>1.7017087499999999</v>
      </c>
      <c r="I23" s="154">
        <f t="shared" si="25"/>
        <v>1.7867941875</v>
      </c>
      <c r="J23" s="154">
        <f t="shared" si="25"/>
        <v>1.8761338968749999</v>
      </c>
      <c r="M23" s="81" t="s">
        <v>101</v>
      </c>
      <c r="N23" s="81"/>
      <c r="O23" s="154">
        <f t="shared" si="24"/>
        <v>16</v>
      </c>
      <c r="P23" s="154">
        <f t="shared" si="24"/>
        <v>16.799999999999997</v>
      </c>
      <c r="Q23" s="154">
        <f t="shared" si="24"/>
        <v>17.64</v>
      </c>
      <c r="R23" s="154">
        <f t="shared" si="24"/>
        <v>18.522</v>
      </c>
      <c r="S23" s="154">
        <f t="shared" si="24"/>
        <v>19.448099999999997</v>
      </c>
      <c r="T23" s="154">
        <f t="shared" si="24"/>
        <v>20.420505</v>
      </c>
      <c r="U23" s="154">
        <f t="shared" si="24"/>
        <v>21.44153025</v>
      </c>
      <c r="V23" s="154">
        <f t="shared" si="24"/>
        <v>22.513606762499997</v>
      </c>
    </row>
    <row r="25" ht="12.75">
      <c r="C25" s="173"/>
    </row>
    <row r="26" spans="1:10" ht="12.75">
      <c r="A26" s="309" t="s">
        <v>83</v>
      </c>
      <c r="B26" s="309"/>
      <c r="C26" s="309"/>
      <c r="D26" s="309"/>
      <c r="E26" s="309"/>
      <c r="F26" s="309"/>
      <c r="G26" s="161"/>
      <c r="H26" s="161"/>
      <c r="I26" s="161"/>
      <c r="J26" s="161"/>
    </row>
    <row r="27" spans="1:10" ht="12.75">
      <c r="A27" s="141" t="s">
        <v>89</v>
      </c>
      <c r="B27" s="81"/>
      <c r="C27" s="142">
        <v>2013</v>
      </c>
      <c r="D27" s="142">
        <f aca="true" t="shared" si="26" ref="D27:J27">D4</f>
        <v>2014</v>
      </c>
      <c r="E27" s="142">
        <f t="shared" si="26"/>
        <v>2015</v>
      </c>
      <c r="F27" s="142">
        <f t="shared" si="26"/>
        <v>2016</v>
      </c>
      <c r="G27" s="142">
        <f t="shared" si="26"/>
        <v>2017</v>
      </c>
      <c r="H27" s="142">
        <f t="shared" si="26"/>
        <v>2018</v>
      </c>
      <c r="I27" s="142">
        <f t="shared" si="26"/>
        <v>2019</v>
      </c>
      <c r="J27" s="142">
        <f t="shared" si="26"/>
        <v>2020</v>
      </c>
    </row>
    <row r="28" spans="1:10" ht="12.75">
      <c r="A28" s="81" t="s">
        <v>84</v>
      </c>
      <c r="B28" s="174"/>
      <c r="C28" s="81"/>
      <c r="D28" s="81"/>
      <c r="E28" s="81"/>
      <c r="F28" s="81"/>
      <c r="G28" s="81"/>
      <c r="H28" s="81"/>
      <c r="I28" s="81"/>
      <c r="J28" s="81"/>
    </row>
    <row r="29" spans="1:10" ht="12.75">
      <c r="A29" s="81" t="s">
        <v>85</v>
      </c>
      <c r="B29" s="175"/>
      <c r="C29" s="154">
        <f>C35+C41+C47</f>
        <v>0</v>
      </c>
      <c r="D29" s="154">
        <f aca="true" t="shared" si="27" ref="D29:I29">D35+D41+D47</f>
        <v>6811.476385714286</v>
      </c>
      <c r="E29" s="154">
        <f t="shared" si="27"/>
        <v>6094.347857142857</v>
      </c>
      <c r="F29" s="154">
        <f t="shared" si="27"/>
        <v>5467.171553571428</v>
      </c>
      <c r="G29" s="154">
        <f t="shared" si="27"/>
        <v>4839.99525</v>
      </c>
      <c r="H29" s="154">
        <f t="shared" si="27"/>
        <v>4212.8189464285715</v>
      </c>
      <c r="I29" s="154">
        <f t="shared" si="27"/>
        <v>3585.642642857143</v>
      </c>
      <c r="J29" s="154">
        <f>J35+J41+J47</f>
        <v>2958.4663392857146</v>
      </c>
    </row>
    <row r="30" spans="1:10" ht="12.75">
      <c r="A30" s="81" t="s">
        <v>86</v>
      </c>
      <c r="B30" s="175"/>
      <c r="C30" s="154">
        <f>C36+C42+C48</f>
        <v>6271.763035714285</v>
      </c>
      <c r="D30" s="154">
        <f aca="true" t="shared" si="28" ref="D30:I30">D36+D42+D48</f>
        <v>0</v>
      </c>
      <c r="E30" s="154">
        <f t="shared" si="28"/>
        <v>0</v>
      </c>
      <c r="F30" s="154">
        <f t="shared" si="28"/>
        <v>0</v>
      </c>
      <c r="G30" s="154">
        <f t="shared" si="28"/>
        <v>0</v>
      </c>
      <c r="H30" s="154">
        <f t="shared" si="28"/>
        <v>0</v>
      </c>
      <c r="I30" s="154">
        <f t="shared" si="28"/>
        <v>0</v>
      </c>
      <c r="J30" s="154">
        <f>J36+J42+J48</f>
        <v>0</v>
      </c>
    </row>
    <row r="31" spans="1:10" ht="12.75">
      <c r="A31" s="156" t="s">
        <v>87</v>
      </c>
      <c r="B31" s="156"/>
      <c r="C31" s="155">
        <f>C37+C43+C49</f>
        <v>0</v>
      </c>
      <c r="D31" s="155">
        <f aca="true" t="shared" si="29" ref="D31:I31">D37+D43+D49</f>
        <v>627.1763035714285</v>
      </c>
      <c r="E31" s="155">
        <f>E37+E43+E49</f>
        <v>627.1763035714285</v>
      </c>
      <c r="F31" s="155">
        <f t="shared" si="29"/>
        <v>627.1763035714285</v>
      </c>
      <c r="G31" s="155">
        <f t="shared" si="29"/>
        <v>627.1763035714285</v>
      </c>
      <c r="H31" s="155">
        <f t="shared" si="29"/>
        <v>627.1763035714285</v>
      </c>
      <c r="I31" s="155">
        <f t="shared" si="29"/>
        <v>627.1763035714285</v>
      </c>
      <c r="J31" s="155">
        <f>J37+J43+J49</f>
        <v>627.1763035714285</v>
      </c>
    </row>
    <row r="32" spans="1:10" ht="12.75">
      <c r="A32" s="81" t="s">
        <v>88</v>
      </c>
      <c r="B32" s="175"/>
      <c r="C32" s="154">
        <f aca="true" t="shared" si="30" ref="C32:I32">C29+C30-C31</f>
        <v>6271.763035714285</v>
      </c>
      <c r="D32" s="154">
        <f t="shared" si="30"/>
        <v>6184.300082142858</v>
      </c>
      <c r="E32" s="154">
        <f t="shared" si="30"/>
        <v>5467.171553571428</v>
      </c>
      <c r="F32" s="154">
        <f t="shared" si="30"/>
        <v>4839.99525</v>
      </c>
      <c r="G32" s="154">
        <f t="shared" si="30"/>
        <v>4212.8189464285715</v>
      </c>
      <c r="H32" s="154">
        <f t="shared" si="30"/>
        <v>3585.642642857143</v>
      </c>
      <c r="I32" s="154">
        <f t="shared" si="30"/>
        <v>2958.4663392857146</v>
      </c>
      <c r="J32" s="154">
        <f>J29+J30-J31</f>
        <v>2331.290035714286</v>
      </c>
    </row>
    <row r="33" spans="1:10" ht="12.75" hidden="1" outlineLevel="1">
      <c r="A33" s="79" t="s">
        <v>109</v>
      </c>
      <c r="C33" s="142"/>
      <c r="D33" s="142"/>
      <c r="E33" s="142"/>
      <c r="F33" s="142"/>
      <c r="G33" s="142"/>
      <c r="H33" s="142"/>
      <c r="I33" s="142"/>
      <c r="J33" s="142"/>
    </row>
    <row r="34" spans="1:10" ht="12.75" hidden="1" outlineLevel="1">
      <c r="A34" s="81" t="s">
        <v>84</v>
      </c>
      <c r="B34" s="176">
        <f>1/15</f>
        <v>0.06666666666666667</v>
      </c>
      <c r="C34" s="81"/>
      <c r="D34" s="81"/>
      <c r="E34" s="81"/>
      <c r="F34" s="81"/>
      <c r="G34" s="81"/>
      <c r="H34" s="81"/>
      <c r="I34" s="81"/>
      <c r="J34" s="81"/>
    </row>
    <row r="35" spans="1:10" ht="12.75" hidden="1" outlineLevel="1">
      <c r="A35" s="81" t="s">
        <v>85</v>
      </c>
      <c r="B35" s="175"/>
      <c r="C35" s="146"/>
      <c r="D35" s="154">
        <f aca="true" t="shared" si="31" ref="D35:J35">C38</f>
        <v>0</v>
      </c>
      <c r="E35" s="154">
        <f t="shared" si="31"/>
        <v>0</v>
      </c>
      <c r="F35" s="154">
        <f t="shared" si="31"/>
        <v>0</v>
      </c>
      <c r="G35" s="154">
        <f t="shared" si="31"/>
        <v>0</v>
      </c>
      <c r="H35" s="154">
        <f t="shared" si="31"/>
        <v>0</v>
      </c>
      <c r="I35" s="154">
        <f t="shared" si="31"/>
        <v>0</v>
      </c>
      <c r="J35" s="154">
        <f t="shared" si="31"/>
        <v>0</v>
      </c>
    </row>
    <row r="36" spans="1:10" ht="12.75" hidden="1" outlineLevel="1">
      <c r="A36" s="81" t="s">
        <v>86</v>
      </c>
      <c r="B36" s="175"/>
      <c r="C36" s="154">
        <f>Инв!Q5/Исх!$C$19</f>
        <v>0</v>
      </c>
      <c r="D36" s="154"/>
      <c r="E36" s="154"/>
      <c r="F36" s="154"/>
      <c r="G36" s="154"/>
      <c r="H36" s="154"/>
      <c r="I36" s="154"/>
      <c r="J36" s="154"/>
    </row>
    <row r="37" spans="1:10" ht="12.75" hidden="1" outlineLevel="1">
      <c r="A37" s="156" t="s">
        <v>87</v>
      </c>
      <c r="B37" s="156"/>
      <c r="C37" s="155">
        <f>$C36*$B34/12*0</f>
        <v>0</v>
      </c>
      <c r="D37" s="155">
        <f>$C36*$B34</f>
        <v>0</v>
      </c>
      <c r="E37" s="155">
        <f aca="true" t="shared" si="32" ref="E37:J37">$C36*$B34</f>
        <v>0</v>
      </c>
      <c r="F37" s="155">
        <f t="shared" si="32"/>
        <v>0</v>
      </c>
      <c r="G37" s="155">
        <f t="shared" si="32"/>
        <v>0</v>
      </c>
      <c r="H37" s="155">
        <f t="shared" si="32"/>
        <v>0</v>
      </c>
      <c r="I37" s="155">
        <f t="shared" si="32"/>
        <v>0</v>
      </c>
      <c r="J37" s="155">
        <f t="shared" si="32"/>
        <v>0</v>
      </c>
    </row>
    <row r="38" spans="1:10" ht="12.75" hidden="1" outlineLevel="1">
      <c r="A38" s="81" t="s">
        <v>88</v>
      </c>
      <c r="B38" s="175"/>
      <c r="C38" s="154">
        <f aca="true" t="shared" si="33" ref="C38:I38">C35+C36-C37</f>
        <v>0</v>
      </c>
      <c r="D38" s="154">
        <f t="shared" si="33"/>
        <v>0</v>
      </c>
      <c r="E38" s="154">
        <f t="shared" si="33"/>
        <v>0</v>
      </c>
      <c r="F38" s="154">
        <f t="shared" si="33"/>
        <v>0</v>
      </c>
      <c r="G38" s="154">
        <f t="shared" si="33"/>
        <v>0</v>
      </c>
      <c r="H38" s="154">
        <f t="shared" si="33"/>
        <v>0</v>
      </c>
      <c r="I38" s="154">
        <f t="shared" si="33"/>
        <v>0</v>
      </c>
      <c r="J38" s="154">
        <f>J35+J36-J37</f>
        <v>0</v>
      </c>
    </row>
    <row r="39" spans="1:10" ht="12.75" hidden="1" outlineLevel="1">
      <c r="A39" s="79" t="s">
        <v>105</v>
      </c>
      <c r="C39" s="142"/>
      <c r="D39" s="142"/>
      <c r="E39" s="142"/>
      <c r="F39" s="142"/>
      <c r="G39" s="142"/>
      <c r="H39" s="142"/>
      <c r="I39" s="142"/>
      <c r="J39" s="142"/>
    </row>
    <row r="40" spans="1:10" ht="12.75" hidden="1" outlineLevel="1">
      <c r="A40" s="81" t="s">
        <v>84</v>
      </c>
      <c r="B40" s="176">
        <f>1/10</f>
        <v>0.1</v>
      </c>
      <c r="C40" s="81"/>
      <c r="D40" s="81"/>
      <c r="E40" s="81"/>
      <c r="F40" s="81"/>
      <c r="G40" s="81"/>
      <c r="H40" s="81"/>
      <c r="I40" s="81"/>
      <c r="J40" s="81"/>
    </row>
    <row r="41" spans="1:10" ht="12.75" hidden="1" outlineLevel="1">
      <c r="A41" s="81" t="s">
        <v>85</v>
      </c>
      <c r="B41" s="175"/>
      <c r="C41" s="154"/>
      <c r="D41" s="154">
        <f>Инв!B20</f>
        <v>5037.324600000001</v>
      </c>
      <c r="E41" s="154">
        <f>Инв!C20</f>
        <v>4497.61125</v>
      </c>
      <c r="F41" s="154">
        <f>E44</f>
        <v>4047.850125</v>
      </c>
      <c r="G41" s="154">
        <f>F44</f>
        <v>3598.089</v>
      </c>
      <c r="H41" s="154">
        <f>G44</f>
        <v>3148.327875</v>
      </c>
      <c r="I41" s="154">
        <f>H44</f>
        <v>2698.56675</v>
      </c>
      <c r="J41" s="154">
        <f>I44</f>
        <v>2248.805625</v>
      </c>
    </row>
    <row r="42" spans="1:10" ht="12.75" hidden="1" outlineLevel="1">
      <c r="A42" s="81" t="s">
        <v>86</v>
      </c>
      <c r="B42" s="175"/>
      <c r="C42" s="154">
        <f>Инв!Q8/Исх!$C$19</f>
        <v>4497.61125</v>
      </c>
      <c r="D42" s="154"/>
      <c r="E42" s="154"/>
      <c r="F42" s="154"/>
      <c r="G42" s="154"/>
      <c r="H42" s="154"/>
      <c r="I42" s="154"/>
      <c r="J42" s="154"/>
    </row>
    <row r="43" spans="1:10" ht="12.75" hidden="1" outlineLevel="1">
      <c r="A43" s="156" t="s">
        <v>87</v>
      </c>
      <c r="B43" s="156"/>
      <c r="C43" s="155">
        <f>$C42*$B40/12*0</f>
        <v>0</v>
      </c>
      <c r="D43" s="155">
        <f aca="true" t="shared" si="34" ref="D43:J43">$C42*$B40</f>
        <v>449.761125</v>
      </c>
      <c r="E43" s="155">
        <f t="shared" si="34"/>
        <v>449.761125</v>
      </c>
      <c r="F43" s="155">
        <f t="shared" si="34"/>
        <v>449.761125</v>
      </c>
      <c r="G43" s="155">
        <f t="shared" si="34"/>
        <v>449.761125</v>
      </c>
      <c r="H43" s="155">
        <f t="shared" si="34"/>
        <v>449.761125</v>
      </c>
      <c r="I43" s="155">
        <f t="shared" si="34"/>
        <v>449.761125</v>
      </c>
      <c r="J43" s="155">
        <f t="shared" si="34"/>
        <v>449.761125</v>
      </c>
    </row>
    <row r="44" spans="1:10" ht="12.75" hidden="1" outlineLevel="1">
      <c r="A44" s="81" t="s">
        <v>88</v>
      </c>
      <c r="B44" s="175"/>
      <c r="C44" s="154">
        <f aca="true" t="shared" si="35" ref="C44:I44">C41+C42-C43</f>
        <v>4497.61125</v>
      </c>
      <c r="D44" s="154">
        <f t="shared" si="35"/>
        <v>4587.563475000001</v>
      </c>
      <c r="E44" s="154">
        <f t="shared" si="35"/>
        <v>4047.850125</v>
      </c>
      <c r="F44" s="154">
        <f t="shared" si="35"/>
        <v>3598.089</v>
      </c>
      <c r="G44" s="154">
        <f t="shared" si="35"/>
        <v>3148.327875</v>
      </c>
      <c r="H44" s="154">
        <f t="shared" si="35"/>
        <v>2698.56675</v>
      </c>
      <c r="I44" s="154">
        <f t="shared" si="35"/>
        <v>2248.805625</v>
      </c>
      <c r="J44" s="154">
        <f>J41+J42-J43</f>
        <v>1799.0445</v>
      </c>
    </row>
    <row r="45" spans="1:10" ht="12.75" hidden="1" outlineLevel="1">
      <c r="A45" s="79" t="s">
        <v>190</v>
      </c>
      <c r="C45" s="142"/>
      <c r="D45" s="142"/>
      <c r="E45" s="142"/>
      <c r="F45" s="142"/>
      <c r="G45" s="142"/>
      <c r="H45" s="142"/>
      <c r="I45" s="142"/>
      <c r="J45" s="142"/>
    </row>
    <row r="46" spans="1:10" ht="12.75" hidden="1" outlineLevel="1">
      <c r="A46" s="81" t="s">
        <v>84</v>
      </c>
      <c r="B46" s="176">
        <f>1/10</f>
        <v>0.1</v>
      </c>
      <c r="C46" s="81"/>
      <c r="D46" s="81"/>
      <c r="E46" s="81"/>
      <c r="F46" s="81"/>
      <c r="G46" s="81"/>
      <c r="H46" s="81"/>
      <c r="I46" s="81"/>
      <c r="J46" s="81"/>
    </row>
    <row r="47" spans="1:10" ht="12.75" hidden="1" outlineLevel="1">
      <c r="A47" s="81" t="s">
        <v>85</v>
      </c>
      <c r="B47" s="175"/>
      <c r="C47" s="154"/>
      <c r="D47" s="154">
        <f aca="true" t="shared" si="36" ref="D47:J47">C50</f>
        <v>1774.1517857142856</v>
      </c>
      <c r="E47" s="154">
        <f t="shared" si="36"/>
        <v>1596.7366071428569</v>
      </c>
      <c r="F47" s="154">
        <f t="shared" si="36"/>
        <v>1419.3214285714284</v>
      </c>
      <c r="G47" s="154">
        <f t="shared" si="36"/>
        <v>1241.90625</v>
      </c>
      <c r="H47" s="154">
        <f t="shared" si="36"/>
        <v>1064.4910714285716</v>
      </c>
      <c r="I47" s="154">
        <f t="shared" si="36"/>
        <v>887.075892857143</v>
      </c>
      <c r="J47" s="154">
        <f t="shared" si="36"/>
        <v>709.6607142857144</v>
      </c>
    </row>
    <row r="48" spans="1:10" ht="12.75" hidden="1" outlineLevel="1">
      <c r="A48" s="81" t="s">
        <v>86</v>
      </c>
      <c r="B48" s="175"/>
      <c r="C48" s="154">
        <f>Инв!Q13/Исх!$C$19</f>
        <v>1774.1517857142856</v>
      </c>
      <c r="D48" s="154"/>
      <c r="E48" s="154"/>
      <c r="F48" s="154"/>
      <c r="G48" s="154"/>
      <c r="H48" s="154"/>
      <c r="I48" s="154"/>
      <c r="J48" s="154"/>
    </row>
    <row r="49" spans="1:10" ht="12.75" hidden="1" outlineLevel="1">
      <c r="A49" s="156" t="s">
        <v>87</v>
      </c>
      <c r="B49" s="156"/>
      <c r="C49" s="155">
        <f>$C48*$B46/12*0</f>
        <v>0</v>
      </c>
      <c r="D49" s="155">
        <f aca="true" t="shared" si="37" ref="D49:J49">$C48*$B46</f>
        <v>177.41517857142856</v>
      </c>
      <c r="E49" s="155">
        <f t="shared" si="37"/>
        <v>177.41517857142856</v>
      </c>
      <c r="F49" s="155">
        <f t="shared" si="37"/>
        <v>177.41517857142856</v>
      </c>
      <c r="G49" s="155">
        <f t="shared" si="37"/>
        <v>177.41517857142856</v>
      </c>
      <c r="H49" s="155">
        <f t="shared" si="37"/>
        <v>177.41517857142856</v>
      </c>
      <c r="I49" s="155">
        <f t="shared" si="37"/>
        <v>177.41517857142856</v>
      </c>
      <c r="J49" s="155">
        <f t="shared" si="37"/>
        <v>177.41517857142856</v>
      </c>
    </row>
    <row r="50" spans="1:10" ht="12.75" hidden="1" outlineLevel="1">
      <c r="A50" s="81" t="s">
        <v>88</v>
      </c>
      <c r="B50" s="175"/>
      <c r="C50" s="154">
        <f aca="true" t="shared" si="38" ref="C50:I50">C47+C48-C49</f>
        <v>1774.1517857142856</v>
      </c>
      <c r="D50" s="154">
        <f t="shared" si="38"/>
        <v>1596.7366071428569</v>
      </c>
      <c r="E50" s="154">
        <f t="shared" si="38"/>
        <v>1419.3214285714284</v>
      </c>
      <c r="F50" s="154">
        <f t="shared" si="38"/>
        <v>1241.90625</v>
      </c>
      <c r="G50" s="154">
        <f t="shared" si="38"/>
        <v>1064.4910714285716</v>
      </c>
      <c r="H50" s="154">
        <f t="shared" si="38"/>
        <v>887.075892857143</v>
      </c>
      <c r="I50" s="154">
        <f t="shared" si="38"/>
        <v>709.6607142857144</v>
      </c>
      <c r="J50" s="154">
        <f>J47+J48-J49</f>
        <v>532.2455357142859</v>
      </c>
    </row>
    <row r="51" ht="12.75" collapsed="1"/>
  </sheetData>
  <sheetProtection/>
  <printOptions/>
  <pageMargins left="0.44" right="0.4" top="0.51" bottom="0.3" header="0.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subject/>
  <dc:creator>m_anfinogenov</dc:creator>
  <cp:keywords/>
  <dc:description/>
  <cp:lastModifiedBy>МСБ консалтинг</cp:lastModifiedBy>
  <cp:lastPrinted>2013-09-15T09:14:41Z</cp:lastPrinted>
  <dcterms:created xsi:type="dcterms:W3CDTF">2006-03-01T15:11:19Z</dcterms:created>
  <dcterms:modified xsi:type="dcterms:W3CDTF">2013-09-24T08:01:33Z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