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'1-Ф3'!$A$1:$AU$35</definedName>
    <definedName name="_xlnm.Print_Area" localSheetId="1">'2-ф2'!$A$1:$AU$28</definedName>
    <definedName name="_xlnm.Print_Area" localSheetId="2">'3-Баланс'!$A$1:$AU$26</definedName>
    <definedName name="_xlnm.Print_Area" localSheetId="10">'Инв'!$A$1:$R$20</definedName>
    <definedName name="_xlnm.Print_Area" localSheetId="3">'Исх'!$A$1:$M$45</definedName>
    <definedName name="_xlnm.Print_Area" localSheetId="9">'кр'!$A$1:$DO$29</definedName>
    <definedName name="_xlnm.Print_Area" localSheetId="12">'Осн.пок-ли'!$A$1:$J$65</definedName>
    <definedName name="_xlnm.Print_Area" localSheetId="8">'Пост'!$A$1:$V$48</definedName>
    <definedName name="_xlnm.Print_Area" localSheetId="5">'Производство'!$A$1:$AU$13</definedName>
    <definedName name="_xlnm.Print_Area" localSheetId="6">'Расх перем'!$A$1:$G$13</definedName>
    <definedName name="_xlnm.Print_Area" localSheetId="7">'ФОТ'!$A$1:$K$21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2" authorId="0">
      <text>
        <r>
          <rPr>
            <b/>
            <sz val="9"/>
            <rFont val="Tahoma"/>
            <family val="0"/>
          </rPr>
          <t>МСБ консалтинг:</t>
        </r>
        <r>
          <rPr>
            <sz val="9"/>
            <rFont val="Tahoma"/>
            <family val="0"/>
          </rPr>
          <t xml:space="preserve">
запас на 1,5 месяца</t>
        </r>
      </text>
    </comment>
  </commentList>
</comments>
</file>

<file path=xl/sharedStrings.xml><?xml version="1.0" encoding="utf-8"?>
<sst xmlns="http://schemas.openxmlformats.org/spreadsheetml/2006/main" count="563" uniqueCount="350">
  <si>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</si>
  <si>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</si>
  <si>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</si>
  <si>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</si>
  <si>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</si>
  <si>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</si>
  <si>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</si>
  <si>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</si>
  <si>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</si>
  <si>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</si>
  <si>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</si>
  <si>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</si>
  <si>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</si>
  <si>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</si>
  <si>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</si>
  <si>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</si>
  <si>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</si>
  <si>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</si>
  <si>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</si>
  <si>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</si>
  <si>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</si>
  <si>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</si>
  <si>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</si>
  <si>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</si>
  <si>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</si>
  <si>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</si>
  <si>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</si>
  <si>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</si>
  <si>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</si>
  <si>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</si>
  <si>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</si>
  <si>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</si>
  <si>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</si>
  <si>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</si>
  <si>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</si>
  <si>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</si>
  <si>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</si>
  <si>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</si>
  <si>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</si>
  <si>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</si>
  <si>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</si>
  <si>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</si>
  <si>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</si>
  <si>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</si>
  <si>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</si>
  <si>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</si>
  <si>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</si>
  <si>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</si>
  <si>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</si>
  <si>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</si>
  <si>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</si>
  <si>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</si>
  <si>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</si>
  <si>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</si>
  <si>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</si>
  <si>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</si>
  <si>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</si>
  <si>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</si>
  <si>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</si>
  <si>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</si>
  <si>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</si>
  <si>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</si>
  <si>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</si>
  <si>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</si>
  <si>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</si>
  <si>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</si>
  <si>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</si>
  <si>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</si>
  <si>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</si>
  <si>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</si>
  <si>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</si>
  <si>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</si>
  <si>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</si>
  <si>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</si>
  <si>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</si>
  <si>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</si>
  <si>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</si>
  <si>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</si>
  <si>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</si>
  <si>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</si>
  <si>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</si>
  <si>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</si>
  <si>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</si>
  <si>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</si>
  <si>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</si>
  <si>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</si>
  <si>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</si>
  <si>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</si>
  <si>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</si>
  <si>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</si>
  <si>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</si>
  <si>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</si>
  <si>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</si>
  <si>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</si>
  <si>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</si>
  <si>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</si>
  <si>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</si>
  <si>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</si>
  <si>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</si>
  <si>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</si>
  <si>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</si>
  <si>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</si>
  <si>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</si>
  <si>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</si>
  <si>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</si>
  <si>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</si>
  <si>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</si>
  <si>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</si>
  <si>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</si>
  <si>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</si>
  <si>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</si>
  <si>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</si>
  <si>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</si>
  <si>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</si>
  <si>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</si>
  <si>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</si>
  <si>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</si>
  <si>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</si>
  <si>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</si>
  <si>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</si>
  <si>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</si>
  <si>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</si>
  <si>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</si>
  <si>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</si>
  <si>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</si>
  <si>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</si>
  <si>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</si>
  <si>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</si>
  <si>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</si>
  <si>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</si>
  <si>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</si>
  <si>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</si>
  <si>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</si>
  <si>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</si>
  <si>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</si>
  <si>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</si>
  <si>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</si>
  <si>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</si>
  <si>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</si>
  <si>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</si>
  <si>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</si>
  <si>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</si>
  <si>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</si>
  <si>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</si>
  <si>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</si>
  <si>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</si>
  <si>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</si>
  <si>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</si>
  <si>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</si>
  <si>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</si>
  <si>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</si>
  <si>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</si>
  <si>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</si>
  <si>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</si>
  <si>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</si>
  <si>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</si>
  <si>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</si>
  <si>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</si>
  <si>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</si>
  <si>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</si>
  <si>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</si>
  <si>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</si>
  <si>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</si>
  <si>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</si>
  <si>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</si>
  <si>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</si>
  <si>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</si>
  <si>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</si>
  <si>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</si>
  <si>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</si>
  <si>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</si>
  <si>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</si>
  <si>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</si>
  <si>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</si>
  <si>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</si>
  <si>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</si>
  <si>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</si>
  <si>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</si>
  <si>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</si>
  <si>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</si>
  <si>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</si>
  <si>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</si>
  <si>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</si>
  <si>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</si>
  <si>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</si>
  <si>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</si>
  <si>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</si>
  <si>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</si>
  <si>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</si>
  <si>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</si>
  <si>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</si>
  <si>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</si>
  <si>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ед.изм.</t>
  </si>
  <si>
    <t>Срок погашения, лет</t>
  </si>
  <si>
    <t>Налог на имущество и транспорт</t>
  </si>
  <si>
    <t>Переменные расходы</t>
  </si>
  <si>
    <t>Производительность</t>
  </si>
  <si>
    <t>Цены на продукцию</t>
  </si>
  <si>
    <t>Загрузка, %</t>
  </si>
  <si>
    <t>Сырье и материалы</t>
  </si>
  <si>
    <t>Мощность, %</t>
  </si>
  <si>
    <t>дн./мес.</t>
  </si>
  <si>
    <t>Доход до выплаты налогов</t>
  </si>
  <si>
    <t>Наименование материала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</si>
  <si>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</si>
  <si>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</si>
  <si>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</si>
  <si>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</si>
  <si>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</si>
  <si>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Месячная производительность</t>
  </si>
  <si>
    <t>Цены</t>
  </si>
  <si>
    <t>Коммунальные расходы</t>
  </si>
  <si>
    <t>НК РК</t>
  </si>
  <si>
    <t>Ед.изм.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</si>
  <si>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</si>
  <si>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</si>
  <si>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</si>
  <si>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</si>
  <si>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</si>
  <si>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</si>
  <si>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</si>
  <si>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</si>
  <si>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</si>
  <si>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</si>
  <si>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</si>
  <si>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</si>
  <si>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</si>
  <si>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</si>
  <si>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</si>
  <si>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цена, тг.</t>
  </si>
  <si>
    <t>Производство и реализация</t>
  </si>
  <si>
    <t>Реализация</t>
  </si>
  <si>
    <t>Остаток продукции на конец</t>
  </si>
  <si>
    <t>контроль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</si>
  <si>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</si>
  <si>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</si>
  <si>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</si>
  <si>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</si>
  <si>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</si>
  <si>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ГСМ</t>
  </si>
  <si>
    <t>Фактор сезонности продаж</t>
  </si>
  <si>
    <t>Водитель</t>
  </si>
  <si>
    <t>Рентабельность, %</t>
  </si>
  <si>
    <t>Спецодежда, перчатки, хоз.товары</t>
  </si>
  <si>
    <t>Услуги банка</t>
  </si>
  <si>
    <t>Канц.товары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</si>
  <si>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</si>
  <si>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</si>
  <si>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</si>
  <si>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</si>
  <si>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</si>
  <si>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</si>
  <si>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</si>
  <si>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</si>
  <si>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час</t>
  </si>
  <si>
    <t>кг</t>
  </si>
  <si>
    <t>Прибыль, тг./ед.</t>
  </si>
  <si>
    <t>Электроэнергия</t>
  </si>
  <si>
    <t>ДТ за оборудование</t>
  </si>
  <si>
    <t>Ввод ОС (с НДС)</t>
  </si>
  <si>
    <t>СВОД</t>
  </si>
  <si>
    <t>Транш 1</t>
  </si>
  <si>
    <t>Транш 2</t>
  </si>
  <si>
    <t>Транш 3</t>
  </si>
  <si>
    <t>Транш 4</t>
  </si>
  <si>
    <t>Основные параметры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</si>
  <si>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</si>
  <si>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</si>
  <si>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</si>
  <si>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</si>
  <si>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</si>
  <si>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</si>
  <si>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</si>
  <si>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</si>
  <si>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сен</t>
  </si>
  <si>
    <t>окт</t>
  </si>
  <si>
    <t>ноя</t>
  </si>
  <si>
    <t>дек</t>
  </si>
  <si>
    <t>янв</t>
  </si>
  <si>
    <t>фев</t>
  </si>
  <si>
    <t>мар</t>
  </si>
  <si>
    <t>2013 год</t>
  </si>
  <si>
    <t>% повышения</t>
  </si>
  <si>
    <t>ведение счета + снятие наличных</t>
  </si>
  <si>
    <t>буклеты, флаера</t>
  </si>
  <si>
    <t>Доля от год продаж</t>
  </si>
  <si>
    <t>В среднем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</si>
  <si>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</si>
  <si>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</si>
  <si>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</si>
  <si>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</si>
  <si>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</si>
  <si>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</si>
  <si>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Ввод ОС (без НДС)</t>
  </si>
  <si>
    <t>300 дней в году</t>
  </si>
  <si>
    <t>Нормы, нормативы</t>
  </si>
  <si>
    <t>Обслуживающий персонал</t>
  </si>
  <si>
    <t>7% субсидирование</t>
  </si>
  <si>
    <t>Остаток денежных средств на начало</t>
  </si>
  <si>
    <t>Собственные средства</t>
  </si>
  <si>
    <t>Инвестиции в основной капитал</t>
  </si>
  <si>
    <t>Чистый денежный поток (к изъятию), тыс.тг.</t>
  </si>
  <si>
    <t>Индекс окупаемости инвестиций (PI)</t>
  </si>
  <si>
    <t>2014 год</t>
  </si>
  <si>
    <t>Начало производства</t>
  </si>
  <si>
    <t>Начало продаж</t>
  </si>
  <si>
    <t>Распил и дробление декоративного и строительного камня</t>
  </si>
  <si>
    <t>Производственное помещение</t>
  </si>
  <si>
    <t>Станок по обработке песчаника</t>
  </si>
  <si>
    <t>ГАЗ-53 / ЗИЛ (б/у)</t>
  </si>
  <si>
    <t>Вспомогательные инструменты</t>
  </si>
  <si>
    <t>Продолжительность 1 раб.дня</t>
  </si>
  <si>
    <t>Количество станков</t>
  </si>
  <si>
    <t>ед</t>
  </si>
  <si>
    <t>Обрезанный торец песчаника</t>
  </si>
  <si>
    <t>м2/час</t>
  </si>
  <si>
    <t>Курс укр.гривна/тенге</t>
  </si>
  <si>
    <t>тг./м2</t>
  </si>
  <si>
    <t>тг./кВт*ч</t>
  </si>
  <si>
    <t>Песчаник необработанный</t>
  </si>
  <si>
    <t>тг/м2</t>
  </si>
  <si>
    <t>Расход сырья на м2 гот. продукта</t>
  </si>
  <si>
    <t>м2</t>
  </si>
  <si>
    <t>Заработная плата резчика</t>
  </si>
  <si>
    <t>от выручки</t>
  </si>
  <si>
    <t>м2/мес</t>
  </si>
  <si>
    <t>Заработная плата</t>
  </si>
  <si>
    <t>Норма расхода на 1 м2</t>
  </si>
  <si>
    <t>Сумма на 1 м2, тг.</t>
  </si>
  <si>
    <t>Резчик</t>
  </si>
  <si>
    <t>сдельно</t>
  </si>
  <si>
    <t>Индивидуальный предприниматель</t>
  </si>
  <si>
    <t>на ЗИЛ, 8 л./день</t>
  </si>
  <si>
    <t>Производственный персонал</t>
  </si>
  <si>
    <t>Подоходный налог ИП, соц.налог</t>
  </si>
  <si>
    <t>исходя из 5,5 м2/день</t>
  </si>
  <si>
    <t>ИПН</t>
  </si>
  <si>
    <t>Показатель (5 год реализации проекта)</t>
  </si>
  <si>
    <t>Обрезанный торец песчаника, м2</t>
  </si>
  <si>
    <t>Приобретение помещения</t>
  </si>
  <si>
    <t>Приобретение оборудование и техники</t>
  </si>
  <si>
    <t>Подбор и найм персонала</t>
  </si>
  <si>
    <t>Размещение рекламы</t>
  </si>
  <si>
    <t>http://satu.kz/p1441313-dekorativnyj-kamen-peschanik.html</t>
  </si>
  <si>
    <t>http://box-idei.blogspot.com/2010/03/peschanik.html</t>
  </si>
  <si>
    <t>Доход от реализации</t>
  </si>
  <si>
    <t>Полная себестоимость</t>
  </si>
  <si>
    <t>Доход от реализации продукции</t>
  </si>
  <si>
    <t>Себестоимость реализ. продукции</t>
  </si>
  <si>
    <t>Тип погашения основного долга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</si>
</sst>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35" borderId="10" xfId="71" applyNumberFormat="1" applyFont="1" applyFill="1" applyBorder="1" applyAlignment="1">
      <alignment horizontal="right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6" fillId="0" borderId="0" xfId="72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0" fontId="16" fillId="2" borderId="10" xfId="0" applyFont="1" applyFill="1" applyBorder="1" applyAlignment="1">
      <alignment horizontal="center" wrapText="1"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4" fillId="0" borderId="0" xfId="66" applyFont="1" applyFill="1" applyProtection="1">
      <alignment/>
      <protection locked="0"/>
    </xf>
    <xf numFmtId="172" fontId="67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68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7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3" fontId="5" fillId="35" borderId="14" xfId="72" applyNumberFormat="1" applyFont="1" applyFill="1" applyBorder="1" applyAlignment="1">
      <alignment horizontal="center" vertical="center"/>
      <protection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9" fontId="5" fillId="35" borderId="1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16" fillId="2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" fillId="0" borderId="0" xfId="53" applyAlignment="1" applyProtection="1">
      <alignment/>
      <protection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6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6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6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1" xfId="68" applyNumberFormat="1" applyFont="1" applyFill="1" applyBorder="1" applyAlignment="1">
      <alignment horizontal="center" vertical="center"/>
      <protection/>
    </xf>
    <xf numFmtId="3" fontId="16" fillId="2" borderId="16" xfId="68" applyNumberFormat="1" applyFont="1" applyFill="1" applyBorder="1" applyAlignment="1">
      <alignment horizontal="center" vertical="center"/>
      <protection/>
    </xf>
    <xf numFmtId="3" fontId="16" fillId="2" borderId="12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atu.kz/p1441313-dekorativnyj-kamen-peschanik.html" TargetMode="External" /><Relationship Id="rId2" Type="http://schemas.openxmlformats.org/officeDocument/2006/relationships/hyperlink" Target="http://box-idei.blogspot.com/2010/03/peschanik.html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2"/>
  <sheetViews>
    <sheetView showGridLines="0" showZeros="0" zoomScalePageLayoutView="0" workbookViewId="0" topLeftCell="A1">
      <pane xSplit="3" ySplit="6" topLeftCell="P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A35" sqref="BA35"/>
    </sheetView>
  </sheetViews>
  <sheetFormatPr defaultColWidth="8.625" defaultRowHeight="12.75" outlineLevelRow="1" outlineLevelCol="1"/>
  <cols>
    <col min="1" max="1" width="38.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4" width="7.625" style="6" hidden="1" customWidth="1" outlineLevel="1"/>
    <col min="35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48" width="8.75390625" style="8" bestFit="1" customWidth="1"/>
    <col min="49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2" t="s">
        <v>160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MAX(K35:AR35)</f>
        <v>5913.867914341502</v>
      </c>
      <c r="B2" s="10">
        <f>MIN(L35:AU35)</f>
        <v>-5.684341886080801E-13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11" t="s">
        <v>3</v>
      </c>
      <c r="B5" s="313" t="s">
        <v>89</v>
      </c>
      <c r="C5" s="15"/>
      <c r="D5" s="313">
        <v>2013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>
        <v>2014</v>
      </c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4">
        <v>2015</v>
      </c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6"/>
      <c r="AQ5" s="15">
        <f>AD5+1</f>
        <v>2016</v>
      </c>
      <c r="AR5" s="15">
        <f>AQ5+1</f>
        <v>2017</v>
      </c>
      <c r="AS5" s="15">
        <f>AR5+1</f>
        <v>2018</v>
      </c>
      <c r="AT5" s="15">
        <f>AS5+1</f>
        <v>2019</v>
      </c>
      <c r="AU5" s="15">
        <f>AT5+1</f>
        <v>2020</v>
      </c>
    </row>
    <row r="6" spans="1:47" ht="12.75">
      <c r="A6" s="312"/>
      <c r="B6" s="313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110</v>
      </c>
      <c r="AR6" s="15" t="s">
        <v>110</v>
      </c>
      <c r="AS6" s="15" t="s">
        <v>110</v>
      </c>
      <c r="AT6" s="15" t="s">
        <v>110</v>
      </c>
      <c r="AU6" s="15" t="s">
        <v>110</v>
      </c>
    </row>
    <row r="7" spans="1:47" s="21" customFormat="1" ht="12.75">
      <c r="A7" s="17" t="s">
        <v>298</v>
      </c>
      <c r="B7" s="18">
        <f>P7</f>
        <v>0</v>
      </c>
      <c r="C7" s="19"/>
      <c r="D7" s="20">
        <f>C35</f>
        <v>0</v>
      </c>
      <c r="E7" s="20">
        <f aca="true" t="shared" si="3" ref="E7:K7">D35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K35</f>
        <v>0</v>
      </c>
      <c r="M7" s="20">
        <f>L35</f>
        <v>0</v>
      </c>
      <c r="N7" s="20">
        <f>M35</f>
        <v>0</v>
      </c>
      <c r="O7" s="20">
        <f>N35</f>
        <v>1386.9468799999995</v>
      </c>
      <c r="P7" s="20">
        <f>D7</f>
        <v>0</v>
      </c>
      <c r="Q7" s="20">
        <f>P35</f>
        <v>-5.684341886080801E-13</v>
      </c>
      <c r="R7" s="20">
        <f aca="true" t="shared" si="4" ref="R7:AA7">Q35</f>
        <v>-5.684341886080801E-13</v>
      </c>
      <c r="S7" s="20">
        <f t="shared" si="4"/>
        <v>-5.684341886080801E-13</v>
      </c>
      <c r="T7" s="20">
        <f t="shared" si="4"/>
        <v>1315.2777512499995</v>
      </c>
      <c r="U7" s="20">
        <f t="shared" si="4"/>
        <v>1152.177412604166</v>
      </c>
      <c r="V7" s="20">
        <f t="shared" si="4"/>
        <v>961.1145239583326</v>
      </c>
      <c r="W7" s="20">
        <f t="shared" si="4"/>
        <v>1690.2080996182492</v>
      </c>
      <c r="X7" s="20">
        <f t="shared" si="4"/>
        <v>2623.193374280696</v>
      </c>
      <c r="Y7" s="20">
        <f t="shared" si="4"/>
        <v>2946.8883458403147</v>
      </c>
      <c r="Z7" s="20">
        <f t="shared" si="4"/>
        <v>2973.9533792481566</v>
      </c>
      <c r="AA7" s="20">
        <f t="shared" si="4"/>
        <v>2813.752408626269</v>
      </c>
      <c r="AB7" s="20">
        <f>AA35</f>
        <v>2133.3826531115783</v>
      </c>
      <c r="AC7" s="20">
        <f>Q7</f>
        <v>-5.684341886080801E-13</v>
      </c>
      <c r="AD7" s="20">
        <f aca="true" t="shared" si="5" ref="AD7:AO7">AC35</f>
        <v>1348.9724806584131</v>
      </c>
      <c r="AE7" s="20">
        <f t="shared" si="5"/>
        <v>582.5471888361232</v>
      </c>
      <c r="AF7" s="20">
        <f t="shared" si="5"/>
        <v>181.49453518993846</v>
      </c>
      <c r="AG7" s="20">
        <f t="shared" si="5"/>
        <v>24.020787880569472</v>
      </c>
      <c r="AH7" s="20">
        <f t="shared" si="5"/>
        <v>110.12589756254782</v>
      </c>
      <c r="AI7" s="20">
        <f t="shared" si="5"/>
        <v>683.3971801625563</v>
      </c>
      <c r="AJ7" s="20">
        <f t="shared" si="5"/>
        <v>1622.04090297775</v>
      </c>
      <c r="AK7" s="20">
        <f t="shared" si="5"/>
        <v>2804.263333014068</v>
      </c>
      <c r="AL7" s="20">
        <f t="shared" si="5"/>
        <v>3864.683371424532</v>
      </c>
      <c r="AM7" s="20">
        <f t="shared" si="5"/>
        <v>4316.126236287543</v>
      </c>
      <c r="AN7" s="20">
        <f t="shared" si="5"/>
        <v>4280.385559285157</v>
      </c>
      <c r="AO7" s="20">
        <f t="shared" si="5"/>
        <v>3635.667606241359</v>
      </c>
      <c r="AP7" s="20">
        <f>AD7</f>
        <v>1348.9724806584131</v>
      </c>
      <c r="AQ7" s="20">
        <f>AP35</f>
        <v>2869.147056580324</v>
      </c>
      <c r="AR7" s="20">
        <f>AQ35</f>
        <v>4390.809991115844</v>
      </c>
      <c r="AS7" s="20">
        <f>AR35</f>
        <v>5913.867914341502</v>
      </c>
      <c r="AT7" s="20">
        <f>AS35</f>
        <v>7438.220706614506</v>
      </c>
      <c r="AU7" s="20">
        <f>AT35</f>
        <v>8963.761010634986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SUM(B10:B10)</f>
        <v>81703.07578125</v>
      </c>
      <c r="C9" s="27"/>
      <c r="D9" s="27">
        <f aca="true" t="shared" si="6" ref="D9:AU9">SUM(D10:D10)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0</v>
      </c>
      <c r="R9" s="27">
        <f t="shared" si="6"/>
        <v>0</v>
      </c>
      <c r="S9" s="27">
        <f t="shared" si="6"/>
        <v>315.27775125</v>
      </c>
      <c r="T9" s="27">
        <f t="shared" si="6"/>
        <v>420.37033499999995</v>
      </c>
      <c r="U9" s="27">
        <f t="shared" si="6"/>
        <v>630.5555025</v>
      </c>
      <c r="V9" s="27">
        <f t="shared" si="6"/>
        <v>1576.38875625</v>
      </c>
      <c r="W9" s="27">
        <f t="shared" si="6"/>
        <v>1786.5739237500002</v>
      </c>
      <c r="X9" s="27">
        <f t="shared" si="6"/>
        <v>1177.0369379999997</v>
      </c>
      <c r="Y9" s="27">
        <f t="shared" si="6"/>
        <v>924.814737</v>
      </c>
      <c r="Z9" s="27">
        <f t="shared" si="6"/>
        <v>735.6480862499999</v>
      </c>
      <c r="AA9" s="27">
        <f t="shared" si="6"/>
        <v>210.18516749999998</v>
      </c>
      <c r="AB9" s="27">
        <f t="shared" si="6"/>
        <v>105.09258374999999</v>
      </c>
      <c r="AC9" s="27">
        <f t="shared" si="6"/>
        <v>7881.94378125</v>
      </c>
      <c r="AD9" s="27">
        <f t="shared" si="6"/>
        <v>123.03522</v>
      </c>
      <c r="AE9" s="27">
        <f t="shared" si="6"/>
        <v>492.14088</v>
      </c>
      <c r="AF9" s="27">
        <f t="shared" si="6"/>
        <v>738.21132</v>
      </c>
      <c r="AG9" s="27">
        <f t="shared" si="6"/>
        <v>984.28176</v>
      </c>
      <c r="AH9" s="27">
        <f t="shared" si="6"/>
        <v>1476.42264</v>
      </c>
      <c r="AI9" s="27">
        <f t="shared" si="6"/>
        <v>1845.5283</v>
      </c>
      <c r="AJ9" s="27">
        <f t="shared" si="6"/>
        <v>2091.5987400000004</v>
      </c>
      <c r="AK9" s="27">
        <f t="shared" si="6"/>
        <v>1968.56352</v>
      </c>
      <c r="AL9" s="27">
        <f t="shared" si="6"/>
        <v>1353.38742</v>
      </c>
      <c r="AM9" s="27">
        <f t="shared" si="6"/>
        <v>861.2465400000002</v>
      </c>
      <c r="AN9" s="27">
        <f t="shared" si="6"/>
        <v>246.07044</v>
      </c>
      <c r="AO9" s="27">
        <f t="shared" si="6"/>
        <v>123.03522</v>
      </c>
      <c r="AP9" s="27">
        <f t="shared" si="6"/>
        <v>12303.521999999999</v>
      </c>
      <c r="AQ9" s="27">
        <f t="shared" si="6"/>
        <v>12303.522</v>
      </c>
      <c r="AR9" s="27">
        <f t="shared" si="6"/>
        <v>12303.522</v>
      </c>
      <c r="AS9" s="27">
        <f t="shared" si="6"/>
        <v>12303.522</v>
      </c>
      <c r="AT9" s="27">
        <f t="shared" si="6"/>
        <v>12303.522</v>
      </c>
      <c r="AU9" s="27">
        <f t="shared" si="6"/>
        <v>12303.522</v>
      </c>
    </row>
    <row r="10" spans="1:47" ht="12.75">
      <c r="A10" s="28" t="str">
        <f>'2-ф2'!A6</f>
        <v>Обрезанный торец песчаника</v>
      </c>
      <c r="B10" s="27">
        <f>P10+AC10+AP10+AQ10+AR10+AS10+AT10+AU10</f>
        <v>81703.07578125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0</v>
      </c>
      <c r="R10" s="29">
        <f>'2-ф2'!R6*Исх!$C$19</f>
        <v>0</v>
      </c>
      <c r="S10" s="29">
        <f>'2-ф2'!S6*Исх!$C$19</f>
        <v>315.27775125</v>
      </c>
      <c r="T10" s="29">
        <f>'2-ф2'!T6*Исх!$C$19</f>
        <v>420.37033499999995</v>
      </c>
      <c r="U10" s="29">
        <f>'2-ф2'!U6*Исх!$C$19</f>
        <v>630.5555025</v>
      </c>
      <c r="V10" s="29">
        <f>'2-ф2'!V6*Исх!$C$19</f>
        <v>1576.38875625</v>
      </c>
      <c r="W10" s="29">
        <f>'2-ф2'!W6*Исх!$C$19</f>
        <v>1786.5739237500002</v>
      </c>
      <c r="X10" s="29">
        <f>'2-ф2'!X6*Исх!$C$19</f>
        <v>1177.0369379999997</v>
      </c>
      <c r="Y10" s="29">
        <f>'2-ф2'!Y6*Исх!$C$19</f>
        <v>924.814737</v>
      </c>
      <c r="Z10" s="29">
        <f>'2-ф2'!Z6*Исх!$C$19</f>
        <v>735.6480862499999</v>
      </c>
      <c r="AA10" s="29">
        <f>'2-ф2'!AA6*Исх!$C$19</f>
        <v>210.18516749999998</v>
      </c>
      <c r="AB10" s="29">
        <f>'2-ф2'!AB6*Исх!$C$19</f>
        <v>105.09258374999999</v>
      </c>
      <c r="AC10" s="27">
        <f>SUM(Q10:AB10)</f>
        <v>7881.94378125</v>
      </c>
      <c r="AD10" s="29">
        <f>'2-ф2'!AD6*Исх!$C$19</f>
        <v>123.03522</v>
      </c>
      <c r="AE10" s="29">
        <f>'2-ф2'!AE6*Исх!$C$19</f>
        <v>492.14088</v>
      </c>
      <c r="AF10" s="29">
        <f>'2-ф2'!AF6*Исх!$C$19</f>
        <v>738.21132</v>
      </c>
      <c r="AG10" s="29">
        <f>'2-ф2'!AG6*Исх!$C$19</f>
        <v>984.28176</v>
      </c>
      <c r="AH10" s="29">
        <f>'2-ф2'!AH6*Исх!$C$19</f>
        <v>1476.42264</v>
      </c>
      <c r="AI10" s="29">
        <f>'2-ф2'!AI6*Исх!$C$19</f>
        <v>1845.5283</v>
      </c>
      <c r="AJ10" s="29">
        <f>'2-ф2'!AJ6*Исх!$C$19</f>
        <v>2091.5987400000004</v>
      </c>
      <c r="AK10" s="29">
        <f>'2-ф2'!AK6*Исх!$C$19</f>
        <v>1968.56352</v>
      </c>
      <c r="AL10" s="29">
        <f>'2-ф2'!AL6*Исх!$C$19</f>
        <v>1353.38742</v>
      </c>
      <c r="AM10" s="29">
        <f>'2-ф2'!AM6*Исх!$C$19</f>
        <v>861.2465400000002</v>
      </c>
      <c r="AN10" s="29">
        <f>'2-ф2'!AN6*Исх!$C$19</f>
        <v>246.07044</v>
      </c>
      <c r="AO10" s="29">
        <f>'2-ф2'!AO6*Исх!$C$19</f>
        <v>123.03522</v>
      </c>
      <c r="AP10" s="27">
        <f>SUM(AD10:AO10)</f>
        <v>12303.521999999999</v>
      </c>
      <c r="AQ10" s="29">
        <f>'2-ф2'!AQ6*Исх!$C$19</f>
        <v>12303.522</v>
      </c>
      <c r="AR10" s="29">
        <f>'2-ф2'!AR6*Исх!$C$19</f>
        <v>12303.522</v>
      </c>
      <c r="AS10" s="29">
        <f>'2-ф2'!AS6*Исх!$C$19</f>
        <v>12303.522</v>
      </c>
      <c r="AT10" s="29">
        <f>'2-ф2'!AT6*Исх!$C$19</f>
        <v>12303.522</v>
      </c>
      <c r="AU10" s="29">
        <f>'2-ф2'!AU6*Исх!$C$19</f>
        <v>12303.522</v>
      </c>
    </row>
    <row r="11" spans="1:47" s="21" customFormat="1" ht="12.75">
      <c r="A11" s="30" t="s">
        <v>5</v>
      </c>
      <c r="B11" s="27">
        <f>SUM(B12:B17)</f>
        <v>69530.2268652553</v>
      </c>
      <c r="C11" s="27"/>
      <c r="D11" s="31">
        <f aca="true" t="shared" si="7" ref="D11:AU11">SUM(D12:D17)</f>
        <v>0</v>
      </c>
      <c r="E11" s="31">
        <f t="shared" si="7"/>
        <v>0</v>
      </c>
      <c r="F11" s="31">
        <f t="shared" si="7"/>
        <v>0</v>
      </c>
      <c r="G11" s="31">
        <f t="shared" si="7"/>
        <v>0</v>
      </c>
      <c r="H11" s="31">
        <f t="shared" si="7"/>
        <v>0</v>
      </c>
      <c r="I11" s="31">
        <f t="shared" si="7"/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279.6255</v>
      </c>
      <c r="P11" s="31">
        <f t="shared" si="7"/>
        <v>279.6255</v>
      </c>
      <c r="Q11" s="31">
        <f t="shared" si="7"/>
        <v>481.40736614583335</v>
      </c>
      <c r="R11" s="31">
        <f t="shared" si="7"/>
        <v>481.40736614583335</v>
      </c>
      <c r="S11" s="31">
        <f t="shared" si="7"/>
        <v>549.4495711458334</v>
      </c>
      <c r="T11" s="31">
        <f t="shared" si="7"/>
        <v>583.4706736458334</v>
      </c>
      <c r="U11" s="31">
        <f t="shared" si="7"/>
        <v>821.6183911458334</v>
      </c>
      <c r="V11" s="31">
        <f t="shared" si="7"/>
        <v>847.2951805900833</v>
      </c>
      <c r="W11" s="31">
        <f t="shared" si="7"/>
        <v>853.5886490875533</v>
      </c>
      <c r="X11" s="31">
        <f t="shared" si="7"/>
        <v>853.3419664403808</v>
      </c>
      <c r="Y11" s="31">
        <f t="shared" si="7"/>
        <v>850.7968151393808</v>
      </c>
      <c r="Z11" s="31">
        <f t="shared" si="7"/>
        <v>848.6222765698022</v>
      </c>
      <c r="AA11" s="31">
        <f t="shared" si="7"/>
        <v>843.0526531608429</v>
      </c>
      <c r="AB11" s="31">
        <f t="shared" si="7"/>
        <v>841.7233897751698</v>
      </c>
      <c r="AC11" s="31">
        <f t="shared" si="7"/>
        <v>8855.774298992377</v>
      </c>
      <c r="AD11" s="31">
        <f t="shared" si="7"/>
        <v>841.4024324234648</v>
      </c>
      <c r="AE11" s="31">
        <f t="shared" si="7"/>
        <v>844.8551154508664</v>
      </c>
      <c r="AF11" s="31">
        <f t="shared" si="7"/>
        <v>847.0646750079113</v>
      </c>
      <c r="AG11" s="31">
        <f t="shared" si="7"/>
        <v>849.2726390614721</v>
      </c>
      <c r="AH11" s="31">
        <f t="shared" si="7"/>
        <v>853.9620727444454</v>
      </c>
      <c r="AI11" s="31">
        <f t="shared" si="7"/>
        <v>857.4083550354362</v>
      </c>
      <c r="AJ11" s="31">
        <f t="shared" si="7"/>
        <v>859.611476518441</v>
      </c>
      <c r="AK11" s="31">
        <f t="shared" si="7"/>
        <v>858.0883532825301</v>
      </c>
      <c r="AL11" s="31">
        <f t="shared" si="7"/>
        <v>851.5974385815263</v>
      </c>
      <c r="AM11" s="31">
        <f t="shared" si="7"/>
        <v>846.3464089336833</v>
      </c>
      <c r="AN11" s="31">
        <f t="shared" si="7"/>
        <v>839.8521802613611</v>
      </c>
      <c r="AO11" s="31">
        <f t="shared" si="7"/>
        <v>838.3224289707006</v>
      </c>
      <c r="AP11" s="31">
        <f t="shared" si="7"/>
        <v>10187.783576271835</v>
      </c>
      <c r="AQ11" s="31">
        <f t="shared" si="7"/>
        <v>10143.241858945265</v>
      </c>
      <c r="AR11" s="31">
        <f t="shared" si="7"/>
        <v>10095.68118075967</v>
      </c>
      <c r="AS11" s="31">
        <f t="shared" si="7"/>
        <v>10044.883300790456</v>
      </c>
      <c r="AT11" s="31">
        <f t="shared" si="7"/>
        <v>9990.614201458942</v>
      </c>
      <c r="AU11" s="31">
        <f t="shared" si="7"/>
        <v>9932.622948036751</v>
      </c>
    </row>
    <row r="12" spans="1:47" ht="12.75">
      <c r="A12" s="28" t="str">
        <f>'2-ф2'!A8</f>
        <v>Сырье и материалы</v>
      </c>
      <c r="B12" s="27">
        <f aca="true" t="shared" si="8" ref="B12:B17">P12+AC12+AP12+AQ12+AR12+AS12+AT12+AU12</f>
        <v>30945.222</v>
      </c>
      <c r="C12" s="32"/>
      <c r="D12" s="29">
        <f>'2-ф2'!D8/2*Исх!$C$19+'2-ф2'!D8/2</f>
        <v>0</v>
      </c>
      <c r="E12" s="29">
        <f>'2-ф2'!E8/2*Исх!$C$19+'2-ф2'!E8/2</f>
        <v>0</v>
      </c>
      <c r="F12" s="29"/>
      <c r="G12" s="29">
        <f>'2-ф2'!G8/2*Исх!$C$19+'2-ф2'!G8/2</f>
        <v>0</v>
      </c>
      <c r="H12" s="29">
        <f>'2-ф2'!H8/2*Исх!$C$19+'2-ф2'!H8/2</f>
        <v>0</v>
      </c>
      <c r="I12" s="29">
        <f>'2-ф2'!I8/2*Исх!$C$19+'2-ф2'!I8/2</f>
        <v>0</v>
      </c>
      <c r="J12" s="29">
        <f>'2-ф2'!J8*Исх!$C$19</f>
        <v>0</v>
      </c>
      <c r="K12" s="29">
        <f>'2-ф2'!K8*Исх!$C$19</f>
        <v>0</v>
      </c>
      <c r="L12" s="29">
        <f>'2-ф2'!L8*Исх!$C$19</f>
        <v>0</v>
      </c>
      <c r="M12" s="29">
        <f>'2-ф2'!M8*Исх!$C$19</f>
        <v>0</v>
      </c>
      <c r="N12" s="29">
        <f>'2-ф2'!N8*Исх!$C$19</f>
        <v>0</v>
      </c>
      <c r="O12" s="29">
        <f>Q12*1.5</f>
        <v>279.6255</v>
      </c>
      <c r="P12" s="27">
        <f aca="true" t="shared" si="9" ref="P12:P17">SUM(D12:O12)</f>
        <v>279.6255</v>
      </c>
      <c r="Q12" s="29">
        <f>Производство!Q7*'Расх перем'!$E$6/1000</f>
        <v>186.417</v>
      </c>
      <c r="R12" s="29">
        <f>Производство!R7*'Расх перем'!$E$6/1000</f>
        <v>186.417</v>
      </c>
      <c r="S12" s="29">
        <f>Производство!S7*'Расх перем'!$E$6/1000</f>
        <v>223.7004</v>
      </c>
      <c r="T12" s="29">
        <f>Производство!T7*'Расх перем'!$E$6/1000</f>
        <v>242.34210000000002</v>
      </c>
      <c r="U12" s="29">
        <f>Производство!U7*'Расх перем'!$E$6/1000</f>
        <v>372.834</v>
      </c>
      <c r="V12" s="29">
        <f>Производство!V7*'Расх перем'!$E$6/1000</f>
        <v>372.834</v>
      </c>
      <c r="W12" s="29">
        <f>Производство!W7*'Расх перем'!$E$6/1000</f>
        <v>372.834</v>
      </c>
      <c r="X12" s="29">
        <f>Производство!X7*'Расх перем'!$E$6/1000</f>
        <v>372.834</v>
      </c>
      <c r="Y12" s="29">
        <f>Производство!Y7*'Расх перем'!$E$6/1000</f>
        <v>372.834</v>
      </c>
      <c r="Z12" s="29">
        <f>Производство!Z7*'Расх перем'!$E$6/1000</f>
        <v>372.834</v>
      </c>
      <c r="AA12" s="29">
        <f>Производство!AA7*'Расх перем'!$E$6/1000</f>
        <v>372.834</v>
      </c>
      <c r="AB12" s="29">
        <f>Производство!AB7*'Расх перем'!$E$6/1000</f>
        <v>372.834</v>
      </c>
      <c r="AC12" s="27">
        <f aca="true" t="shared" si="10" ref="AC12:AC17">SUM(Q12:AB12)</f>
        <v>3821.5484999999994</v>
      </c>
      <c r="AD12" s="29">
        <f>Производство!AD7*'Расх перем'!$E$6/1000</f>
        <v>372.834</v>
      </c>
      <c r="AE12" s="29">
        <f>Производство!AE7*'Расх перем'!$E$6/1000</f>
        <v>372.834</v>
      </c>
      <c r="AF12" s="29">
        <f>Производство!AF7*'Расх перем'!$E$6/1000</f>
        <v>372.834</v>
      </c>
      <c r="AG12" s="29">
        <f>Производство!AG7*'Расх перем'!$E$6/1000</f>
        <v>372.834</v>
      </c>
      <c r="AH12" s="29">
        <f>Производство!AH7*'Расх перем'!$E$6/1000</f>
        <v>372.834</v>
      </c>
      <c r="AI12" s="29">
        <f>Производство!AI7*'Расх перем'!$E$6/1000</f>
        <v>372.834</v>
      </c>
      <c r="AJ12" s="29">
        <f>Производство!AJ7*'Расх перем'!$E$6/1000</f>
        <v>372.834</v>
      </c>
      <c r="AK12" s="29">
        <f>Производство!AK7*'Расх перем'!$E$6/1000</f>
        <v>372.834</v>
      </c>
      <c r="AL12" s="29">
        <f>Производство!AL7*'Расх перем'!$E$6/1000</f>
        <v>372.834</v>
      </c>
      <c r="AM12" s="29">
        <f>Производство!AM7*'Расх перем'!$E$6/1000</f>
        <v>372.834</v>
      </c>
      <c r="AN12" s="29">
        <f>Производство!AN7*'Расх перем'!$E$6/1000</f>
        <v>372.834</v>
      </c>
      <c r="AO12" s="29">
        <f>Производство!AO7*'Расх перем'!$E$6/1000</f>
        <v>372.834</v>
      </c>
      <c r="AP12" s="27">
        <f aca="true" t="shared" si="11" ref="AP12:AP17">SUM(AD12:AO12)</f>
        <v>4474.007999999999</v>
      </c>
      <c r="AQ12" s="29">
        <f>Производство!AQ7*'Расх перем'!$E$6/1000</f>
        <v>4474.008</v>
      </c>
      <c r="AR12" s="29">
        <f>Производство!AR7*'Расх перем'!$E$6/1000</f>
        <v>4474.008</v>
      </c>
      <c r="AS12" s="29">
        <f>Производство!AS7*'Расх перем'!$E$6/1000</f>
        <v>4474.008</v>
      </c>
      <c r="AT12" s="29">
        <f>Производство!AT7*'Расх перем'!$E$6/1000</f>
        <v>4474.008</v>
      </c>
      <c r="AU12" s="29">
        <f>Производство!AU7*'Расх перем'!$E$6/1000</f>
        <v>4474.008</v>
      </c>
    </row>
    <row r="13" spans="1:47" ht="12.75">
      <c r="A13" s="28" t="str">
        <f>'2-ф2'!A9</f>
        <v>Заработная плата</v>
      </c>
      <c r="B13" s="27">
        <f t="shared" si="8"/>
        <v>25299.117112499996</v>
      </c>
      <c r="C13" s="32"/>
      <c r="D13" s="29">
        <f>'2-ф2'!D9/2*Исх!$C$19+'2-ф2'!D9/2</f>
        <v>0</v>
      </c>
      <c r="E13" s="29">
        <f>'2-ф2'!E9/2*Исх!$C$19+'2-ф2'!E9/2</f>
        <v>0</v>
      </c>
      <c r="F13" s="29"/>
      <c r="G13" s="29">
        <f>'2-ф2'!G9/2*Исх!$C$19+'2-ф2'!G9/2</f>
        <v>0</v>
      </c>
      <c r="H13" s="29">
        <f>'2-ф2'!H9/2*Исх!$C$19+'2-ф2'!H9/2</f>
        <v>0</v>
      </c>
      <c r="I13" s="29">
        <f>'2-ф2'!I9/2*Исх!$C$19+'2-ф2'!I9/2</f>
        <v>0</v>
      </c>
      <c r="J13" s="29">
        <f>'2-ф2'!J9*Исх!$C$19</f>
        <v>0</v>
      </c>
      <c r="K13" s="29">
        <f>'2-ф2'!K9*Исх!$C$19</f>
        <v>0</v>
      </c>
      <c r="L13" s="29">
        <f>'2-ф2'!L9*Исх!$C$19</f>
        <v>0</v>
      </c>
      <c r="M13" s="29">
        <f>'2-ф2'!M9*Исх!$C$19</f>
        <v>0</v>
      </c>
      <c r="N13" s="29">
        <f>'2-ф2'!N9*Исх!$C$19</f>
        <v>0</v>
      </c>
      <c r="O13" s="29"/>
      <c r="P13" s="27">
        <f t="shared" si="9"/>
        <v>0</v>
      </c>
      <c r="Q13" s="29">
        <f>Производство!Q7*Исх!$C$29*'Расх перем'!$D$7/1000</f>
        <v>153.794025</v>
      </c>
      <c r="R13" s="29">
        <f>Производство!R7*Исх!$C$29*'Расх перем'!$D$7/1000</f>
        <v>153.794025</v>
      </c>
      <c r="S13" s="29">
        <f>Производство!S7*Исх!$C$29*'Расх перем'!$D$7/1000</f>
        <v>184.55283</v>
      </c>
      <c r="T13" s="29">
        <f>Производство!T7*Исх!$C$29*'Расх перем'!$D$7/1000</f>
        <v>199.93223250000003</v>
      </c>
      <c r="U13" s="29">
        <f>Производство!U7*Исх!$C$29*'Расх перем'!$D$7/1000</f>
        <v>307.58805</v>
      </c>
      <c r="V13" s="29">
        <f>Производство!V7*Исх!$C$29*'Расх перем'!$D$7/1000</f>
        <v>307.58805</v>
      </c>
      <c r="W13" s="29">
        <f>Производство!W7*Исх!$C$29*'Расх перем'!$D$7/1000</f>
        <v>307.58805</v>
      </c>
      <c r="X13" s="29">
        <f>Производство!X7*Исх!$C$29*'Расх перем'!$D$7/1000</f>
        <v>307.58805</v>
      </c>
      <c r="Y13" s="29">
        <f>Производство!Y7*Исх!$C$29*'Расх перем'!$D$7/1000</f>
        <v>307.58805</v>
      </c>
      <c r="Z13" s="29">
        <f>Производство!Z7*Исх!$C$29*'Расх перем'!$D$7/1000</f>
        <v>307.58805</v>
      </c>
      <c r="AA13" s="29">
        <f>Производство!AA7*Исх!$C$29*'Расх перем'!$D$7/1000</f>
        <v>307.58805</v>
      </c>
      <c r="AB13" s="29">
        <f>Производство!AB7*Исх!$C$29*'Расх перем'!$D$7/1000</f>
        <v>307.58805</v>
      </c>
      <c r="AC13" s="27">
        <f t="shared" si="10"/>
        <v>3152.7775125</v>
      </c>
      <c r="AD13" s="29">
        <f>Производство!AD7*Исх!$C$29*'Расх перем'!$D$7/1000</f>
        <v>307.58805</v>
      </c>
      <c r="AE13" s="29">
        <f>Производство!AE7*Исх!$C$29*'Расх перем'!$D$7/1000</f>
        <v>307.58805</v>
      </c>
      <c r="AF13" s="29">
        <f>Производство!AF7*Исх!$C$29*'Расх перем'!$D$7/1000</f>
        <v>307.58805</v>
      </c>
      <c r="AG13" s="29">
        <f>Производство!AG7*Исх!$C$29*'Расх перем'!$D$7/1000</f>
        <v>307.58805</v>
      </c>
      <c r="AH13" s="29">
        <f>Производство!AH7*Исх!$C$29*'Расх перем'!$D$7/1000</f>
        <v>307.58805</v>
      </c>
      <c r="AI13" s="29">
        <f>Производство!AI7*Исх!$C$29*'Расх перем'!$D$7/1000</f>
        <v>307.58805</v>
      </c>
      <c r="AJ13" s="29">
        <f>Производство!AJ7*Исх!$C$29*'Расх перем'!$D$7/1000</f>
        <v>307.58805</v>
      </c>
      <c r="AK13" s="29">
        <f>Производство!AK7*Исх!$C$29*'Расх перем'!$D$7/1000</f>
        <v>307.58805</v>
      </c>
      <c r="AL13" s="29">
        <f>Производство!AL7*Исх!$C$29*'Расх перем'!$D$7/1000</f>
        <v>307.58805</v>
      </c>
      <c r="AM13" s="29">
        <f>Производство!AM7*Исх!$C$29*'Расх перем'!$D$7/1000</f>
        <v>307.58805</v>
      </c>
      <c r="AN13" s="29">
        <f>Производство!AN7*Исх!$C$29*'Расх перем'!$D$7/1000</f>
        <v>307.58805</v>
      </c>
      <c r="AO13" s="29">
        <f>Производство!AO7*Исх!$C$29*'Расх перем'!$D$7/1000</f>
        <v>307.58805</v>
      </c>
      <c r="AP13" s="27">
        <f t="shared" si="11"/>
        <v>3691.0565999999994</v>
      </c>
      <c r="AQ13" s="29">
        <f>Производство!AQ7*Исх!$C$29*'Расх перем'!$D$7/1000</f>
        <v>3691.0566</v>
      </c>
      <c r="AR13" s="29">
        <f>Производство!AR7*Исх!$C$29*'Расх перем'!$D$7/1000</f>
        <v>3691.0566</v>
      </c>
      <c r="AS13" s="29">
        <f>Производство!AS7*Исх!$C$29*'Расх перем'!$D$7/1000</f>
        <v>3691.0566</v>
      </c>
      <c r="AT13" s="29">
        <f>Производство!AT7*Исх!$C$29*'Расх перем'!$D$7/1000</f>
        <v>3691.0566</v>
      </c>
      <c r="AU13" s="29">
        <f>Производство!AU7*Исх!$C$29*'Расх перем'!$D$7/1000</f>
        <v>3691.0566</v>
      </c>
    </row>
    <row r="14" spans="1:47" ht="12.75">
      <c r="A14" s="28" t="s">
        <v>144</v>
      </c>
      <c r="B14" s="27">
        <f t="shared" si="8"/>
        <v>11800.307968750003</v>
      </c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7">
        <f t="shared" si="9"/>
        <v>0</v>
      </c>
      <c r="Q14" s="29">
        <f>(Пост!$D$14-Пост!$D$5)*Исх!$C$19+Пост!$D$5+Пост!$D$16+Пост!$D$19</f>
        <v>141.19634114583334</v>
      </c>
      <c r="R14" s="29">
        <f>(Пост!$D$14-Пост!$D$5)*Исх!$C$19+Пост!$D$5+Пост!$D$16+Пост!$D$19</f>
        <v>141.19634114583334</v>
      </c>
      <c r="S14" s="29">
        <f>(Пост!$D$14-Пост!$D$5)*Исх!$C$19+Пост!$D$5+Пост!$D$16+Пост!$D$19</f>
        <v>141.19634114583334</v>
      </c>
      <c r="T14" s="29">
        <f>(Пост!$D$14-Пост!$D$5)*Исх!$C$19+Пост!$D$5+Пост!$D$16+Пост!$D$19</f>
        <v>141.19634114583334</v>
      </c>
      <c r="U14" s="29">
        <f>(Пост!$D$14-Пост!$D$5)*Исх!$C$19+Пост!$D$5+Пост!$D$16+Пост!$D$19</f>
        <v>141.19634114583334</v>
      </c>
      <c r="V14" s="29">
        <f>(Пост!$D$14-Пост!$D$5)*Исх!$C$19+Пост!$D$5+Пост!$D$16+Пост!$D$19</f>
        <v>141.19634114583334</v>
      </c>
      <c r="W14" s="29">
        <f>(Пост!$D$14-Пост!$D$5)*Исх!$C$19+Пост!$D$5+Пост!$D$16+Пост!$D$19</f>
        <v>141.19634114583334</v>
      </c>
      <c r="X14" s="29">
        <f>(Пост!$D$14-Пост!$D$5)*Исх!$C$19+Пост!$D$5+Пост!$D$16+Пост!$D$19</f>
        <v>141.19634114583334</v>
      </c>
      <c r="Y14" s="29">
        <f>(Пост!$D$14-Пост!$D$5)*Исх!$C$19+Пост!$D$5+Пост!$D$16+Пост!$D$19</f>
        <v>141.19634114583334</v>
      </c>
      <c r="Z14" s="29">
        <f>(Пост!$D$14-Пост!$D$5)*Исх!$C$19+Пост!$D$5+Пост!$D$16+Пост!$D$19</f>
        <v>141.19634114583334</v>
      </c>
      <c r="AA14" s="29">
        <f>(Пост!$D$14-Пост!$D$5)*Исх!$C$19+Пост!$D$5+Пост!$D$16+Пост!$D$19</f>
        <v>141.19634114583334</v>
      </c>
      <c r="AB14" s="29">
        <f>(Пост!$D$14-Пост!$D$5)*Исх!$C$19+Пост!$D$5+Пост!$D$16+Пост!$D$19</f>
        <v>141.19634114583334</v>
      </c>
      <c r="AC14" s="27">
        <f t="shared" si="10"/>
        <v>1694.3560937499997</v>
      </c>
      <c r="AD14" s="29">
        <f>(Пост!$E$14-Пост!$E$5)*Исх!$C$19+Пост!$E$5+Пост!$E$16+Пост!$E$19</f>
        <v>140.95751302083335</v>
      </c>
      <c r="AE14" s="29">
        <f>(Пост!$E$14-Пост!$E$5)*Исх!$C$19+Пост!$E$5+Пост!$E$16+Пост!$E$19</f>
        <v>140.95751302083335</v>
      </c>
      <c r="AF14" s="29">
        <f>(Пост!$E$14-Пост!$E$5)*Исх!$C$19+Пост!$E$5+Пост!$E$16+Пост!$E$19</f>
        <v>140.95751302083335</v>
      </c>
      <c r="AG14" s="29">
        <f>(Пост!$E$14-Пост!$E$5)*Исх!$C$19+Пост!$E$5+Пост!$E$16+Пост!$E$19</f>
        <v>140.95751302083335</v>
      </c>
      <c r="AH14" s="29">
        <f>(Пост!$E$14-Пост!$E$5)*Исх!$C$19+Пост!$E$5+Пост!$E$16+Пост!$E$19</f>
        <v>140.95751302083335</v>
      </c>
      <c r="AI14" s="29">
        <f>(Пост!$E$14-Пост!$E$5)*Исх!$C$19+Пост!$E$5+Пост!$E$16+Пост!$E$19</f>
        <v>140.95751302083335</v>
      </c>
      <c r="AJ14" s="29">
        <f>(Пост!$E$14-Пост!$E$5)*Исх!$C$19+Пост!$E$5+Пост!$E$16+Пост!$E$19</f>
        <v>140.95751302083335</v>
      </c>
      <c r="AK14" s="29">
        <f>(Пост!$E$14-Пост!$E$5)*Исх!$C$19+Пост!$E$5+Пост!$E$16+Пост!$E$19</f>
        <v>140.95751302083335</v>
      </c>
      <c r="AL14" s="29">
        <f>(Пост!$E$14-Пост!$E$5)*Исх!$C$19+Пост!$E$5+Пост!$E$16+Пост!$E$19</f>
        <v>140.95751302083335</v>
      </c>
      <c r="AM14" s="29">
        <f>(Пост!$E$14-Пост!$E$5)*Исх!$C$19+Пост!$E$5+Пост!$E$16+Пост!$E$19</f>
        <v>140.95751302083335</v>
      </c>
      <c r="AN14" s="29">
        <f>(Пост!$E$14-Пост!$E$5)*Исх!$C$19+Пост!$E$5+Пост!$E$16+Пост!$E$19</f>
        <v>140.95751302083335</v>
      </c>
      <c r="AO14" s="29">
        <f>(Пост!$E$14-Пост!$E$5)*Исх!$C$19+Пост!$E$5+Пост!$E$16+Пост!$E$19</f>
        <v>140.95751302083335</v>
      </c>
      <c r="AP14" s="27">
        <f t="shared" si="11"/>
        <v>1691.4901562500006</v>
      </c>
      <c r="AQ14" s="29">
        <f>((Пост!F14-Пост!F5)*Исх!$C$19+Пост!F5+Пост!F16+Пост!F19)*12</f>
        <v>1688.6242187500002</v>
      </c>
      <c r="AR14" s="29">
        <f>((Пост!G14-Пост!G5)*Исх!$C$19+Пост!G5+Пост!G16+Пост!G19)*12</f>
        <v>1685.7582812500002</v>
      </c>
      <c r="AS14" s="29">
        <f>((Пост!H14-Пост!H5)*Исх!$C$19+Пост!H5+Пост!H16+Пост!H19)*12</f>
        <v>1682.8923437500002</v>
      </c>
      <c r="AT14" s="29">
        <f>((Пост!I14-Пост!I5)*Исх!$C$19+Пост!I5+Пост!I16+Пост!I19)*12</f>
        <v>1680.02640625</v>
      </c>
      <c r="AU14" s="29">
        <f>((Пост!J14-Пост!J5)*Исх!$C$19+Пост!J5+Пост!J16+Пост!J19)*12</f>
        <v>1677.1604687499998</v>
      </c>
    </row>
    <row r="15" spans="1:47" ht="12.75">
      <c r="A15" s="28" t="s">
        <v>54</v>
      </c>
      <c r="B15" s="27">
        <f t="shared" si="8"/>
        <v>1122.5208773098468</v>
      </c>
      <c r="C15" s="27"/>
      <c r="D15" s="29">
        <f>кр!C26</f>
        <v>0</v>
      </c>
      <c r="E15" s="29">
        <f>кр!D26</f>
        <v>0</v>
      </c>
      <c r="F15" s="29">
        <f>кр!E26</f>
        <v>0</v>
      </c>
      <c r="G15" s="29">
        <f>кр!F26</f>
        <v>0</v>
      </c>
      <c r="H15" s="29">
        <f>кр!G26</f>
        <v>0</v>
      </c>
      <c r="I15" s="29">
        <f>кр!H26</f>
        <v>0</v>
      </c>
      <c r="J15" s="29">
        <f>кр!I26</f>
        <v>0</v>
      </c>
      <c r="K15" s="29">
        <f>кр!J26</f>
        <v>0</v>
      </c>
      <c r="L15" s="29">
        <f>кр!K26</f>
        <v>0</v>
      </c>
      <c r="M15" s="29">
        <f>кр!L26</f>
        <v>0</v>
      </c>
      <c r="N15" s="29">
        <f>кр!M26</f>
        <v>0</v>
      </c>
      <c r="O15" s="29">
        <f>кр!N26</f>
        <v>0</v>
      </c>
      <c r="P15" s="27">
        <f t="shared" si="9"/>
        <v>0</v>
      </c>
      <c r="Q15" s="29">
        <f>кр!P26</f>
        <v>0</v>
      </c>
      <c r="R15" s="29">
        <f>кр!Q26</f>
        <v>0</v>
      </c>
      <c r="S15" s="29">
        <f>кр!R26</f>
        <v>0</v>
      </c>
      <c r="T15" s="29">
        <f>кр!S26</f>
        <v>0</v>
      </c>
      <c r="U15" s="29">
        <f>кр!T26</f>
        <v>0</v>
      </c>
      <c r="V15" s="29">
        <f>кр!U26</f>
        <v>25.676789444249994</v>
      </c>
      <c r="W15" s="29">
        <f>кр!V26</f>
        <v>25.676789444249994</v>
      </c>
      <c r="X15" s="29">
        <f>кр!W26</f>
        <v>25.676789444249994</v>
      </c>
      <c r="Y15" s="29">
        <f>кр!X26</f>
        <v>25.676789444249994</v>
      </c>
      <c r="Z15" s="29">
        <f>кр!Y26</f>
        <v>25.40289759494213</v>
      </c>
      <c r="AA15" s="29">
        <f>кр!Z26</f>
        <v>25.12740804317996</v>
      </c>
      <c r="AB15" s="29">
        <f>кр!AA26</f>
        <v>24.850311469032516</v>
      </c>
      <c r="AC15" s="27">
        <f t="shared" si="10"/>
        <v>178.08777488415458</v>
      </c>
      <c r="AD15" s="29">
        <f>кр!AC26</f>
        <v>24.571598498202537</v>
      </c>
      <c r="AE15" s="29">
        <f>кр!AD26</f>
        <v>24.29125970170939</v>
      </c>
      <c r="AF15" s="29">
        <f>кр!AE26</f>
        <v>24.009285595570034</v>
      </c>
      <c r="AG15" s="29">
        <f>кр!AF26</f>
        <v>23.7256666404782</v>
      </c>
      <c r="AH15" s="29">
        <f>кр!AG26</f>
        <v>23.44039324148166</v>
      </c>
      <c r="AI15" s="29">
        <f>кр!AH26</f>
        <v>23.15345574765764</v>
      </c>
      <c r="AJ15" s="29">
        <f>кр!AI26</f>
        <v>22.864844451786315</v>
      </c>
      <c r="AK15" s="29">
        <f>кр!AJ26</f>
        <v>22.574549590022404</v>
      </c>
      <c r="AL15" s="29">
        <f>кр!AK26</f>
        <v>22.282561341564875</v>
      </c>
      <c r="AM15" s="29">
        <f>кр!AL26</f>
        <v>21.988869828324678</v>
      </c>
      <c r="AN15" s="29">
        <f>кр!AM26</f>
        <v>21.693465114590577</v>
      </c>
      <c r="AO15" s="29">
        <f>кр!AN26</f>
        <v>21.39633720669303</v>
      </c>
      <c r="AP15" s="27">
        <f t="shared" si="11"/>
        <v>275.9922869580813</v>
      </c>
      <c r="AQ15" s="34">
        <f>кр!BB26</f>
        <v>232.93892824511664</v>
      </c>
      <c r="AR15" s="34">
        <f>кр!BO26</f>
        <v>186.7732387496591</v>
      </c>
      <c r="AS15" s="34">
        <f>кр!CB26</f>
        <v>137.27022782779113</v>
      </c>
      <c r="AT15" s="34">
        <f>кр!CO26</f>
        <v>84.18864024375421</v>
      </c>
      <c r="AU15" s="34">
        <f>кр!DB26</f>
        <v>27.269780401289907</v>
      </c>
    </row>
    <row r="16" spans="1:47" ht="14.25" customHeight="1">
      <c r="A16" s="28" t="str">
        <f>'2-ф2'!A15</f>
        <v>Подоходный налог ИП, соц.налог</v>
      </c>
      <c r="B16" s="27">
        <f t="shared" si="8"/>
        <v>363.05890669545477</v>
      </c>
      <c r="C16" s="27"/>
      <c r="D16" s="29">
        <f>'2-ф2'!D15</f>
        <v>0</v>
      </c>
      <c r="E16" s="29">
        <f>'2-ф2'!E15</f>
        <v>0</v>
      </c>
      <c r="F16" s="29">
        <f>'2-ф2'!F15</f>
        <v>0</v>
      </c>
      <c r="G16" s="29">
        <f>'2-ф2'!G15</f>
        <v>0</v>
      </c>
      <c r="H16" s="29">
        <f>'2-ф2'!H15</f>
        <v>0</v>
      </c>
      <c r="I16" s="29">
        <f>'2-ф2'!I15</f>
        <v>0</v>
      </c>
      <c r="J16" s="29">
        <f>'2-ф2'!J15</f>
        <v>0</v>
      </c>
      <c r="K16" s="29">
        <f>'2-ф2'!K15</f>
        <v>0</v>
      </c>
      <c r="L16" s="29">
        <f>'2-ф2'!L15</f>
        <v>0</v>
      </c>
      <c r="M16" s="29">
        <f>'2-ф2'!M15</f>
        <v>0</v>
      </c>
      <c r="N16" s="29">
        <f>'2-ф2'!N15</f>
        <v>0</v>
      </c>
      <c r="O16" s="29">
        <f>'2-ф2'!O15</f>
        <v>0</v>
      </c>
      <c r="P16" s="27">
        <f t="shared" si="9"/>
        <v>0</v>
      </c>
      <c r="Q16" s="29">
        <f>'2-ф2'!Q15</f>
        <v>0</v>
      </c>
      <c r="R16" s="29">
        <f>'2-ф2'!R15</f>
        <v>0</v>
      </c>
      <c r="S16" s="29">
        <f>'2-ф2'!S15</f>
        <v>0</v>
      </c>
      <c r="T16" s="29">
        <f>'2-ф2'!T15</f>
        <v>0</v>
      </c>
      <c r="U16" s="29">
        <f>'2-ф2'!U15</f>
        <v>0</v>
      </c>
      <c r="V16" s="29">
        <f>'2-ф2'!V15</f>
        <v>0</v>
      </c>
      <c r="W16" s="29">
        <f>'2-ф2'!W15</f>
        <v>6.293468497469999</v>
      </c>
      <c r="X16" s="29">
        <f>'2-ф2'!X15</f>
        <v>6.046785850297495</v>
      </c>
      <c r="Y16" s="29">
        <f>'2-ф2'!Y15</f>
        <v>3.5016345492974987</v>
      </c>
      <c r="Z16" s="29">
        <f>'2-ф2'!Z15</f>
        <v>1.6009878290267345</v>
      </c>
      <c r="AA16" s="29">
        <f>'2-ф2'!AA15</f>
        <v>-3.693146028170399</v>
      </c>
      <c r="AB16" s="29">
        <f>'2-ф2'!AB15</f>
        <v>-4.745312839695976</v>
      </c>
      <c r="AC16" s="27">
        <f t="shared" si="10"/>
        <v>9.004417858225352</v>
      </c>
      <c r="AD16" s="29">
        <f>'2-ф2'!AD15</f>
        <v>-4.548729095571076</v>
      </c>
      <c r="AE16" s="29">
        <f>'2-ф2'!AE15</f>
        <v>-0.815707271676282</v>
      </c>
      <c r="AF16" s="29">
        <f>'2-ф2'!AF15</f>
        <v>1.6758263915078995</v>
      </c>
      <c r="AG16" s="29">
        <f>'2-ф2'!AG15</f>
        <v>4.167409400160653</v>
      </c>
      <c r="AH16" s="29">
        <f>'2-ф2'!AH15</f>
        <v>9.142116482130552</v>
      </c>
      <c r="AI16" s="29">
        <f>'2-ф2'!AI15</f>
        <v>12.875336266945274</v>
      </c>
      <c r="AJ16" s="29">
        <f>'2-ф2'!AJ15</f>
        <v>15.367069045821411</v>
      </c>
      <c r="AK16" s="29">
        <f>'2-ф2'!AK15</f>
        <v>14.134240671674327</v>
      </c>
      <c r="AL16" s="29">
        <f>'2-ф2'!AL15</f>
        <v>7.935314219128054</v>
      </c>
      <c r="AM16" s="29">
        <f>'2-ф2'!AM15</f>
        <v>2.9779760845252614</v>
      </c>
      <c r="AN16" s="29">
        <f>'2-ф2'!AN15</f>
        <v>-3.2208478740627178</v>
      </c>
      <c r="AO16" s="29">
        <f>'2-ф2'!AO15</f>
        <v>-4.453471256825791</v>
      </c>
      <c r="AP16" s="27">
        <f t="shared" si="11"/>
        <v>55.236533063757555</v>
      </c>
      <c r="AQ16" s="29">
        <f>'2-ф2'!AQ15</f>
        <v>56.61411195014653</v>
      </c>
      <c r="AR16" s="29">
        <f>'2-ф2'!AR15</f>
        <v>58.08506076001025</v>
      </c>
      <c r="AS16" s="29">
        <f>'2-ф2'!AS15</f>
        <v>59.656129212666286</v>
      </c>
      <c r="AT16" s="29">
        <f>'2-ф2'!AT15</f>
        <v>61.33455496518741</v>
      </c>
      <c r="AU16" s="29">
        <f>'2-ф2'!AU15</f>
        <v>63.128098885461334</v>
      </c>
    </row>
    <row r="17" spans="1:47" ht="12.75">
      <c r="A17" s="28" t="s">
        <v>34</v>
      </c>
      <c r="B17" s="27">
        <f t="shared" si="8"/>
        <v>0</v>
      </c>
      <c r="C17" s="27"/>
      <c r="D17" s="29">
        <f>'2-ф2'!D28</f>
        <v>0</v>
      </c>
      <c r="E17" s="29">
        <f>'2-ф2'!E28</f>
        <v>0</v>
      </c>
      <c r="F17" s="29">
        <f>'2-ф2'!F28</f>
        <v>0</v>
      </c>
      <c r="G17" s="29">
        <f>'2-ф2'!G28</f>
        <v>0</v>
      </c>
      <c r="H17" s="29">
        <f>'2-ф2'!H28</f>
        <v>0</v>
      </c>
      <c r="I17" s="29">
        <f>'2-ф2'!I28</f>
        <v>0</v>
      </c>
      <c r="J17" s="29">
        <f>'2-ф2'!J28</f>
        <v>0</v>
      </c>
      <c r="K17" s="29">
        <f>'2-ф2'!K28</f>
        <v>0</v>
      </c>
      <c r="L17" s="29">
        <f>'2-ф2'!L28</f>
        <v>0</v>
      </c>
      <c r="M17" s="29">
        <f>'2-ф2'!M28</f>
        <v>0</v>
      </c>
      <c r="N17" s="29">
        <f>'2-ф2'!N28</f>
        <v>0</v>
      </c>
      <c r="O17" s="29">
        <f>'2-ф2'!O28</f>
        <v>0</v>
      </c>
      <c r="P17" s="27">
        <f t="shared" si="9"/>
        <v>0</v>
      </c>
      <c r="Q17" s="29">
        <f>'2-ф2'!Q28</f>
        <v>0</v>
      </c>
      <c r="R17" s="29">
        <f>'2-ф2'!R28</f>
        <v>0</v>
      </c>
      <c r="S17" s="29">
        <f>'2-ф2'!S28</f>
        <v>0</v>
      </c>
      <c r="T17" s="29">
        <f>'2-ф2'!T28</f>
        <v>0</v>
      </c>
      <c r="U17" s="29">
        <f>'2-ф2'!U28</f>
        <v>0</v>
      </c>
      <c r="V17" s="29">
        <f>'2-ф2'!V28</f>
        <v>0</v>
      </c>
      <c r="W17" s="29">
        <f>'2-ф2'!W28</f>
        <v>0</v>
      </c>
      <c r="X17" s="29">
        <f>'2-ф2'!X28</f>
        <v>0</v>
      </c>
      <c r="Y17" s="29">
        <f>'2-ф2'!Y28</f>
        <v>0</v>
      </c>
      <c r="Z17" s="29">
        <f>'2-ф2'!Z28</f>
        <v>0</v>
      </c>
      <c r="AA17" s="29">
        <f>'2-ф2'!AA28</f>
        <v>0</v>
      </c>
      <c r="AB17" s="29">
        <f>'2-ф2'!AB28</f>
        <v>0</v>
      </c>
      <c r="AC17" s="27">
        <f t="shared" si="10"/>
        <v>0</v>
      </c>
      <c r="AD17" s="29">
        <f>'2-ф2'!AD28</f>
        <v>0</v>
      </c>
      <c r="AE17" s="29">
        <f>'2-ф2'!AE28</f>
        <v>0</v>
      </c>
      <c r="AF17" s="29">
        <f>'2-ф2'!AF28</f>
        <v>0</v>
      </c>
      <c r="AG17" s="29">
        <f>'2-ф2'!AG28</f>
        <v>0</v>
      </c>
      <c r="AH17" s="29">
        <f>'2-ф2'!AH28</f>
        <v>0</v>
      </c>
      <c r="AI17" s="29">
        <f>'2-ф2'!AI28</f>
        <v>0</v>
      </c>
      <c r="AJ17" s="29">
        <f>'2-ф2'!AJ28</f>
        <v>0</v>
      </c>
      <c r="AK17" s="29">
        <f>'2-ф2'!AK28</f>
        <v>0</v>
      </c>
      <c r="AL17" s="29">
        <f>'2-ф2'!AL28</f>
        <v>0</v>
      </c>
      <c r="AM17" s="29">
        <f>'2-ф2'!AM28</f>
        <v>0</v>
      </c>
      <c r="AN17" s="29">
        <f>'2-ф2'!AN28</f>
        <v>0</v>
      </c>
      <c r="AO17" s="29">
        <f>'2-ф2'!AO28</f>
        <v>0</v>
      </c>
      <c r="AP17" s="27">
        <f t="shared" si="11"/>
        <v>0</v>
      </c>
      <c r="AQ17" s="29">
        <f>'2-ф2'!AQ28</f>
        <v>0</v>
      </c>
      <c r="AR17" s="29">
        <f>'2-ф2'!AR28</f>
        <v>0</v>
      </c>
      <c r="AS17" s="29">
        <f>'2-ф2'!AS28</f>
        <v>0</v>
      </c>
      <c r="AT17" s="29">
        <f>'2-ф2'!AT28</f>
        <v>0</v>
      </c>
      <c r="AU17" s="29">
        <f>'2-ф2'!AU28</f>
        <v>0</v>
      </c>
    </row>
    <row r="18" spans="1:47" s="21" customFormat="1" ht="25.5">
      <c r="A18" s="35" t="s">
        <v>19</v>
      </c>
      <c r="B18" s="18">
        <f>B9-B11</f>
        <v>12172.848915994691</v>
      </c>
      <c r="C18" s="18"/>
      <c r="D18" s="18">
        <f aca="true" t="shared" si="12" ref="D18:AU18">D9-D11</f>
        <v>0</v>
      </c>
      <c r="E18" s="18">
        <f t="shared" si="12"/>
        <v>0</v>
      </c>
      <c r="F18" s="18">
        <f t="shared" si="12"/>
        <v>0</v>
      </c>
      <c r="G18" s="18">
        <f t="shared" si="12"/>
        <v>0</v>
      </c>
      <c r="H18" s="18">
        <f t="shared" si="12"/>
        <v>0</v>
      </c>
      <c r="I18" s="18">
        <f t="shared" si="12"/>
        <v>0</v>
      </c>
      <c r="J18" s="18">
        <f t="shared" si="12"/>
        <v>0</v>
      </c>
      <c r="K18" s="18">
        <f t="shared" si="12"/>
        <v>0</v>
      </c>
      <c r="L18" s="18">
        <f t="shared" si="12"/>
        <v>0</v>
      </c>
      <c r="M18" s="18">
        <f t="shared" si="12"/>
        <v>0</v>
      </c>
      <c r="N18" s="18">
        <f t="shared" si="12"/>
        <v>0</v>
      </c>
      <c r="O18" s="18">
        <f t="shared" si="12"/>
        <v>-279.6255</v>
      </c>
      <c r="P18" s="18">
        <f t="shared" si="12"/>
        <v>-279.6255</v>
      </c>
      <c r="Q18" s="18">
        <f t="shared" si="12"/>
        <v>-481.40736614583335</v>
      </c>
      <c r="R18" s="18">
        <f t="shared" si="12"/>
        <v>-481.40736614583335</v>
      </c>
      <c r="S18" s="18">
        <f t="shared" si="12"/>
        <v>-234.17181989583338</v>
      </c>
      <c r="T18" s="18">
        <f t="shared" si="12"/>
        <v>-163.1003386458334</v>
      </c>
      <c r="U18" s="18">
        <f t="shared" si="12"/>
        <v>-191.06288864583337</v>
      </c>
      <c r="V18" s="18">
        <f t="shared" si="12"/>
        <v>729.0935756599166</v>
      </c>
      <c r="W18" s="18">
        <f t="shared" si="12"/>
        <v>932.9852746624468</v>
      </c>
      <c r="X18" s="18">
        <f t="shared" si="12"/>
        <v>323.6949715596189</v>
      </c>
      <c r="Y18" s="18">
        <f t="shared" si="12"/>
        <v>74.01792186061925</v>
      </c>
      <c r="Z18" s="18">
        <f t="shared" si="12"/>
        <v>-112.97419031980235</v>
      </c>
      <c r="AA18" s="18">
        <f t="shared" si="12"/>
        <v>-632.8674856608429</v>
      </c>
      <c r="AB18" s="18">
        <f t="shared" si="12"/>
        <v>-736.6308060251698</v>
      </c>
      <c r="AC18" s="18">
        <f t="shared" si="12"/>
        <v>-973.8305177423772</v>
      </c>
      <c r="AD18" s="18">
        <f t="shared" si="12"/>
        <v>-718.3672124234648</v>
      </c>
      <c r="AE18" s="18">
        <f t="shared" si="12"/>
        <v>-352.7142354508664</v>
      </c>
      <c r="AF18" s="18">
        <f t="shared" si="12"/>
        <v>-108.85335500791132</v>
      </c>
      <c r="AG18" s="18">
        <f t="shared" si="12"/>
        <v>135.00912093852787</v>
      </c>
      <c r="AH18" s="18">
        <f t="shared" si="12"/>
        <v>622.4605672555546</v>
      </c>
      <c r="AI18" s="18">
        <f t="shared" si="12"/>
        <v>988.1199449645637</v>
      </c>
      <c r="AJ18" s="18">
        <f t="shared" si="12"/>
        <v>1231.9872634815592</v>
      </c>
      <c r="AK18" s="18">
        <f t="shared" si="12"/>
        <v>1110.4751667174698</v>
      </c>
      <c r="AL18" s="18">
        <f t="shared" si="12"/>
        <v>501.78998141847376</v>
      </c>
      <c r="AM18" s="18">
        <f t="shared" si="12"/>
        <v>14.90013106631693</v>
      </c>
      <c r="AN18" s="18">
        <f t="shared" si="12"/>
        <v>-593.7817402613612</v>
      </c>
      <c r="AO18" s="18">
        <f t="shared" si="12"/>
        <v>-715.2872089707006</v>
      </c>
      <c r="AP18" s="18">
        <f t="shared" si="12"/>
        <v>2115.738423728164</v>
      </c>
      <c r="AQ18" s="18">
        <f t="shared" si="12"/>
        <v>2160.2801410547363</v>
      </c>
      <c r="AR18" s="18">
        <f t="shared" si="12"/>
        <v>2207.8408192403313</v>
      </c>
      <c r="AS18" s="18">
        <f t="shared" si="12"/>
        <v>2258.638699209545</v>
      </c>
      <c r="AT18" s="18">
        <f t="shared" si="12"/>
        <v>2312.9077985410586</v>
      </c>
      <c r="AU18" s="18">
        <f t="shared" si="12"/>
        <v>2370.89905196325</v>
      </c>
    </row>
    <row r="19" spans="1:47" s="21" customFormat="1" ht="12.75">
      <c r="A19" s="22" t="s">
        <v>20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6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36"/>
      <c r="AQ19" s="36"/>
      <c r="AR19" s="36"/>
      <c r="AS19" s="36"/>
      <c r="AT19" s="36"/>
      <c r="AU19" s="36"/>
    </row>
    <row r="20" spans="1:47" s="21" customFormat="1" ht="12.75">
      <c r="A20" s="26" t="s">
        <v>6</v>
      </c>
      <c r="B20" s="2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2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27"/>
      <c r="AQ20" s="27"/>
      <c r="AR20" s="27"/>
      <c r="AS20" s="27"/>
      <c r="AT20" s="27"/>
      <c r="AU20" s="27"/>
    </row>
    <row r="21" spans="1:47" s="21" customFormat="1" ht="12.75">
      <c r="A21" s="26" t="s">
        <v>7</v>
      </c>
      <c r="B21" s="27">
        <f>SUM(B22:B23)</f>
        <v>4252.8843799999995</v>
      </c>
      <c r="C21" s="27"/>
      <c r="D21" s="27">
        <f aca="true" t="shared" si="13" ref="D21:AB21">SUM(D22:D23)</f>
        <v>0</v>
      </c>
      <c r="E21" s="27">
        <f t="shared" si="13"/>
        <v>0</v>
      </c>
      <c r="F21" s="27">
        <f t="shared" si="13"/>
        <v>0</v>
      </c>
      <c r="G21" s="27">
        <f t="shared" si="13"/>
        <v>0</v>
      </c>
      <c r="H21" s="27">
        <f>SUM(H22:H23)</f>
        <v>0</v>
      </c>
      <c r="I21" s="27">
        <f t="shared" si="13"/>
        <v>0</v>
      </c>
      <c r="J21" s="27">
        <f t="shared" si="13"/>
        <v>0</v>
      </c>
      <c r="K21" s="27">
        <f t="shared" si="13"/>
        <v>0</v>
      </c>
      <c r="L21" s="27">
        <f t="shared" si="13"/>
        <v>0</v>
      </c>
      <c r="M21" s="27">
        <f t="shared" si="13"/>
        <v>0</v>
      </c>
      <c r="N21" s="27">
        <f t="shared" si="13"/>
        <v>2865.9375</v>
      </c>
      <c r="O21" s="27">
        <f t="shared" si="13"/>
        <v>1386.94688</v>
      </c>
      <c r="P21" s="27">
        <f t="shared" si="13"/>
        <v>4252.8843799999995</v>
      </c>
      <c r="Q21" s="27">
        <f t="shared" si="13"/>
        <v>0</v>
      </c>
      <c r="R21" s="27">
        <f t="shared" si="13"/>
        <v>0</v>
      </c>
      <c r="S21" s="27">
        <f t="shared" si="13"/>
        <v>0</v>
      </c>
      <c r="T21" s="27">
        <f t="shared" si="13"/>
        <v>0</v>
      </c>
      <c r="U21" s="27">
        <f t="shared" si="13"/>
        <v>0</v>
      </c>
      <c r="V21" s="27">
        <f t="shared" si="13"/>
        <v>0</v>
      </c>
      <c r="W21" s="27">
        <f t="shared" si="13"/>
        <v>0</v>
      </c>
      <c r="X21" s="27">
        <f t="shared" si="13"/>
        <v>0</v>
      </c>
      <c r="Y21" s="27">
        <f t="shared" si="13"/>
        <v>0</v>
      </c>
      <c r="Z21" s="27">
        <f t="shared" si="13"/>
        <v>0</v>
      </c>
      <c r="AA21" s="27">
        <f t="shared" si="13"/>
        <v>0</v>
      </c>
      <c r="AB21" s="27">
        <f t="shared" si="13"/>
        <v>0</v>
      </c>
      <c r="AC21" s="27">
        <f>SUM(AC22:AC23)</f>
        <v>0</v>
      </c>
      <c r="AD21" s="27">
        <f aca="true" t="shared" si="14" ref="AD21:AP21">SUM(AD22:AD23)</f>
        <v>0</v>
      </c>
      <c r="AE21" s="27">
        <f t="shared" si="14"/>
        <v>0</v>
      </c>
      <c r="AF21" s="27">
        <f t="shared" si="14"/>
        <v>0</v>
      </c>
      <c r="AG21" s="27">
        <f t="shared" si="14"/>
        <v>0</v>
      </c>
      <c r="AH21" s="27">
        <f t="shared" si="14"/>
        <v>0</v>
      </c>
      <c r="AI21" s="27">
        <f t="shared" si="14"/>
        <v>0</v>
      </c>
      <c r="AJ21" s="27">
        <f t="shared" si="14"/>
        <v>0</v>
      </c>
      <c r="AK21" s="27">
        <f t="shared" si="14"/>
        <v>0</v>
      </c>
      <c r="AL21" s="27">
        <f t="shared" si="14"/>
        <v>0</v>
      </c>
      <c r="AM21" s="27">
        <f t="shared" si="14"/>
        <v>0</v>
      </c>
      <c r="AN21" s="27">
        <f t="shared" si="14"/>
        <v>0</v>
      </c>
      <c r="AO21" s="27">
        <f t="shared" si="14"/>
        <v>0</v>
      </c>
      <c r="AP21" s="27">
        <f t="shared" si="14"/>
        <v>0</v>
      </c>
      <c r="AQ21" s="27">
        <f>SUM(AQ22:AQ23)</f>
        <v>0</v>
      </c>
      <c r="AR21" s="27">
        <f>SUM(AR22:AR23)</f>
        <v>0</v>
      </c>
      <c r="AS21" s="27">
        <f>SUM(AS22:AS23)</f>
        <v>0</v>
      </c>
      <c r="AT21" s="27">
        <f>SUM(AT22:AT23)</f>
        <v>0</v>
      </c>
      <c r="AU21" s="27">
        <f>SUM(AU22:AU23)</f>
        <v>0</v>
      </c>
    </row>
    <row r="22" spans="1:47" ht="12.75">
      <c r="A22" s="38" t="s">
        <v>21</v>
      </c>
      <c r="B22" s="27">
        <f>P22+AC22+AP22+AQ22+AR22+AS22+AT22+AU22</f>
        <v>4252.8843799999995</v>
      </c>
      <c r="C22" s="27"/>
      <c r="D22" s="29">
        <f>Инв!E14</f>
        <v>0</v>
      </c>
      <c r="E22" s="29">
        <f>Инв!F14</f>
        <v>0</v>
      </c>
      <c r="F22" s="29">
        <f>Инв!G14</f>
        <v>0</v>
      </c>
      <c r="G22" s="29">
        <f>Инв!H14</f>
        <v>0</v>
      </c>
      <c r="H22" s="29">
        <f>Инв!I14</f>
        <v>0</v>
      </c>
      <c r="I22" s="29">
        <f>Инв!J14</f>
        <v>0</v>
      </c>
      <c r="J22" s="29">
        <f>Инв!K14</f>
        <v>0</v>
      </c>
      <c r="K22" s="29">
        <f>Инв!L14</f>
        <v>0</v>
      </c>
      <c r="L22" s="29">
        <f>Инв!M14</f>
        <v>0</v>
      </c>
      <c r="M22" s="29">
        <f>Инв!N14</f>
        <v>0</v>
      </c>
      <c r="N22" s="29">
        <f>Инв!O14</f>
        <v>2865.9375</v>
      </c>
      <c r="O22" s="29">
        <f>Инв!P14</f>
        <v>1386.94688</v>
      </c>
      <c r="P22" s="27">
        <f>SUM(D22:O22)</f>
        <v>4252.8843799999995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>
        <f>SUM(AD22:AO22)</f>
        <v>0</v>
      </c>
      <c r="AQ22" s="27"/>
      <c r="AR22" s="27"/>
      <c r="AS22" s="27"/>
      <c r="AT22" s="27"/>
      <c r="AU22" s="27"/>
    </row>
    <row r="23" spans="1:47" ht="12.75" outlineLevel="1">
      <c r="A23" s="38"/>
      <c r="B23" s="27">
        <f>P23+AC23+AP23+AQ23+AR23+AS23+AT23+AU23</f>
        <v>0</v>
      </c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</row>
    <row r="24" spans="1:47" s="21" customFormat="1" ht="25.5">
      <c r="A24" s="39" t="s">
        <v>22</v>
      </c>
      <c r="B24" s="18">
        <f>B20-B21</f>
        <v>-4252.8843799999995</v>
      </c>
      <c r="C24" s="18"/>
      <c r="D24" s="18">
        <f>D20-D21</f>
        <v>0</v>
      </c>
      <c r="E24" s="18">
        <f aca="true" t="shared" si="15" ref="E24:AB24">E20-E21</f>
        <v>0</v>
      </c>
      <c r="F24" s="18">
        <f t="shared" si="15"/>
        <v>0</v>
      </c>
      <c r="G24" s="18">
        <f t="shared" si="15"/>
        <v>0</v>
      </c>
      <c r="H24" s="18">
        <f t="shared" si="15"/>
        <v>0</v>
      </c>
      <c r="I24" s="18">
        <f t="shared" si="15"/>
        <v>0</v>
      </c>
      <c r="J24" s="18">
        <f>J20-J21</f>
        <v>0</v>
      </c>
      <c r="K24" s="18">
        <f t="shared" si="15"/>
        <v>0</v>
      </c>
      <c r="L24" s="18">
        <f t="shared" si="15"/>
        <v>0</v>
      </c>
      <c r="M24" s="18">
        <f t="shared" si="15"/>
        <v>0</v>
      </c>
      <c r="N24" s="18">
        <f t="shared" si="15"/>
        <v>-2865.9375</v>
      </c>
      <c r="O24" s="18">
        <f t="shared" si="15"/>
        <v>-1386.94688</v>
      </c>
      <c r="P24" s="18">
        <f>SUM(D24:O24)</f>
        <v>-4252.8843799999995</v>
      </c>
      <c r="Q24" s="18">
        <f t="shared" si="15"/>
        <v>0</v>
      </c>
      <c r="R24" s="18">
        <f t="shared" si="15"/>
        <v>0</v>
      </c>
      <c r="S24" s="18">
        <f t="shared" si="15"/>
        <v>0</v>
      </c>
      <c r="T24" s="18">
        <f t="shared" si="15"/>
        <v>0</v>
      </c>
      <c r="U24" s="18">
        <f t="shared" si="15"/>
        <v>0</v>
      </c>
      <c r="V24" s="18">
        <f t="shared" si="15"/>
        <v>0</v>
      </c>
      <c r="W24" s="18">
        <f t="shared" si="15"/>
        <v>0</v>
      </c>
      <c r="X24" s="18">
        <f t="shared" si="15"/>
        <v>0</v>
      </c>
      <c r="Y24" s="18">
        <f t="shared" si="15"/>
        <v>0</v>
      </c>
      <c r="Z24" s="18">
        <f t="shared" si="15"/>
        <v>0</v>
      </c>
      <c r="AA24" s="18">
        <f t="shared" si="15"/>
        <v>0</v>
      </c>
      <c r="AB24" s="18">
        <f t="shared" si="15"/>
        <v>0</v>
      </c>
      <c r="AC24" s="18">
        <f>SUM(Q24:AB24)</f>
        <v>0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>
        <f>SUM(AD24:AO24)</f>
        <v>0</v>
      </c>
      <c r="AQ24" s="18"/>
      <c r="AR24" s="18"/>
      <c r="AS24" s="18"/>
      <c r="AT24" s="18"/>
      <c r="AU24" s="18"/>
    </row>
    <row r="25" spans="1:47" s="43" customFormat="1" ht="12.75">
      <c r="A25" s="40" t="s">
        <v>23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2"/>
      <c r="AR25" s="42"/>
      <c r="AS25" s="42"/>
      <c r="AT25" s="42"/>
      <c r="AU25" s="42"/>
    </row>
    <row r="26" spans="1:47" s="21" customFormat="1" ht="12.75">
      <c r="A26" s="22" t="s">
        <v>24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6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36"/>
      <c r="AQ26" s="36"/>
      <c r="AR26" s="36"/>
      <c r="AS26" s="36"/>
      <c r="AT26" s="36"/>
      <c r="AU26" s="36"/>
    </row>
    <row r="27" spans="1:47" s="21" customFormat="1" ht="12.75">
      <c r="A27" s="26" t="s">
        <v>6</v>
      </c>
      <c r="B27" s="27">
        <f>SUM(B28:B29)</f>
        <v>7044.774183437499</v>
      </c>
      <c r="C27" s="27"/>
      <c r="D27" s="27">
        <f>SUM(D28:D29)</f>
        <v>0</v>
      </c>
      <c r="E27" s="27">
        <f aca="true" t="shared" si="16" ref="E27:O27">SUM(E28:E29)</f>
        <v>0</v>
      </c>
      <c r="F27" s="27">
        <f t="shared" si="16"/>
        <v>0</v>
      </c>
      <c r="G27" s="27">
        <f t="shared" si="16"/>
        <v>0</v>
      </c>
      <c r="H27" s="27">
        <f t="shared" si="16"/>
        <v>0</v>
      </c>
      <c r="I27" s="27">
        <f t="shared" si="16"/>
        <v>0</v>
      </c>
      <c r="J27" s="27">
        <f t="shared" si="16"/>
        <v>0</v>
      </c>
      <c r="K27" s="27">
        <f t="shared" si="16"/>
        <v>0</v>
      </c>
      <c r="L27" s="27">
        <f t="shared" si="16"/>
        <v>0</v>
      </c>
      <c r="M27" s="27">
        <f t="shared" si="16"/>
        <v>0</v>
      </c>
      <c r="N27" s="27">
        <f t="shared" si="16"/>
        <v>4252.8843799999995</v>
      </c>
      <c r="O27" s="27">
        <f t="shared" si="16"/>
        <v>279.6255</v>
      </c>
      <c r="P27" s="27">
        <f aca="true" t="shared" si="17" ref="P27:AB27">SUM(P28:P29)</f>
        <v>4532.50988</v>
      </c>
      <c r="Q27" s="27">
        <f t="shared" si="17"/>
        <v>481.40736614583335</v>
      </c>
      <c r="R27" s="27">
        <f t="shared" si="17"/>
        <v>481.40736614583335</v>
      </c>
      <c r="S27" s="27">
        <f t="shared" si="17"/>
        <v>1549.4495711458335</v>
      </c>
      <c r="T27" s="27">
        <f t="shared" si="17"/>
        <v>0</v>
      </c>
      <c r="U27" s="27">
        <f t="shared" si="17"/>
        <v>0</v>
      </c>
      <c r="V27" s="27">
        <f t="shared" si="17"/>
        <v>0</v>
      </c>
      <c r="W27" s="27">
        <f t="shared" si="17"/>
        <v>0</v>
      </c>
      <c r="X27" s="27">
        <f t="shared" si="17"/>
        <v>0</v>
      </c>
      <c r="Y27" s="27">
        <f t="shared" si="17"/>
        <v>0</v>
      </c>
      <c r="Z27" s="27">
        <f t="shared" si="17"/>
        <v>0</v>
      </c>
      <c r="AA27" s="27">
        <f t="shared" si="17"/>
        <v>0</v>
      </c>
      <c r="AB27" s="27">
        <f t="shared" si="17"/>
        <v>0</v>
      </c>
      <c r="AC27" s="27">
        <f>SUM(AC28:AC29)</f>
        <v>2512.2643034375</v>
      </c>
      <c r="AD27" s="27">
        <f aca="true" t="shared" si="18" ref="AD27:AP27">SUM(AD28:AD29)</f>
        <v>0</v>
      </c>
      <c r="AE27" s="27">
        <f t="shared" si="18"/>
        <v>0</v>
      </c>
      <c r="AF27" s="27">
        <f t="shared" si="18"/>
        <v>0</v>
      </c>
      <c r="AG27" s="27">
        <f t="shared" si="18"/>
        <v>0</v>
      </c>
      <c r="AH27" s="27">
        <f t="shared" si="18"/>
        <v>0</v>
      </c>
      <c r="AI27" s="27">
        <f t="shared" si="18"/>
        <v>0</v>
      </c>
      <c r="AJ27" s="27">
        <f t="shared" si="18"/>
        <v>0</v>
      </c>
      <c r="AK27" s="27">
        <f t="shared" si="18"/>
        <v>0</v>
      </c>
      <c r="AL27" s="27">
        <f t="shared" si="18"/>
        <v>0</v>
      </c>
      <c r="AM27" s="27">
        <f t="shared" si="18"/>
        <v>0</v>
      </c>
      <c r="AN27" s="27">
        <f t="shared" si="18"/>
        <v>0</v>
      </c>
      <c r="AO27" s="27">
        <f t="shared" si="18"/>
        <v>0</v>
      </c>
      <c r="AP27" s="27">
        <f t="shared" si="18"/>
        <v>0</v>
      </c>
      <c r="AQ27" s="27">
        <f>SUM(AQ28:AQ29)</f>
        <v>0</v>
      </c>
      <c r="AR27" s="27">
        <f>SUM(AR28:AR29)</f>
        <v>0</v>
      </c>
      <c r="AS27" s="27">
        <f>SUM(AS28:AS29)</f>
        <v>0</v>
      </c>
      <c r="AT27" s="27">
        <f>SUM(AT28:AT29)</f>
        <v>0</v>
      </c>
      <c r="AU27" s="27">
        <f>SUM(AU28:AU29)</f>
        <v>0</v>
      </c>
    </row>
    <row r="28" spans="1:47" ht="12.75" customHeight="1">
      <c r="A28" s="38" t="s">
        <v>56</v>
      </c>
      <c r="B28" s="27">
        <f>P28+AC28+AP28+AQ28+AR28+AS28+AT28+AU28</f>
        <v>2791.8898034375</v>
      </c>
      <c r="C28" s="2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>
        <f>N12+N14</f>
        <v>0</v>
      </c>
      <c r="O28" s="29">
        <f>O12+O14</f>
        <v>279.6255</v>
      </c>
      <c r="P28" s="27">
        <f>SUM(D28:O28)</f>
        <v>279.6255</v>
      </c>
      <c r="Q28" s="29">
        <f>Q12+Q13+Q14</f>
        <v>481.40736614583335</v>
      </c>
      <c r="R28" s="29">
        <f>R12+R13+R14</f>
        <v>481.40736614583335</v>
      </c>
      <c r="S28" s="33">
        <f>S12+S13+S14+1000</f>
        <v>1549.4495711458335</v>
      </c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2512.2643034375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>
        <f>SUM(AD28:AO28)</f>
        <v>0</v>
      </c>
      <c r="AQ28" s="27"/>
      <c r="AR28" s="27"/>
      <c r="AS28" s="27"/>
      <c r="AT28" s="27"/>
      <c r="AU28" s="27"/>
    </row>
    <row r="29" spans="1:47" ht="12.75">
      <c r="A29" s="44" t="s">
        <v>159</v>
      </c>
      <c r="B29" s="27">
        <f>P29+AC29+AP29+AQ29+AR29+AS29+AT29+AU29</f>
        <v>4252.8843799999995</v>
      </c>
      <c r="C29" s="27"/>
      <c r="D29" s="29"/>
      <c r="E29" s="29"/>
      <c r="F29" s="29"/>
      <c r="G29" s="29"/>
      <c r="H29" s="29"/>
      <c r="I29" s="29"/>
      <c r="J29" s="29"/>
      <c r="K29" s="29">
        <f>K21</f>
        <v>0</v>
      </c>
      <c r="L29" s="29">
        <f>L21</f>
        <v>0</v>
      </c>
      <c r="M29" s="29">
        <f>M21</f>
        <v>0</v>
      </c>
      <c r="N29" s="29">
        <f>N21+O21</f>
        <v>4252.8843799999995</v>
      </c>
      <c r="O29" s="29"/>
      <c r="P29" s="27">
        <f>SUM(D29:O29)</f>
        <v>4252.8843799999995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0</v>
      </c>
      <c r="AD29" s="29"/>
      <c r="AE29" s="29"/>
      <c r="AF29" s="29"/>
      <c r="AG29" s="29"/>
      <c r="AH29" s="29"/>
      <c r="AI29" s="29"/>
      <c r="AJ29" s="45"/>
      <c r="AK29" s="45"/>
      <c r="AL29" s="45"/>
      <c r="AM29" s="45"/>
      <c r="AN29" s="45"/>
      <c r="AO29" s="45"/>
      <c r="AP29" s="27">
        <f>SUM(AD29:AO29)</f>
        <v>0</v>
      </c>
      <c r="AQ29" s="27"/>
      <c r="AR29" s="27"/>
      <c r="AS29" s="27"/>
      <c r="AT29" s="27"/>
      <c r="AU29" s="27"/>
    </row>
    <row r="30" spans="1:47" s="21" customFormat="1" ht="12.75">
      <c r="A30" s="26" t="s">
        <v>7</v>
      </c>
      <c r="B30" s="27">
        <f>SUM(B31:B32)</f>
        <v>4401.735333299981</v>
      </c>
      <c r="C30" s="27"/>
      <c r="D30" s="27">
        <f>SUM(D31:D32)</f>
        <v>0</v>
      </c>
      <c r="E30" s="27">
        <f aca="true" t="shared" si="19" ref="E30:AR30">SUM(E31:E32)</f>
        <v>0</v>
      </c>
      <c r="F30" s="27">
        <f t="shared" si="19"/>
        <v>0</v>
      </c>
      <c r="G30" s="27">
        <f t="shared" si="19"/>
        <v>0</v>
      </c>
      <c r="H30" s="27">
        <f t="shared" si="19"/>
        <v>0</v>
      </c>
      <c r="I30" s="27">
        <f>SUM(I31:I32)</f>
        <v>0</v>
      </c>
      <c r="J30" s="27">
        <f t="shared" si="19"/>
        <v>0</v>
      </c>
      <c r="K30" s="27">
        <f t="shared" si="19"/>
        <v>0</v>
      </c>
      <c r="L30" s="27">
        <f t="shared" si="19"/>
        <v>0</v>
      </c>
      <c r="M30" s="27">
        <f t="shared" si="19"/>
        <v>0</v>
      </c>
      <c r="N30" s="27">
        <f t="shared" si="19"/>
        <v>0</v>
      </c>
      <c r="O30" s="27">
        <f t="shared" si="19"/>
        <v>0</v>
      </c>
      <c r="P30" s="27">
        <f t="shared" si="19"/>
        <v>0</v>
      </c>
      <c r="Q30" s="27">
        <f t="shared" si="19"/>
        <v>0</v>
      </c>
      <c r="R30" s="27">
        <f t="shared" si="19"/>
        <v>0</v>
      </c>
      <c r="S30" s="27">
        <f t="shared" si="19"/>
        <v>0</v>
      </c>
      <c r="T30" s="27">
        <f t="shared" si="19"/>
        <v>0</v>
      </c>
      <c r="U30" s="27">
        <f t="shared" si="19"/>
        <v>0</v>
      </c>
      <c r="V30" s="27">
        <f t="shared" si="19"/>
        <v>0</v>
      </c>
      <c r="W30" s="27">
        <f t="shared" si="19"/>
        <v>0</v>
      </c>
      <c r="X30" s="27">
        <f t="shared" si="19"/>
        <v>0</v>
      </c>
      <c r="Y30" s="27">
        <f t="shared" si="19"/>
        <v>46.952888452777714</v>
      </c>
      <c r="Z30" s="27">
        <f t="shared" si="19"/>
        <v>47.22678030208557</v>
      </c>
      <c r="AA30" s="27">
        <f t="shared" si="19"/>
        <v>47.50226985384775</v>
      </c>
      <c r="AB30" s="27">
        <f t="shared" si="19"/>
        <v>47.779366427995186</v>
      </c>
      <c r="AC30" s="27">
        <f>SUM(AC31:AC32)</f>
        <v>189.46130503670622</v>
      </c>
      <c r="AD30" s="27">
        <f aca="true" t="shared" si="20" ref="AD30:AP30">SUM(AD31:AD32)</f>
        <v>48.05807939882517</v>
      </c>
      <c r="AE30" s="27">
        <f t="shared" si="20"/>
        <v>48.33841819531831</v>
      </c>
      <c r="AF30" s="27">
        <f t="shared" si="20"/>
        <v>48.62039230145767</v>
      </c>
      <c r="AG30" s="27">
        <f t="shared" si="20"/>
        <v>48.90401125654951</v>
      </c>
      <c r="AH30" s="27">
        <f t="shared" si="20"/>
        <v>49.18928465554605</v>
      </c>
      <c r="AI30" s="27">
        <f t="shared" si="20"/>
        <v>49.47622214937006</v>
      </c>
      <c r="AJ30" s="27">
        <f t="shared" si="20"/>
        <v>49.76483344524139</v>
      </c>
      <c r="AK30" s="27">
        <f t="shared" si="20"/>
        <v>50.055128307005305</v>
      </c>
      <c r="AL30" s="27">
        <f t="shared" si="20"/>
        <v>50.34711655546283</v>
      </c>
      <c r="AM30" s="27">
        <f t="shared" si="20"/>
        <v>50.64080806870302</v>
      </c>
      <c r="AN30" s="27">
        <f t="shared" si="20"/>
        <v>50.936212782437124</v>
      </c>
      <c r="AO30" s="27">
        <f t="shared" si="20"/>
        <v>51.23334069033467</v>
      </c>
      <c r="AP30" s="27">
        <f t="shared" si="20"/>
        <v>595.563847806251</v>
      </c>
      <c r="AQ30" s="27">
        <f t="shared" si="19"/>
        <v>638.6172065192159</v>
      </c>
      <c r="AR30" s="27">
        <f t="shared" si="19"/>
        <v>684.7828960146735</v>
      </c>
      <c r="AS30" s="27">
        <f>SUM(AS31:AS32)</f>
        <v>734.2859069365412</v>
      </c>
      <c r="AT30" s="27">
        <f>SUM(AT31:AT32)</f>
        <v>787.3674945205781</v>
      </c>
      <c r="AU30" s="27">
        <f>SUM(AU31:AU32)</f>
        <v>771.6566764660149</v>
      </c>
    </row>
    <row r="31" spans="1:47" ht="12.75">
      <c r="A31" s="28" t="s">
        <v>33</v>
      </c>
      <c r="B31" s="27">
        <f>P31+AC31+AP31+AQ31+AR31+AS31+AT31+AU31</f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>
        <f>SUM(D31:O31)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7">
        <f>SUM(Q31:AB31)</f>
        <v>0</v>
      </c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7">
        <f>SUM(AD31:AO31)</f>
        <v>0</v>
      </c>
      <c r="AQ31" s="27"/>
      <c r="AR31" s="27"/>
      <c r="AS31" s="27"/>
      <c r="AT31" s="27"/>
      <c r="AU31" s="27"/>
    </row>
    <row r="32" spans="1:47" ht="13.5" customHeight="1">
      <c r="A32" s="38" t="s">
        <v>158</v>
      </c>
      <c r="B32" s="27">
        <f>P32+AC32+AP32+AQ32+AR32+AS32+AT32+AU32</f>
        <v>4401.735333299981</v>
      </c>
      <c r="C32" s="27"/>
      <c r="D32" s="34">
        <f>кр!C25</f>
        <v>0</v>
      </c>
      <c r="E32" s="34">
        <f>кр!D25</f>
        <v>0</v>
      </c>
      <c r="F32" s="34">
        <f>кр!E25</f>
        <v>0</v>
      </c>
      <c r="G32" s="34">
        <f>кр!F25</f>
        <v>0</v>
      </c>
      <c r="H32" s="34">
        <f>кр!G25</f>
        <v>0</v>
      </c>
      <c r="I32" s="34">
        <f>кр!H25</f>
        <v>0</v>
      </c>
      <c r="J32" s="34">
        <f>кр!I25</f>
        <v>0</v>
      </c>
      <c r="K32" s="34">
        <f>кр!J25</f>
        <v>0</v>
      </c>
      <c r="L32" s="34">
        <f>кр!K25</f>
        <v>0</v>
      </c>
      <c r="M32" s="34">
        <f>кр!L25</f>
        <v>0</v>
      </c>
      <c r="N32" s="34">
        <f>кр!M25</f>
        <v>0</v>
      </c>
      <c r="O32" s="34">
        <f>кр!N25</f>
        <v>0</v>
      </c>
      <c r="P32" s="27">
        <f>SUM(D32:O32)</f>
        <v>0</v>
      </c>
      <c r="Q32" s="34">
        <f>кр!P25</f>
        <v>0</v>
      </c>
      <c r="R32" s="34">
        <f>кр!Q25</f>
        <v>0</v>
      </c>
      <c r="S32" s="34">
        <f>кр!R25</f>
        <v>0</v>
      </c>
      <c r="T32" s="34">
        <f>кр!S25</f>
        <v>0</v>
      </c>
      <c r="U32" s="34">
        <f>кр!T25</f>
        <v>0</v>
      </c>
      <c r="V32" s="34">
        <f>кр!U25</f>
        <v>0</v>
      </c>
      <c r="W32" s="34">
        <f>кр!V25</f>
        <v>0</v>
      </c>
      <c r="X32" s="34">
        <f>кр!W25</f>
        <v>0</v>
      </c>
      <c r="Y32" s="34">
        <f>кр!X25</f>
        <v>46.952888452777714</v>
      </c>
      <c r="Z32" s="34">
        <f>кр!Y25</f>
        <v>47.22678030208557</v>
      </c>
      <c r="AA32" s="34">
        <f>кр!Z25</f>
        <v>47.50226985384775</v>
      </c>
      <c r="AB32" s="34">
        <f>кр!AA25</f>
        <v>47.779366427995186</v>
      </c>
      <c r="AC32" s="27">
        <f>SUM(Q32:AB32)</f>
        <v>189.46130503670622</v>
      </c>
      <c r="AD32" s="34">
        <f>кр!AC25</f>
        <v>48.05807939882517</v>
      </c>
      <c r="AE32" s="34">
        <f>кр!AD25</f>
        <v>48.33841819531831</v>
      </c>
      <c r="AF32" s="34">
        <f>кр!AE25</f>
        <v>48.62039230145767</v>
      </c>
      <c r="AG32" s="34">
        <f>кр!AF25</f>
        <v>48.90401125654951</v>
      </c>
      <c r="AH32" s="34">
        <f>кр!AG25</f>
        <v>49.18928465554605</v>
      </c>
      <c r="AI32" s="34">
        <f>кр!AH25</f>
        <v>49.47622214937006</v>
      </c>
      <c r="AJ32" s="34">
        <f>кр!AI25</f>
        <v>49.76483344524139</v>
      </c>
      <c r="AK32" s="34">
        <f>кр!AJ25</f>
        <v>50.055128307005305</v>
      </c>
      <c r="AL32" s="34">
        <f>кр!AK25</f>
        <v>50.34711655546283</v>
      </c>
      <c r="AM32" s="34">
        <f>кр!AL25</f>
        <v>50.64080806870302</v>
      </c>
      <c r="AN32" s="34">
        <f>кр!AM25</f>
        <v>50.936212782437124</v>
      </c>
      <c r="AO32" s="34">
        <f>кр!AN25</f>
        <v>51.23334069033467</v>
      </c>
      <c r="AP32" s="27">
        <f>SUM(AD32:AO32)</f>
        <v>595.563847806251</v>
      </c>
      <c r="AQ32" s="34">
        <f>кр!BB25</f>
        <v>638.6172065192159</v>
      </c>
      <c r="AR32" s="34">
        <f>кр!BO25</f>
        <v>684.7828960146735</v>
      </c>
      <c r="AS32" s="34">
        <f>кр!CB25</f>
        <v>734.2859069365412</v>
      </c>
      <c r="AT32" s="34">
        <f>кр!CO25</f>
        <v>787.3674945205781</v>
      </c>
      <c r="AU32" s="34">
        <f>кр!DB25</f>
        <v>771.6566764660149</v>
      </c>
    </row>
    <row r="33" spans="1:47" s="21" customFormat="1" ht="12.75">
      <c r="A33" s="39" t="s">
        <v>25</v>
      </c>
      <c r="B33" s="18">
        <f>B27-B30</f>
        <v>2643.0388501375182</v>
      </c>
      <c r="C33" s="18"/>
      <c r="D33" s="18">
        <f>D27-D30</f>
        <v>0</v>
      </c>
      <c r="E33" s="18">
        <f aca="true" t="shared" si="21" ref="E33:AR33">E27-E30</f>
        <v>0</v>
      </c>
      <c r="F33" s="18">
        <f t="shared" si="21"/>
        <v>0</v>
      </c>
      <c r="G33" s="18">
        <f t="shared" si="21"/>
        <v>0</v>
      </c>
      <c r="H33" s="18">
        <f t="shared" si="21"/>
        <v>0</v>
      </c>
      <c r="I33" s="18">
        <f t="shared" si="21"/>
        <v>0</v>
      </c>
      <c r="J33" s="18">
        <f t="shared" si="21"/>
        <v>0</v>
      </c>
      <c r="K33" s="18">
        <f t="shared" si="21"/>
        <v>0</v>
      </c>
      <c r="L33" s="18">
        <f t="shared" si="21"/>
        <v>0</v>
      </c>
      <c r="M33" s="18">
        <f t="shared" si="21"/>
        <v>0</v>
      </c>
      <c r="N33" s="18">
        <f t="shared" si="21"/>
        <v>4252.8843799999995</v>
      </c>
      <c r="O33" s="18">
        <f t="shared" si="21"/>
        <v>279.6255</v>
      </c>
      <c r="P33" s="18">
        <f t="shared" si="21"/>
        <v>4532.50988</v>
      </c>
      <c r="Q33" s="18">
        <f t="shared" si="21"/>
        <v>481.40736614583335</v>
      </c>
      <c r="R33" s="18">
        <f t="shared" si="21"/>
        <v>481.40736614583335</v>
      </c>
      <c r="S33" s="18">
        <f t="shared" si="21"/>
        <v>1549.4495711458335</v>
      </c>
      <c r="T33" s="18">
        <f t="shared" si="21"/>
        <v>0</v>
      </c>
      <c r="U33" s="18">
        <f t="shared" si="21"/>
        <v>0</v>
      </c>
      <c r="V33" s="18">
        <f t="shared" si="21"/>
        <v>0</v>
      </c>
      <c r="W33" s="18">
        <f t="shared" si="21"/>
        <v>0</v>
      </c>
      <c r="X33" s="18">
        <f t="shared" si="21"/>
        <v>0</v>
      </c>
      <c r="Y33" s="18">
        <f t="shared" si="21"/>
        <v>-46.952888452777714</v>
      </c>
      <c r="Z33" s="18">
        <f t="shared" si="21"/>
        <v>-47.22678030208557</v>
      </c>
      <c r="AA33" s="18">
        <f t="shared" si="21"/>
        <v>-47.50226985384775</v>
      </c>
      <c r="AB33" s="18">
        <f t="shared" si="21"/>
        <v>-47.779366427995186</v>
      </c>
      <c r="AC33" s="18">
        <f>AC27-AC30</f>
        <v>2322.802998400794</v>
      </c>
      <c r="AD33" s="18">
        <f aca="true" t="shared" si="22" ref="AD33:AP33">AD27-AD30</f>
        <v>-48.05807939882517</v>
      </c>
      <c r="AE33" s="18">
        <f t="shared" si="22"/>
        <v>-48.33841819531831</v>
      </c>
      <c r="AF33" s="18">
        <f t="shared" si="22"/>
        <v>-48.62039230145767</v>
      </c>
      <c r="AG33" s="18">
        <f t="shared" si="22"/>
        <v>-48.90401125654951</v>
      </c>
      <c r="AH33" s="18">
        <f t="shared" si="22"/>
        <v>-49.18928465554605</v>
      </c>
      <c r="AI33" s="18">
        <f t="shared" si="22"/>
        <v>-49.47622214937006</v>
      </c>
      <c r="AJ33" s="18">
        <f t="shared" si="22"/>
        <v>-49.76483344524139</v>
      </c>
      <c r="AK33" s="18">
        <f t="shared" si="22"/>
        <v>-50.055128307005305</v>
      </c>
      <c r="AL33" s="18">
        <f t="shared" si="22"/>
        <v>-50.34711655546283</v>
      </c>
      <c r="AM33" s="18">
        <f t="shared" si="22"/>
        <v>-50.64080806870302</v>
      </c>
      <c r="AN33" s="18">
        <f t="shared" si="22"/>
        <v>-50.936212782437124</v>
      </c>
      <c r="AO33" s="18">
        <f t="shared" si="22"/>
        <v>-51.23334069033467</v>
      </c>
      <c r="AP33" s="18">
        <f t="shared" si="22"/>
        <v>-595.563847806251</v>
      </c>
      <c r="AQ33" s="18">
        <f t="shared" si="21"/>
        <v>-638.6172065192159</v>
      </c>
      <c r="AR33" s="18">
        <f t="shared" si="21"/>
        <v>-684.7828960146735</v>
      </c>
      <c r="AS33" s="18">
        <f>AS27-AS30</f>
        <v>-734.2859069365412</v>
      </c>
      <c r="AT33" s="18">
        <f>AT27-AT30</f>
        <v>-787.3674945205781</v>
      </c>
      <c r="AU33" s="18">
        <f>AU27-AU30</f>
        <v>-771.6566764660149</v>
      </c>
    </row>
    <row r="34" spans="1:47" s="48" customFormat="1" ht="12.75">
      <c r="A34" s="46" t="s">
        <v>26</v>
      </c>
      <c r="B34" s="47">
        <f>B18+B24+B33</f>
        <v>10563.00338613221</v>
      </c>
      <c r="C34" s="27"/>
      <c r="D34" s="47">
        <f>D18+D24+D33</f>
        <v>0</v>
      </c>
      <c r="E34" s="47">
        <f aca="true" t="shared" si="23" ref="E34:AR34">E18+E24+E33</f>
        <v>0</v>
      </c>
      <c r="F34" s="47">
        <f t="shared" si="23"/>
        <v>0</v>
      </c>
      <c r="G34" s="47">
        <f t="shared" si="23"/>
        <v>0</v>
      </c>
      <c r="H34" s="47">
        <f t="shared" si="23"/>
        <v>0</v>
      </c>
      <c r="I34" s="47">
        <f t="shared" si="23"/>
        <v>0</v>
      </c>
      <c r="J34" s="47">
        <f t="shared" si="23"/>
        <v>0</v>
      </c>
      <c r="K34" s="47">
        <f t="shared" si="23"/>
        <v>0</v>
      </c>
      <c r="L34" s="47">
        <f t="shared" si="23"/>
        <v>0</v>
      </c>
      <c r="M34" s="47">
        <f t="shared" si="23"/>
        <v>0</v>
      </c>
      <c r="N34" s="47">
        <f t="shared" si="23"/>
        <v>1386.9468799999995</v>
      </c>
      <c r="O34" s="47">
        <f t="shared" si="23"/>
        <v>-1386.94688</v>
      </c>
      <c r="P34" s="47">
        <f t="shared" si="23"/>
        <v>0</v>
      </c>
      <c r="Q34" s="47">
        <f t="shared" si="23"/>
        <v>0</v>
      </c>
      <c r="R34" s="47">
        <f t="shared" si="23"/>
        <v>0</v>
      </c>
      <c r="S34" s="47">
        <f t="shared" si="23"/>
        <v>1315.2777512500002</v>
      </c>
      <c r="T34" s="47">
        <f t="shared" si="23"/>
        <v>-163.1003386458334</v>
      </c>
      <c r="U34" s="47">
        <f t="shared" si="23"/>
        <v>-191.06288864583337</v>
      </c>
      <c r="V34" s="47">
        <f t="shared" si="23"/>
        <v>729.0935756599166</v>
      </c>
      <c r="W34" s="47">
        <f t="shared" si="23"/>
        <v>932.9852746624468</v>
      </c>
      <c r="X34" s="47">
        <f t="shared" si="23"/>
        <v>323.6949715596189</v>
      </c>
      <c r="Y34" s="47">
        <f t="shared" si="23"/>
        <v>27.06503340784154</v>
      </c>
      <c r="Z34" s="47">
        <f t="shared" si="23"/>
        <v>-160.2009706218879</v>
      </c>
      <c r="AA34" s="47">
        <f t="shared" si="23"/>
        <v>-680.3697555146907</v>
      </c>
      <c r="AB34" s="47">
        <f t="shared" si="23"/>
        <v>-784.410172453165</v>
      </c>
      <c r="AC34" s="47">
        <f>AC18+AC24+AC33</f>
        <v>1348.9724806584168</v>
      </c>
      <c r="AD34" s="47">
        <f aca="true" t="shared" si="24" ref="AD34:AP34">AD18+AD24+AD33</f>
        <v>-766.42529182229</v>
      </c>
      <c r="AE34" s="47">
        <f t="shared" si="24"/>
        <v>-401.0526536461847</v>
      </c>
      <c r="AF34" s="47">
        <f t="shared" si="24"/>
        <v>-157.473747309369</v>
      </c>
      <c r="AG34" s="47">
        <f t="shared" si="24"/>
        <v>86.10510968197836</v>
      </c>
      <c r="AH34" s="47">
        <f t="shared" si="24"/>
        <v>573.2712826000085</v>
      </c>
      <c r="AI34" s="47">
        <f t="shared" si="24"/>
        <v>938.6437228151937</v>
      </c>
      <c r="AJ34" s="47">
        <f t="shared" si="24"/>
        <v>1182.2224300363177</v>
      </c>
      <c r="AK34" s="47">
        <f t="shared" si="24"/>
        <v>1060.4200384104645</v>
      </c>
      <c r="AL34" s="47">
        <f t="shared" si="24"/>
        <v>451.4428648630109</v>
      </c>
      <c r="AM34" s="47">
        <f t="shared" si="24"/>
        <v>-35.74067700238609</v>
      </c>
      <c r="AN34" s="47">
        <f t="shared" si="24"/>
        <v>-644.7179530437983</v>
      </c>
      <c r="AO34" s="47">
        <f t="shared" si="24"/>
        <v>-766.5205496610353</v>
      </c>
      <c r="AP34" s="47">
        <f t="shared" si="24"/>
        <v>1520.174575921913</v>
      </c>
      <c r="AQ34" s="47">
        <f t="shared" si="23"/>
        <v>1521.6629345355204</v>
      </c>
      <c r="AR34" s="47">
        <f t="shared" si="23"/>
        <v>1523.0579232256578</v>
      </c>
      <c r="AS34" s="47">
        <f>AS18+AS24+AS33</f>
        <v>1524.3527922730036</v>
      </c>
      <c r="AT34" s="47">
        <f>AT18+AT24+AT33</f>
        <v>1525.5403040204806</v>
      </c>
      <c r="AU34" s="47">
        <f>AU18+AU24+AU33</f>
        <v>1599.242375497235</v>
      </c>
    </row>
    <row r="35" spans="1:55" s="21" customFormat="1" ht="12.75">
      <c r="A35" s="49" t="s">
        <v>55</v>
      </c>
      <c r="B35" s="27">
        <f>B7+B18+B24+B33</f>
        <v>10563.00338613221</v>
      </c>
      <c r="C35" s="50"/>
      <c r="D35" s="51">
        <f aca="true" t="shared" si="25" ref="D35:O35">D7+D18+D24+D33</f>
        <v>0</v>
      </c>
      <c r="E35" s="51">
        <f t="shared" si="25"/>
        <v>0</v>
      </c>
      <c r="F35" s="51">
        <f t="shared" si="25"/>
        <v>0</v>
      </c>
      <c r="G35" s="51">
        <f t="shared" si="25"/>
        <v>0</v>
      </c>
      <c r="H35" s="51">
        <f t="shared" si="25"/>
        <v>0</v>
      </c>
      <c r="I35" s="51">
        <f t="shared" si="25"/>
        <v>0</v>
      </c>
      <c r="J35" s="51">
        <f t="shared" si="25"/>
        <v>0</v>
      </c>
      <c r="K35" s="51">
        <f t="shared" si="25"/>
        <v>0</v>
      </c>
      <c r="L35" s="51">
        <f t="shared" si="25"/>
        <v>0</v>
      </c>
      <c r="M35" s="51">
        <f t="shared" si="25"/>
        <v>0</v>
      </c>
      <c r="N35" s="51">
        <f t="shared" si="25"/>
        <v>1386.9468799999995</v>
      </c>
      <c r="O35" s="51">
        <f t="shared" si="25"/>
        <v>-5.684341886080801E-13</v>
      </c>
      <c r="P35" s="52">
        <f>O35</f>
        <v>-5.684341886080801E-13</v>
      </c>
      <c r="Q35" s="51">
        <f>P35+Q18+Q24+Q33</f>
        <v>-5.684341886080801E-13</v>
      </c>
      <c r="R35" s="51">
        <f aca="true" t="shared" si="26" ref="R35:AB35">Q35+R18+R24+R33</f>
        <v>-5.684341886080801E-13</v>
      </c>
      <c r="S35" s="51">
        <f t="shared" si="26"/>
        <v>1315.2777512499995</v>
      </c>
      <c r="T35" s="51">
        <f t="shared" si="26"/>
        <v>1152.177412604166</v>
      </c>
      <c r="U35" s="51">
        <f t="shared" si="26"/>
        <v>961.1145239583326</v>
      </c>
      <c r="V35" s="51">
        <f t="shared" si="26"/>
        <v>1690.2080996182492</v>
      </c>
      <c r="W35" s="51">
        <f t="shared" si="26"/>
        <v>2623.193374280696</v>
      </c>
      <c r="X35" s="51">
        <f t="shared" si="26"/>
        <v>2946.8883458403147</v>
      </c>
      <c r="Y35" s="51">
        <f t="shared" si="26"/>
        <v>2973.9533792481566</v>
      </c>
      <c r="Z35" s="51">
        <f t="shared" si="26"/>
        <v>2813.752408626269</v>
      </c>
      <c r="AA35" s="51">
        <f t="shared" si="26"/>
        <v>2133.3826531115783</v>
      </c>
      <c r="AB35" s="51">
        <f t="shared" si="26"/>
        <v>1348.9724806584131</v>
      </c>
      <c r="AC35" s="52">
        <f>AB35</f>
        <v>1348.9724806584131</v>
      </c>
      <c r="AD35" s="51">
        <f aca="true" t="shared" si="27" ref="AD35:AO35">AC35+AD18+AD24+AD33</f>
        <v>582.5471888361232</v>
      </c>
      <c r="AE35" s="51">
        <f t="shared" si="27"/>
        <v>181.49453518993846</v>
      </c>
      <c r="AF35" s="51">
        <f t="shared" si="27"/>
        <v>24.020787880569472</v>
      </c>
      <c r="AG35" s="51">
        <f t="shared" si="27"/>
        <v>110.12589756254782</v>
      </c>
      <c r="AH35" s="51">
        <f t="shared" si="27"/>
        <v>683.3971801625563</v>
      </c>
      <c r="AI35" s="51">
        <f t="shared" si="27"/>
        <v>1622.04090297775</v>
      </c>
      <c r="AJ35" s="51">
        <f t="shared" si="27"/>
        <v>2804.263333014068</v>
      </c>
      <c r="AK35" s="51">
        <f t="shared" si="27"/>
        <v>3864.683371424532</v>
      </c>
      <c r="AL35" s="51">
        <f t="shared" si="27"/>
        <v>4316.126236287543</v>
      </c>
      <c r="AM35" s="51">
        <f t="shared" si="27"/>
        <v>4280.385559285157</v>
      </c>
      <c r="AN35" s="51">
        <f t="shared" si="27"/>
        <v>3635.667606241359</v>
      </c>
      <c r="AO35" s="51">
        <f t="shared" si="27"/>
        <v>2869.147056580324</v>
      </c>
      <c r="AP35" s="52">
        <f>AO35</f>
        <v>2869.147056580324</v>
      </c>
      <c r="AQ35" s="51">
        <f>AP35+AQ18+AQ24+AQ33</f>
        <v>4390.809991115844</v>
      </c>
      <c r="AR35" s="51">
        <f>AQ35+AR18+AR24+AR33</f>
        <v>5913.867914341502</v>
      </c>
      <c r="AS35" s="51">
        <f>AR35+AS18+AS24+AS33</f>
        <v>7438.220706614506</v>
      </c>
      <c r="AT35" s="51">
        <f>AS35+AT18+AT24+AT33</f>
        <v>8963.761010634986</v>
      </c>
      <c r="AU35" s="51">
        <f>AT35+AU18+AU24+AU33</f>
        <v>10563.00338613222</v>
      </c>
      <c r="AV35" s="7">
        <v>2013</v>
      </c>
      <c r="AW35" s="7">
        <f aca="true" t="shared" si="28" ref="AW35:AZ36">AV35+1</f>
        <v>2014</v>
      </c>
      <c r="AX35" s="7">
        <f t="shared" si="28"/>
        <v>2015</v>
      </c>
      <c r="AY35" s="7">
        <f t="shared" si="28"/>
        <v>2016</v>
      </c>
      <c r="AZ35" s="7">
        <f t="shared" si="28"/>
        <v>2017</v>
      </c>
      <c r="BA35" s="7">
        <f aca="true" t="shared" si="29" ref="BA35:BC36">AZ35+1</f>
        <v>2018</v>
      </c>
      <c r="BB35" s="7">
        <f t="shared" si="29"/>
        <v>2019</v>
      </c>
      <c r="BC35" s="7">
        <f t="shared" si="29"/>
        <v>2020</v>
      </c>
    </row>
    <row r="36" spans="1:55" ht="12.75">
      <c r="A36" s="53"/>
      <c r="B36" s="54">
        <f>AU35</f>
        <v>10563.00338613222</v>
      </c>
      <c r="C36" s="55"/>
      <c r="D36" s="56">
        <f aca="true" t="shared" si="30" ref="D36:N36">D7+D34-D35</f>
        <v>0</v>
      </c>
      <c r="E36" s="56">
        <f t="shared" si="30"/>
        <v>0</v>
      </c>
      <c r="F36" s="56">
        <f t="shared" si="30"/>
        <v>0</v>
      </c>
      <c r="G36" s="56">
        <f t="shared" si="30"/>
        <v>0</v>
      </c>
      <c r="H36" s="56">
        <f t="shared" si="30"/>
        <v>0</v>
      </c>
      <c r="I36" s="56">
        <f t="shared" si="30"/>
        <v>0</v>
      </c>
      <c r="J36" s="56">
        <f t="shared" si="30"/>
        <v>0</v>
      </c>
      <c r="K36" s="56">
        <f t="shared" si="30"/>
        <v>0</v>
      </c>
      <c r="L36" s="56">
        <f t="shared" si="30"/>
        <v>0</v>
      </c>
      <c r="M36" s="56">
        <f t="shared" si="30"/>
        <v>0</v>
      </c>
      <c r="N36" s="56">
        <f t="shared" si="30"/>
        <v>0</v>
      </c>
      <c r="O36" s="56"/>
      <c r="P36" s="56"/>
      <c r="Q36" s="56">
        <f>Q7+Q34-Q35</f>
        <v>0</v>
      </c>
      <c r="R36" s="56">
        <f>R7+R34-R35</f>
        <v>0</v>
      </c>
      <c r="S36" s="56"/>
      <c r="T36" s="56">
        <f>T7+T34-T35</f>
        <v>0</v>
      </c>
      <c r="U36" s="56">
        <f>U7+U34-U35</f>
        <v>0</v>
      </c>
      <c r="V36" s="56">
        <f>V7+V34-V35</f>
        <v>0</v>
      </c>
      <c r="W36" s="56"/>
      <c r="X36" s="56">
        <f>X7+X34-X35</f>
        <v>0</v>
      </c>
      <c r="Y36" s="56">
        <f>Y7+Y34-Y35</f>
        <v>0</v>
      </c>
      <c r="Z36" s="56">
        <f>Z7+Z34-Z35</f>
        <v>0</v>
      </c>
      <c r="AA36" s="56">
        <f>AA7+AA34-AA35</f>
        <v>0</v>
      </c>
      <c r="AB36" s="56">
        <f>AB7+AB34-AB35</f>
        <v>0</v>
      </c>
      <c r="AC36" s="56"/>
      <c r="AD36" s="56">
        <f aca="true" t="shared" si="31" ref="AD36:AO36">AD7+AD34-AD35</f>
        <v>0</v>
      </c>
      <c r="AE36" s="56">
        <f t="shared" si="31"/>
        <v>0</v>
      </c>
      <c r="AF36" s="56">
        <f t="shared" si="31"/>
        <v>0</v>
      </c>
      <c r="AG36" s="56">
        <f t="shared" si="31"/>
        <v>0</v>
      </c>
      <c r="AH36" s="56">
        <f t="shared" si="31"/>
        <v>0</v>
      </c>
      <c r="AI36" s="56"/>
      <c r="AJ36" s="56">
        <f t="shared" si="31"/>
        <v>0</v>
      </c>
      <c r="AK36" s="56">
        <f t="shared" si="31"/>
        <v>0</v>
      </c>
      <c r="AL36" s="56">
        <f t="shared" si="31"/>
        <v>0</v>
      </c>
      <c r="AM36" s="56">
        <f t="shared" si="31"/>
        <v>0</v>
      </c>
      <c r="AN36" s="56">
        <f t="shared" si="31"/>
        <v>0</v>
      </c>
      <c r="AO36" s="56">
        <f t="shared" si="31"/>
        <v>0</v>
      </c>
      <c r="AP36" s="56"/>
      <c r="AQ36" s="56">
        <f>AQ7+AQ34-AQ35</f>
        <v>0</v>
      </c>
      <c r="AR36" s="56">
        <f>AR7+AR34-AR35</f>
        <v>0</v>
      </c>
      <c r="AS36" s="56">
        <f>AS7+AS34-AS35</f>
        <v>0</v>
      </c>
      <c r="AT36" s="56">
        <f>AT7+AT34-AT35</f>
        <v>0</v>
      </c>
      <c r="AU36" s="56">
        <f>AU7+AU34-AU35</f>
        <v>0</v>
      </c>
      <c r="AV36" s="63">
        <v>0</v>
      </c>
      <c r="AW36" s="63">
        <f>AV36+1</f>
        <v>1</v>
      </c>
      <c r="AX36" s="63">
        <f t="shared" si="28"/>
        <v>2</v>
      </c>
      <c r="AY36" s="63">
        <f t="shared" si="28"/>
        <v>3</v>
      </c>
      <c r="AZ36" s="63">
        <f t="shared" si="28"/>
        <v>4</v>
      </c>
      <c r="BA36" s="63">
        <f t="shared" si="29"/>
        <v>5</v>
      </c>
      <c r="BB36" s="63">
        <f t="shared" si="29"/>
        <v>6</v>
      </c>
      <c r="BC36" s="63">
        <f t="shared" si="29"/>
        <v>7</v>
      </c>
    </row>
    <row r="37" spans="1:55" ht="12.75">
      <c r="A37" s="53" t="s">
        <v>61</v>
      </c>
      <c r="B37" s="64">
        <f>B35-B36</f>
        <v>0</v>
      </c>
      <c r="C37" s="55"/>
      <c r="Q37" s="58"/>
      <c r="AD37" s="58"/>
      <c r="AV37" s="58">
        <f>P34</f>
        <v>0</v>
      </c>
      <c r="AW37" s="58">
        <f>AC34</f>
        <v>1348.9724806584168</v>
      </c>
      <c r="AX37" s="58">
        <f aca="true" t="shared" si="32" ref="AX37:BC37">AP34</f>
        <v>1520.174575921913</v>
      </c>
      <c r="AY37" s="58">
        <f t="shared" si="32"/>
        <v>1521.6629345355204</v>
      </c>
      <c r="AZ37" s="58">
        <f t="shared" si="32"/>
        <v>1523.0579232256578</v>
      </c>
      <c r="BA37" s="58">
        <f t="shared" si="32"/>
        <v>1524.3527922730036</v>
      </c>
      <c r="BB37" s="58">
        <f t="shared" si="32"/>
        <v>1525.5403040204806</v>
      </c>
      <c r="BC37" s="58">
        <f t="shared" si="32"/>
        <v>1599.242375497235</v>
      </c>
    </row>
    <row r="38" spans="1:55" ht="12.75">
      <c r="A38" s="53" t="s">
        <v>62</v>
      </c>
      <c r="B38" s="55"/>
      <c r="C38" s="55"/>
      <c r="AV38" s="58">
        <f>AV37+P32+P31+P15</f>
        <v>0</v>
      </c>
      <c r="AW38" s="58">
        <f>AW37+AC32+AC31+AC15</f>
        <v>1716.5215605792775</v>
      </c>
      <c r="AX38" s="58">
        <f aca="true" t="shared" si="33" ref="AX38:BC38">AX37+AP32+AP31+AP15</f>
        <v>2391.7307106862454</v>
      </c>
      <c r="AY38" s="58">
        <f t="shared" si="33"/>
        <v>2393.219069299853</v>
      </c>
      <c r="AZ38" s="58">
        <f t="shared" si="33"/>
        <v>2394.61405798999</v>
      </c>
      <c r="BA38" s="58">
        <f t="shared" si="33"/>
        <v>2395.908927037336</v>
      </c>
      <c r="BB38" s="58">
        <f t="shared" si="33"/>
        <v>2397.0964387848126</v>
      </c>
      <c r="BC38" s="58">
        <f t="shared" si="33"/>
        <v>2398.16883236454</v>
      </c>
    </row>
    <row r="39" spans="1:55" ht="12.75">
      <c r="A39" s="53" t="s">
        <v>63</v>
      </c>
      <c r="B39" s="55"/>
      <c r="C39" s="55"/>
      <c r="V39" s="58"/>
      <c r="AI39" s="58"/>
      <c r="AV39" s="58">
        <f>P27</f>
        <v>4532.50988</v>
      </c>
      <c r="AW39" s="58">
        <f>AC27</f>
        <v>2512.2643034375</v>
      </c>
      <c r="AX39" s="58"/>
      <c r="AY39" s="58"/>
      <c r="AZ39" s="58"/>
      <c r="BA39" s="58"/>
      <c r="BB39" s="58"/>
      <c r="BC39" s="58"/>
    </row>
    <row r="40" spans="1:55" ht="12.75">
      <c r="A40" s="65" t="s">
        <v>64</v>
      </c>
      <c r="B40" s="55"/>
      <c r="C40" s="55"/>
      <c r="AV40" s="66">
        <f>AV38-AV39</f>
        <v>-4532.50988</v>
      </c>
      <c r="AW40" s="66">
        <f aca="true" t="shared" si="34" ref="AW40:BB40">AW38-AW39</f>
        <v>-795.7427428582225</v>
      </c>
      <c r="AX40" s="66">
        <f t="shared" si="34"/>
        <v>2391.7307106862454</v>
      </c>
      <c r="AY40" s="66">
        <f t="shared" si="34"/>
        <v>2393.219069299853</v>
      </c>
      <c r="AZ40" s="66">
        <f t="shared" si="34"/>
        <v>2394.61405798999</v>
      </c>
      <c r="BA40" s="66">
        <f t="shared" si="34"/>
        <v>2395.908927037336</v>
      </c>
      <c r="BB40" s="66">
        <f t="shared" si="34"/>
        <v>2397.0964387848126</v>
      </c>
      <c r="BC40" s="66">
        <f>BC38-BC39</f>
        <v>2398.16883236454</v>
      </c>
    </row>
    <row r="41" spans="1:55" ht="12.75">
      <c r="A41" s="67" t="s">
        <v>65</v>
      </c>
      <c r="B41" s="55"/>
      <c r="C41" s="55"/>
      <c r="AV41" s="68">
        <f>AV40/(1+Исх!$C$8)^'1-Ф3'!AV36</f>
        <v>-4532.50988</v>
      </c>
      <c r="AW41" s="68">
        <f>AW40/(1+Исх!$C$8)^'1-Ф3'!AW36</f>
        <v>-710.3247125121828</v>
      </c>
      <c r="AX41" s="68">
        <f>AX40/(1+Исх!$C$8)^'1-Ф3'!AX36</f>
        <v>1905.8150640599044</v>
      </c>
      <c r="AY41" s="68">
        <f>AY40/(1+Исх!$C$8)^'1-Ф3'!AY36</f>
        <v>1702.2963489253566</v>
      </c>
      <c r="AZ41" s="68">
        <f>AZ40/(1+Исх!$C$8)^'1-Ф3'!AZ36</f>
        <v>1520.4511746231972</v>
      </c>
      <c r="BA41" s="68">
        <f>BA40/(1+Исх!$C$8)^'1-Ф3'!BA36</f>
        <v>1357.9741222267353</v>
      </c>
      <c r="BB41" s="68">
        <f>BB40/(1+Исх!$C$8)^'1-Ф3'!BB36</f>
        <v>1212.8048714747883</v>
      </c>
      <c r="BC41" s="68">
        <f>BC40/(1+Исх!$C$8)^'1-Ф3'!BC36</f>
        <v>1083.1021504106732</v>
      </c>
    </row>
    <row r="42" spans="1:55" ht="12.75">
      <c r="A42" s="65" t="s">
        <v>66</v>
      </c>
      <c r="B42" s="55"/>
      <c r="C42" s="55"/>
      <c r="AV42" s="66">
        <f>AV40</f>
        <v>-4532.50988</v>
      </c>
      <c r="AW42" s="66">
        <f aca="true" t="shared" si="35" ref="AW42:AZ43">AV42+AW40</f>
        <v>-5328.252622858222</v>
      </c>
      <c r="AX42" s="66">
        <f t="shared" si="35"/>
        <v>-2936.5219121719765</v>
      </c>
      <c r="AY42" s="66">
        <f t="shared" si="35"/>
        <v>-543.3028428721236</v>
      </c>
      <c r="AZ42" s="66">
        <f t="shared" si="35"/>
        <v>1851.3112151178666</v>
      </c>
      <c r="BA42" s="66">
        <f aca="true" t="shared" si="36" ref="BA42:BC43">AZ42+BA40</f>
        <v>4247.220142155203</v>
      </c>
      <c r="BB42" s="66">
        <f t="shared" si="36"/>
        <v>6644.316580940015</v>
      </c>
      <c r="BC42" s="66">
        <f t="shared" si="36"/>
        <v>9042.485413304556</v>
      </c>
    </row>
    <row r="43" spans="1:55" ht="12.75">
      <c r="A43" s="67" t="s">
        <v>67</v>
      </c>
      <c r="B43" s="55"/>
      <c r="C43" s="55"/>
      <c r="AV43" s="68">
        <f>AV41</f>
        <v>-4532.50988</v>
      </c>
      <c r="AW43" s="68">
        <f t="shared" si="35"/>
        <v>-5242.834592512182</v>
      </c>
      <c r="AX43" s="68">
        <f t="shared" si="35"/>
        <v>-3337.019528452278</v>
      </c>
      <c r="AY43" s="68">
        <f t="shared" si="35"/>
        <v>-1634.7231795269213</v>
      </c>
      <c r="AZ43" s="68">
        <f t="shared" si="35"/>
        <v>-114.27200490372411</v>
      </c>
      <c r="BA43" s="68">
        <f t="shared" si="36"/>
        <v>1243.7021173230112</v>
      </c>
      <c r="BB43" s="68">
        <f t="shared" si="36"/>
        <v>2456.5069887977997</v>
      </c>
      <c r="BC43" s="68">
        <f t="shared" si="36"/>
        <v>3539.6091392084727</v>
      </c>
    </row>
    <row r="44" spans="1:55" ht="12.75">
      <c r="A44" s="53" t="s">
        <v>68</v>
      </c>
      <c r="B44" s="55"/>
      <c r="C44" s="55"/>
      <c r="AV44" s="58">
        <f>NPV(Исх!$C$8,'1-Ф3'!$AV38:AV38)</f>
        <v>0</v>
      </c>
      <c r="AW44" s="58">
        <f>NPV(Исх!$C$8,'1-Ф3'!$AV38:AW38)</f>
        <v>1367.7846896889857</v>
      </c>
      <c r="AX44" s="58">
        <f>NPV(Исх!$C$8,'1-Ф3'!$AV38:AX38)</f>
        <v>3069.0223693657404</v>
      </c>
      <c r="AY44" s="58">
        <f>NPV(Исх!$C$8,'1-Ф3'!$AV38:AY38)</f>
        <v>4588.587801175632</v>
      </c>
      <c r="AZ44" s="58">
        <f>NPV(Исх!$C$8,'1-Ф3'!$AV38:AZ38)</f>
        <v>5945.828006249622</v>
      </c>
      <c r="BA44" s="58">
        <f>NPV(Исх!$C$8,'1-Ф3'!$AV38:BA38)</f>
        <v>7158.032059163685</v>
      </c>
      <c r="BB44" s="58">
        <f>NPV(Исх!$C$8,'1-Ф3'!$AV38:BB38)</f>
        <v>8240.649876788188</v>
      </c>
      <c r="BC44" s="58">
        <f>NPV(Исх!$C$8,'1-Ф3'!$AV38:BC38)</f>
        <v>9207.487753120367</v>
      </c>
    </row>
    <row r="45" spans="1:55" ht="12.75">
      <c r="A45" s="53" t="s">
        <v>69</v>
      </c>
      <c r="B45" s="55"/>
      <c r="C45" s="55"/>
      <c r="AV45" s="58">
        <f>NPV(Исх!$C$8,'1-Ф3'!$AV39:AV39)</f>
        <v>4045.9731569845503</v>
      </c>
      <c r="AW45" s="58">
        <f>NPV(Исх!$C$8,'1-Ф3'!$AV39:AW39)</f>
        <v>6047.833622712895</v>
      </c>
      <c r="AX45" s="58">
        <f>NPV(Исх!$C$8,'1-Ф3'!$AV39:AX39)</f>
        <v>6047.833622712895</v>
      </c>
      <c r="AY45" s="58">
        <f>NPV(Исх!$C$8,'1-Ф3'!$AV39:AY39)</f>
        <v>6047.833622712895</v>
      </c>
      <c r="AZ45" s="58">
        <f>NPV(Исх!$C$8,'1-Ф3'!$AV39:AZ39)</f>
        <v>6047.833622712895</v>
      </c>
      <c r="BA45" s="58">
        <f>NPV(Исх!$C$8,'1-Ф3'!$AV39:BA39)</f>
        <v>6047.833622712895</v>
      </c>
      <c r="BB45" s="58">
        <f>NPV(Исх!$C$8,'1-Ф3'!$AV39:BB39)</f>
        <v>6047.833622712895</v>
      </c>
      <c r="BC45" s="58">
        <f>NPV(Исх!$C$8,'1-Ф3'!$AV39:BC39)</f>
        <v>6047.833622712895</v>
      </c>
    </row>
    <row r="46" spans="1:55" ht="12.75">
      <c r="A46" s="53" t="s">
        <v>70</v>
      </c>
      <c r="B46" s="55"/>
      <c r="C46" s="55"/>
      <c r="AV46" s="58">
        <f aca="true" t="shared" si="37" ref="AV46:BB46">AV44-AV45</f>
        <v>-4045.9731569845503</v>
      </c>
      <c r="AW46" s="58">
        <f t="shared" si="37"/>
        <v>-4680.048933023909</v>
      </c>
      <c r="AX46" s="58">
        <f t="shared" si="37"/>
        <v>-2978.8112533471544</v>
      </c>
      <c r="AY46" s="58">
        <f t="shared" si="37"/>
        <v>-1459.2458215372626</v>
      </c>
      <c r="AZ46" s="58">
        <f t="shared" si="37"/>
        <v>-102.00561646327242</v>
      </c>
      <c r="BA46" s="58">
        <f t="shared" si="37"/>
        <v>1110.1984364507898</v>
      </c>
      <c r="BB46" s="58">
        <f t="shared" si="37"/>
        <v>2192.816254075293</v>
      </c>
      <c r="BC46" s="58">
        <f>BC44-BC45</f>
        <v>3159.6541304074726</v>
      </c>
    </row>
    <row r="47" spans="1:55" ht="12.75">
      <c r="A47" s="53" t="s">
        <v>71</v>
      </c>
      <c r="B47" s="55"/>
      <c r="C47" s="55"/>
      <c r="AV47" s="69">
        <f aca="true" t="shared" si="38" ref="AV47:BB47">AV44/AV45</f>
        <v>0</v>
      </c>
      <c r="AW47" s="69">
        <f t="shared" si="38"/>
        <v>0.2261610975130355</v>
      </c>
      <c r="AX47" s="69">
        <f t="shared" si="38"/>
        <v>0.5074581347343778</v>
      </c>
      <c r="AY47" s="69">
        <f t="shared" si="38"/>
        <v>0.7587159448208027</v>
      </c>
      <c r="AZ47" s="69">
        <f t="shared" si="38"/>
        <v>0.9831335279991523</v>
      </c>
      <c r="BA47" s="69">
        <f t="shared" si="38"/>
        <v>1.1835696061944219</v>
      </c>
      <c r="BB47" s="69">
        <f t="shared" si="38"/>
        <v>1.3625787994299443</v>
      </c>
      <c r="BC47" s="69">
        <f>BC44/BC45</f>
        <v>1.5224439572115969</v>
      </c>
    </row>
    <row r="48" spans="1:55" ht="12.75">
      <c r="A48" s="53" t="s">
        <v>72</v>
      </c>
      <c r="B48" s="55"/>
      <c r="C48" s="55"/>
      <c r="AS48" s="70"/>
      <c r="AT48" s="70"/>
      <c r="AU48" s="70"/>
      <c r="AV48" s="70" t="str">
        <f>IF(ISERROR(IRR($AV40:AV$40))," ",IF(IRR($AV40:AV$40)&lt;0," ",IRR($AV40:AV$40)))</f>
        <v> </v>
      </c>
      <c r="AW48" s="70" t="str">
        <f>IF(ISERROR(IRR($AV40:AW$40))," ",IF(IRR($AV40:AW$40)&lt;0," ",IRR($AV40:AW$40)))</f>
        <v> </v>
      </c>
      <c r="AX48" s="70" t="str">
        <f>IF(ISERROR(IRR($AV40:AX$40))," ",IF(IRR($AV40:AX$40)&lt;0," ",IRR($AV40:AX$40)))</f>
        <v> </v>
      </c>
      <c r="AY48" s="70" t="str">
        <f>IF(ISERROR(IRR($AV40:AY$40))," ",IF(IRR($AV40:AY$40)&lt;0," ",IRR($AV40:AY$40)))</f>
        <v> </v>
      </c>
      <c r="AZ48" s="70">
        <f>IF(ISERROR(IRR($AV40:AZ$40))," ",IF(IRR($AV40:AZ$40)&lt;0," ",IRR($AV40:AZ$40)))</f>
        <v>0.11144340414903775</v>
      </c>
      <c r="BA48" s="70">
        <f>IF(ISERROR(IRR($AV40:BA$40))," ",IF(IRR($AV40:BA$40)&lt;0," ",IRR($AV40:BA$40)))</f>
        <v>0.1976425485275357</v>
      </c>
      <c r="BB48" s="70">
        <f>IF(ISERROR(IRR($AV40:BB$40))," ",IF(IRR($AV40:BB$40)&lt;0," ",IRR($AV40:BB$40)))</f>
        <v>0.24868037047878988</v>
      </c>
      <c r="BC48" s="70">
        <f>IF(ISERROR(IRR($AV40:BC$40))," ",IF(IRR($AV40:BC$40)&lt;0," ",IRR($AV40:BC$40)))</f>
        <v>0.28048416642066876</v>
      </c>
    </row>
    <row r="49" spans="1:3" ht="12.75">
      <c r="A49" s="71" t="s">
        <v>35</v>
      </c>
      <c r="B49" s="59">
        <f>AY36-AY42/AZ40</f>
        <v>3.226885347582134</v>
      </c>
      <c r="C49" s="55"/>
    </row>
    <row r="50" spans="1:3" ht="12.75">
      <c r="A50" s="71" t="s">
        <v>29</v>
      </c>
      <c r="B50" s="59">
        <f>AZ36-AZ43/BA41</f>
        <v>4.084148882540079</v>
      </c>
      <c r="C50" s="55"/>
    </row>
    <row r="51" spans="1:3" ht="12.75">
      <c r="A51" s="53"/>
      <c r="B51" s="59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3" ht="12.75">
      <c r="A62" s="53"/>
      <c r="B62" s="55"/>
      <c r="C62" s="55"/>
    </row>
    <row r="63" spans="1:44" ht="12.75">
      <c r="A63" s="53"/>
      <c r="B63" s="55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53"/>
      <c r="B64" s="55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53"/>
      <c r="B142" s="55"/>
      <c r="C142" s="5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9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M86" sqref="M86"/>
    </sheetView>
  </sheetViews>
  <sheetFormatPr defaultColWidth="9.00390625" defaultRowHeight="12.75" outlineLevelRow="1" outlineLevelCol="1"/>
  <cols>
    <col min="1" max="1" width="23.25390625" style="177" customWidth="1"/>
    <col min="2" max="2" width="12.125" style="177" customWidth="1"/>
    <col min="3" max="14" width="9.125" style="177" hidden="1" customWidth="1" outlineLevel="1"/>
    <col min="15" max="15" width="10.125" style="178" bestFit="1" customWidth="1" collapsed="1"/>
    <col min="16" max="19" width="9.125" style="177" hidden="1" customWidth="1" outlineLevel="1"/>
    <col min="20" max="21" width="9.75390625" style="177" hidden="1" customWidth="1" outlineLevel="1"/>
    <col min="22" max="22" width="9.625" style="177" hidden="1" customWidth="1" outlineLevel="1"/>
    <col min="23" max="27" width="9.75390625" style="177" hidden="1" customWidth="1" outlineLevel="1"/>
    <col min="28" max="28" width="10.125" style="178" bestFit="1" customWidth="1" collapsed="1"/>
    <col min="29" max="40" width="9.75390625" style="177" hidden="1" customWidth="1" outlineLevel="1"/>
    <col min="41" max="41" width="10.125" style="178" bestFit="1" customWidth="1" collapsed="1"/>
    <col min="42" max="53" width="9.75390625" style="177" hidden="1" customWidth="1" outlineLevel="1"/>
    <col min="54" max="54" width="9.75390625" style="178" bestFit="1" customWidth="1" collapsed="1"/>
    <col min="55" max="66" width="9.75390625" style="177" hidden="1" customWidth="1" outlineLevel="1"/>
    <col min="67" max="67" width="10.125" style="178" bestFit="1" customWidth="1" collapsed="1"/>
    <col min="68" max="79" width="9.75390625" style="177" hidden="1" customWidth="1" outlineLevel="1"/>
    <col min="80" max="80" width="10.125" style="178" bestFit="1" customWidth="1" collapsed="1"/>
    <col min="81" max="92" width="9.75390625" style="177" hidden="1" customWidth="1" outlineLevel="1"/>
    <col min="93" max="93" width="10.125" style="178" bestFit="1" customWidth="1" collapsed="1"/>
    <col min="94" max="98" width="9.75390625" style="177" hidden="1" customWidth="1" outlineLevel="1"/>
    <col min="99" max="105" width="8.75390625" style="177" hidden="1" customWidth="1" outlineLevel="1"/>
    <col min="106" max="106" width="10.125" style="178" bestFit="1" customWidth="1" collapsed="1"/>
    <col min="107" max="118" width="8.75390625" style="177" hidden="1" customWidth="1" outlineLevel="1"/>
    <col min="119" max="119" width="10.125" style="178" hidden="1" customWidth="1" collapsed="1"/>
    <col min="120" max="120" width="9.75390625" style="177" bestFit="1" customWidth="1"/>
    <col min="121" max="16384" width="9.125" style="177" customWidth="1"/>
  </cols>
  <sheetData>
    <row r="1" ht="9.75" customHeight="1"/>
    <row r="2" spans="1:15" ht="18.75" customHeight="1">
      <c r="A2" s="178" t="s">
        <v>99</v>
      </c>
      <c r="B2" s="179"/>
      <c r="D2" s="180"/>
      <c r="E2" s="180"/>
      <c r="F2" s="181"/>
      <c r="G2" s="180"/>
      <c r="O2" s="182"/>
    </row>
    <row r="3" spans="1:15" ht="13.5" customHeight="1">
      <c r="A3" s="183"/>
      <c r="B3" s="179"/>
      <c r="D3" s="180"/>
      <c r="E3" s="180"/>
      <c r="F3" s="181"/>
      <c r="G3" s="180"/>
      <c r="O3" s="182"/>
    </row>
    <row r="4" spans="1:2" ht="12.75" hidden="1">
      <c r="A4" s="184" t="s">
        <v>248</v>
      </c>
      <c r="B4" s="185"/>
    </row>
    <row r="5" spans="1:119" ht="15.75" customHeight="1" hidden="1">
      <c r="A5" s="186" t="s">
        <v>11</v>
      </c>
      <c r="B5" s="187">
        <f>Исх!C36</f>
        <v>0.07</v>
      </c>
      <c r="C5" s="360">
        <v>2012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>
        <v>2013</v>
      </c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>
        <v>2014</v>
      </c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>
        <v>2015</v>
      </c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>
        <v>2016</v>
      </c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>
        <v>2017</v>
      </c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>
        <v>2018</v>
      </c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>
        <v>2019</v>
      </c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>
        <v>2020</v>
      </c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</row>
    <row r="6" spans="1:119" s="192" customFormat="1" ht="15" customHeight="1" hidden="1">
      <c r="A6" s="188" t="s">
        <v>9</v>
      </c>
      <c r="B6" s="189" t="s">
        <v>12</v>
      </c>
      <c r="C6" s="190">
        <v>1</v>
      </c>
      <c r="D6" s="190">
        <v>2</v>
      </c>
      <c r="E6" s="190">
        <f>D6+1</f>
        <v>3</v>
      </c>
      <c r="F6" s="190">
        <f aca="true" t="shared" si="0" ref="F6:N6">E6+1</f>
        <v>4</v>
      </c>
      <c r="G6" s="190">
        <f t="shared" si="0"/>
        <v>5</v>
      </c>
      <c r="H6" s="190">
        <f t="shared" si="0"/>
        <v>6</v>
      </c>
      <c r="I6" s="190">
        <f t="shared" si="0"/>
        <v>7</v>
      </c>
      <c r="J6" s="190">
        <f t="shared" si="0"/>
        <v>8</v>
      </c>
      <c r="K6" s="190">
        <f t="shared" si="0"/>
        <v>9</v>
      </c>
      <c r="L6" s="190">
        <f t="shared" si="0"/>
        <v>10</v>
      </c>
      <c r="M6" s="190">
        <f t="shared" si="0"/>
        <v>11</v>
      </c>
      <c r="N6" s="190">
        <f t="shared" si="0"/>
        <v>12</v>
      </c>
      <c r="O6" s="191" t="s">
        <v>0</v>
      </c>
      <c r="P6" s="190">
        <v>1</v>
      </c>
      <c r="Q6" s="190">
        <v>2</v>
      </c>
      <c r="R6" s="190">
        <f>Q6+1</f>
        <v>3</v>
      </c>
      <c r="S6" s="190">
        <f aca="true" t="shared" si="1" ref="S6:AA6">R6+1</f>
        <v>4</v>
      </c>
      <c r="T6" s="190">
        <f t="shared" si="1"/>
        <v>5</v>
      </c>
      <c r="U6" s="190">
        <f t="shared" si="1"/>
        <v>6</v>
      </c>
      <c r="V6" s="190">
        <f t="shared" si="1"/>
        <v>7</v>
      </c>
      <c r="W6" s="190">
        <f t="shared" si="1"/>
        <v>8</v>
      </c>
      <c r="X6" s="190">
        <f t="shared" si="1"/>
        <v>9</v>
      </c>
      <c r="Y6" s="190">
        <f t="shared" si="1"/>
        <v>10</v>
      </c>
      <c r="Z6" s="190">
        <f t="shared" si="1"/>
        <v>11</v>
      </c>
      <c r="AA6" s="190">
        <f t="shared" si="1"/>
        <v>12</v>
      </c>
      <c r="AB6" s="191" t="s">
        <v>0</v>
      </c>
      <c r="AC6" s="190">
        <v>1</v>
      </c>
      <c r="AD6" s="190">
        <v>2</v>
      </c>
      <c r="AE6" s="190">
        <f aca="true" t="shared" si="2" ref="AE6:BN6">AD6+1</f>
        <v>3</v>
      </c>
      <c r="AF6" s="190">
        <f t="shared" si="2"/>
        <v>4</v>
      </c>
      <c r="AG6" s="190">
        <f t="shared" si="2"/>
        <v>5</v>
      </c>
      <c r="AH6" s="190">
        <f t="shared" si="2"/>
        <v>6</v>
      </c>
      <c r="AI6" s="190">
        <f t="shared" si="2"/>
        <v>7</v>
      </c>
      <c r="AJ6" s="190">
        <f t="shared" si="2"/>
        <v>8</v>
      </c>
      <c r="AK6" s="190">
        <f t="shared" si="2"/>
        <v>9</v>
      </c>
      <c r="AL6" s="190">
        <f t="shared" si="2"/>
        <v>10</v>
      </c>
      <c r="AM6" s="190">
        <f t="shared" si="2"/>
        <v>11</v>
      </c>
      <c r="AN6" s="190">
        <f t="shared" si="2"/>
        <v>12</v>
      </c>
      <c r="AO6" s="191" t="s">
        <v>0</v>
      </c>
      <c r="AP6" s="190">
        <v>1</v>
      </c>
      <c r="AQ6" s="190">
        <v>2</v>
      </c>
      <c r="AR6" s="190">
        <f>AQ6+1</f>
        <v>3</v>
      </c>
      <c r="AS6" s="190">
        <f t="shared" si="2"/>
        <v>4</v>
      </c>
      <c r="AT6" s="190">
        <f t="shared" si="2"/>
        <v>5</v>
      </c>
      <c r="AU6" s="190">
        <f t="shared" si="2"/>
        <v>6</v>
      </c>
      <c r="AV6" s="190">
        <f t="shared" si="2"/>
        <v>7</v>
      </c>
      <c r="AW6" s="190">
        <f t="shared" si="2"/>
        <v>8</v>
      </c>
      <c r="AX6" s="190">
        <f t="shared" si="2"/>
        <v>9</v>
      </c>
      <c r="AY6" s="190">
        <f t="shared" si="2"/>
        <v>10</v>
      </c>
      <c r="AZ6" s="190">
        <f t="shared" si="2"/>
        <v>11</v>
      </c>
      <c r="BA6" s="190">
        <f t="shared" si="2"/>
        <v>12</v>
      </c>
      <c r="BB6" s="191" t="s">
        <v>0</v>
      </c>
      <c r="BC6" s="190">
        <v>1</v>
      </c>
      <c r="BD6" s="190">
        <v>2</v>
      </c>
      <c r="BE6" s="190">
        <f>BD6+1</f>
        <v>3</v>
      </c>
      <c r="BF6" s="190">
        <f t="shared" si="2"/>
        <v>4</v>
      </c>
      <c r="BG6" s="190">
        <f t="shared" si="2"/>
        <v>5</v>
      </c>
      <c r="BH6" s="190">
        <f t="shared" si="2"/>
        <v>6</v>
      </c>
      <c r="BI6" s="190">
        <f t="shared" si="2"/>
        <v>7</v>
      </c>
      <c r="BJ6" s="190">
        <f t="shared" si="2"/>
        <v>8</v>
      </c>
      <c r="BK6" s="190">
        <f t="shared" si="2"/>
        <v>9</v>
      </c>
      <c r="BL6" s="190">
        <f t="shared" si="2"/>
        <v>10</v>
      </c>
      <c r="BM6" s="190">
        <f t="shared" si="2"/>
        <v>11</v>
      </c>
      <c r="BN6" s="190">
        <f t="shared" si="2"/>
        <v>12</v>
      </c>
      <c r="BO6" s="191" t="s">
        <v>0</v>
      </c>
      <c r="BP6" s="190">
        <v>1</v>
      </c>
      <c r="BQ6" s="190">
        <v>2</v>
      </c>
      <c r="BR6" s="190">
        <f aca="true" t="shared" si="3" ref="BR6:CA6">BQ6+1</f>
        <v>3</v>
      </c>
      <c r="BS6" s="190">
        <f t="shared" si="3"/>
        <v>4</v>
      </c>
      <c r="BT6" s="190">
        <f t="shared" si="3"/>
        <v>5</v>
      </c>
      <c r="BU6" s="190">
        <f t="shared" si="3"/>
        <v>6</v>
      </c>
      <c r="BV6" s="190">
        <f t="shared" si="3"/>
        <v>7</v>
      </c>
      <c r="BW6" s="190">
        <f t="shared" si="3"/>
        <v>8</v>
      </c>
      <c r="BX6" s="190">
        <f t="shared" si="3"/>
        <v>9</v>
      </c>
      <c r="BY6" s="190">
        <f t="shared" si="3"/>
        <v>10</v>
      </c>
      <c r="BZ6" s="190">
        <f t="shared" si="3"/>
        <v>11</v>
      </c>
      <c r="CA6" s="190">
        <f t="shared" si="3"/>
        <v>12</v>
      </c>
      <c r="CB6" s="191" t="s">
        <v>0</v>
      </c>
      <c r="CC6" s="190">
        <v>1</v>
      </c>
      <c r="CD6" s="190">
        <v>2</v>
      </c>
      <c r="CE6" s="190">
        <f aca="true" t="shared" si="4" ref="CE6:CN6">CD6+1</f>
        <v>3</v>
      </c>
      <c r="CF6" s="190">
        <f t="shared" si="4"/>
        <v>4</v>
      </c>
      <c r="CG6" s="190">
        <f t="shared" si="4"/>
        <v>5</v>
      </c>
      <c r="CH6" s="190">
        <f t="shared" si="4"/>
        <v>6</v>
      </c>
      <c r="CI6" s="190">
        <f t="shared" si="4"/>
        <v>7</v>
      </c>
      <c r="CJ6" s="190">
        <f t="shared" si="4"/>
        <v>8</v>
      </c>
      <c r="CK6" s="190">
        <f t="shared" si="4"/>
        <v>9</v>
      </c>
      <c r="CL6" s="190">
        <f t="shared" si="4"/>
        <v>10</v>
      </c>
      <c r="CM6" s="190">
        <f t="shared" si="4"/>
        <v>11</v>
      </c>
      <c r="CN6" s="190">
        <f t="shared" si="4"/>
        <v>12</v>
      </c>
      <c r="CO6" s="191" t="s">
        <v>0</v>
      </c>
      <c r="CP6" s="190">
        <v>1</v>
      </c>
      <c r="CQ6" s="190">
        <v>2</v>
      </c>
      <c r="CR6" s="190">
        <f aca="true" t="shared" si="5" ref="CR6:DA6">CQ6+1</f>
        <v>3</v>
      </c>
      <c r="CS6" s="190">
        <f t="shared" si="5"/>
        <v>4</v>
      </c>
      <c r="CT6" s="190">
        <f t="shared" si="5"/>
        <v>5</v>
      </c>
      <c r="CU6" s="190">
        <f t="shared" si="5"/>
        <v>6</v>
      </c>
      <c r="CV6" s="190">
        <f t="shared" si="5"/>
        <v>7</v>
      </c>
      <c r="CW6" s="190">
        <f t="shared" si="5"/>
        <v>8</v>
      </c>
      <c r="CX6" s="190">
        <f t="shared" si="5"/>
        <v>9</v>
      </c>
      <c r="CY6" s="190">
        <f t="shared" si="5"/>
        <v>10</v>
      </c>
      <c r="CZ6" s="190">
        <f t="shared" si="5"/>
        <v>11</v>
      </c>
      <c r="DA6" s="190">
        <f t="shared" si="5"/>
        <v>12</v>
      </c>
      <c r="DB6" s="191" t="s">
        <v>0</v>
      </c>
      <c r="DC6" s="190">
        <v>1</v>
      </c>
      <c r="DD6" s="190">
        <v>2</v>
      </c>
      <c r="DE6" s="190">
        <f aca="true" t="shared" si="6" ref="DE6:DN6">DD6+1</f>
        <v>3</v>
      </c>
      <c r="DF6" s="190">
        <f t="shared" si="6"/>
        <v>4</v>
      </c>
      <c r="DG6" s="190">
        <f t="shared" si="6"/>
        <v>5</v>
      </c>
      <c r="DH6" s="190">
        <f t="shared" si="6"/>
        <v>6</v>
      </c>
      <c r="DI6" s="190">
        <f t="shared" si="6"/>
        <v>7</v>
      </c>
      <c r="DJ6" s="190">
        <f t="shared" si="6"/>
        <v>8</v>
      </c>
      <c r="DK6" s="190">
        <f t="shared" si="6"/>
        <v>9</v>
      </c>
      <c r="DL6" s="190">
        <f t="shared" si="6"/>
        <v>10</v>
      </c>
      <c r="DM6" s="190">
        <f t="shared" si="6"/>
        <v>11</v>
      </c>
      <c r="DN6" s="190">
        <f t="shared" si="6"/>
        <v>12</v>
      </c>
      <c r="DO6" s="191" t="s">
        <v>1</v>
      </c>
    </row>
    <row r="7" spans="1:120" ht="12.75" hidden="1">
      <c r="A7" s="188" t="s">
        <v>105</v>
      </c>
      <c r="B7" s="193">
        <f>O7+AB7+AO7+BB7+BO7+CB7+CO7+DB7+DO7</f>
        <v>4252.8843799999995</v>
      </c>
      <c r="C7" s="194">
        <f>'1-Ф3'!D29</f>
        <v>0</v>
      </c>
      <c r="D7" s="194">
        <f>'1-Ф3'!E29</f>
        <v>0</v>
      </c>
      <c r="E7" s="194">
        <f>'1-Ф3'!F29</f>
        <v>0</v>
      </c>
      <c r="F7" s="194">
        <f>'1-Ф3'!G29</f>
        <v>0</v>
      </c>
      <c r="G7" s="194">
        <f>'1-Ф3'!H29</f>
        <v>0</v>
      </c>
      <c r="H7" s="194">
        <f>'1-Ф3'!I29</f>
        <v>0</v>
      </c>
      <c r="I7" s="194">
        <f>'1-Ф3'!J29</f>
        <v>0</v>
      </c>
      <c r="J7" s="194">
        <f>'1-Ф3'!K29</f>
        <v>0</v>
      </c>
      <c r="K7" s="194">
        <f>'1-Ф3'!L29</f>
        <v>0</v>
      </c>
      <c r="L7" s="194">
        <f>'1-Ф3'!M29</f>
        <v>0</v>
      </c>
      <c r="M7" s="194">
        <f>'1-Ф3'!N29</f>
        <v>4252.8843799999995</v>
      </c>
      <c r="N7" s="194">
        <f>'1-Ф3'!O29</f>
        <v>0</v>
      </c>
      <c r="O7" s="195">
        <f>SUM(C7:N7)</f>
        <v>4252.8843799999995</v>
      </c>
      <c r="P7" s="194">
        <f>'1-Ф3'!Q29</f>
        <v>0</v>
      </c>
      <c r="Q7" s="194">
        <f>'1-Ф3'!R29</f>
        <v>0</v>
      </c>
      <c r="R7" s="194">
        <f>'1-Ф3'!S29</f>
        <v>0</v>
      </c>
      <c r="S7" s="194">
        <f>'1-Ф3'!T29</f>
        <v>0</v>
      </c>
      <c r="T7" s="194">
        <f>'1-Ф3'!U29</f>
        <v>0</v>
      </c>
      <c r="U7" s="194">
        <f>'1-Ф3'!V29</f>
        <v>0</v>
      </c>
      <c r="V7" s="194">
        <f>'1-Ф3'!W29</f>
        <v>0</v>
      </c>
      <c r="W7" s="194">
        <f>'1-Ф3'!X29</f>
        <v>0</v>
      </c>
      <c r="X7" s="194">
        <f>'1-Ф3'!Y29</f>
        <v>0</v>
      </c>
      <c r="Y7" s="194">
        <f>'1-Ф3'!Z29</f>
        <v>0</v>
      </c>
      <c r="Z7" s="194">
        <f>'1-Ф3'!AA29</f>
        <v>0</v>
      </c>
      <c r="AA7" s="194">
        <f>'1-Ф3'!AB29</f>
        <v>0</v>
      </c>
      <c r="AB7" s="194">
        <f>SUM(P7:AA7)</f>
        <v>0</v>
      </c>
      <c r="AC7" s="194">
        <f>'1-Ф3'!AD29</f>
        <v>0</v>
      </c>
      <c r="AD7" s="194">
        <f>'1-Ф3'!AE29</f>
        <v>0</v>
      </c>
      <c r="AE7" s="194">
        <f>'1-Ф3'!AF29</f>
        <v>0</v>
      </c>
      <c r="AF7" s="194">
        <f>'1-Ф3'!AG29</f>
        <v>0</v>
      </c>
      <c r="AG7" s="194">
        <f>'1-Ф3'!AH29</f>
        <v>0</v>
      </c>
      <c r="AH7" s="194">
        <f>'1-Ф3'!AI29</f>
        <v>0</v>
      </c>
      <c r="AI7" s="194">
        <f>'1-Ф3'!AJ29</f>
        <v>0</v>
      </c>
      <c r="AJ7" s="194">
        <f>'1-Ф3'!AK29</f>
        <v>0</v>
      </c>
      <c r="AK7" s="194">
        <f>'1-Ф3'!AL29</f>
        <v>0</v>
      </c>
      <c r="AL7" s="194">
        <f>'1-Ф3'!AM29</f>
        <v>0</v>
      </c>
      <c r="AM7" s="194">
        <f>'1-Ф3'!AN29</f>
        <v>0</v>
      </c>
      <c r="AN7" s="194">
        <f>'1-Ф3'!AO29</f>
        <v>0</v>
      </c>
      <c r="AO7" s="194">
        <f>SUM(AC7:AN7)</f>
        <v>0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6"/>
    </row>
    <row r="8" spans="1:119" s="197" customFormat="1" ht="20.25" customHeight="1" hidden="1">
      <c r="A8" s="188" t="s">
        <v>31</v>
      </c>
      <c r="B8" s="193">
        <f>O8+AB8+AO8+BB8+BO8+CB8+CO8+DB8+DO8</f>
        <v>545.7868287666664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f>SUM(C8:N8)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>
        <f>SUM(P8:AA8)</f>
        <v>0</v>
      </c>
      <c r="AC8" s="194"/>
      <c r="AD8" s="194"/>
      <c r="AE8" s="194"/>
      <c r="AF8" s="194"/>
      <c r="AG8" s="194"/>
      <c r="AH8" s="194"/>
      <c r="AI8" s="194"/>
      <c r="AJ8" s="194"/>
      <c r="AK8" s="194">
        <f>SUM(O9,AB9,(AC9:AK9))</f>
        <v>545.7868287666664</v>
      </c>
      <c r="AL8" s="194"/>
      <c r="AM8" s="194"/>
      <c r="AN8" s="194"/>
      <c r="AO8" s="195">
        <f>SUM(AC8:AN8)</f>
        <v>545.7868287666664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>
        <f>SUM(AP8:BA8)</f>
        <v>0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5">
        <f>SUM(BC8:BN8)</f>
        <v>0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>
        <f>SUM(BP8:CA8)</f>
        <v>0</v>
      </c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>
        <f>SUM(CC8:CN8)</f>
        <v>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5">
        <f>SUM(CP8:DA8)</f>
        <v>0</v>
      </c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5">
        <f>SUM(DC8:DN8)</f>
        <v>0</v>
      </c>
    </row>
    <row r="9" spans="1:119" s="197" customFormat="1" ht="12.75" hidden="1">
      <c r="A9" s="198" t="s">
        <v>13</v>
      </c>
      <c r="B9" s="193">
        <f>O9+AB9+AO9+BB9+BO9+CB9+CO9+DB9+DO9</f>
        <v>1610.6119699919914</v>
      </c>
      <c r="C9" s="194"/>
      <c r="D9" s="194">
        <f>C12*$B$5/12</f>
        <v>0</v>
      </c>
      <c r="E9" s="194">
        <f>D12*$B$5/12</f>
        <v>0</v>
      </c>
      <c r="F9" s="194">
        <f>E12*$B$5/12</f>
        <v>0</v>
      </c>
      <c r="G9" s="194">
        <f>F12*$B$5/12</f>
        <v>0</v>
      </c>
      <c r="H9" s="194">
        <f>G12*$B$5/12</f>
        <v>0</v>
      </c>
      <c r="I9" s="194">
        <f aca="true" t="shared" si="7" ref="I9:AA9">H12*$B$5/12</f>
        <v>0</v>
      </c>
      <c r="J9" s="194">
        <f t="shared" si="7"/>
        <v>0</v>
      </c>
      <c r="K9" s="194">
        <f t="shared" si="7"/>
        <v>0</v>
      </c>
      <c r="L9" s="194">
        <f>K12*$B$5/12</f>
        <v>0</v>
      </c>
      <c r="M9" s="194">
        <f t="shared" si="7"/>
        <v>0</v>
      </c>
      <c r="N9" s="194">
        <f t="shared" si="7"/>
        <v>24.808492216666664</v>
      </c>
      <c r="O9" s="195">
        <f>SUM(C9:N9)</f>
        <v>24.808492216666664</v>
      </c>
      <c r="P9" s="194">
        <f t="shared" si="7"/>
        <v>24.808492216666664</v>
      </c>
      <c r="Q9" s="194">
        <f t="shared" si="7"/>
        <v>24.808492216666664</v>
      </c>
      <c r="R9" s="194">
        <f t="shared" si="7"/>
        <v>24.808492216666664</v>
      </c>
      <c r="S9" s="194">
        <f t="shared" si="7"/>
        <v>24.808492216666664</v>
      </c>
      <c r="T9" s="194">
        <f t="shared" si="7"/>
        <v>24.808492216666664</v>
      </c>
      <c r="U9" s="194">
        <f t="shared" si="7"/>
        <v>24.808492216666664</v>
      </c>
      <c r="V9" s="194">
        <f t="shared" si="7"/>
        <v>24.808492216666664</v>
      </c>
      <c r="W9" s="194">
        <f t="shared" si="7"/>
        <v>24.808492216666664</v>
      </c>
      <c r="X9" s="194">
        <f t="shared" si="7"/>
        <v>24.808492216666664</v>
      </c>
      <c r="Y9" s="194">
        <f t="shared" si="7"/>
        <v>24.808492216666664</v>
      </c>
      <c r="Z9" s="194">
        <f t="shared" si="7"/>
        <v>24.808492216666664</v>
      </c>
      <c r="AA9" s="194">
        <f t="shared" si="7"/>
        <v>24.808492216666664</v>
      </c>
      <c r="AB9" s="195">
        <f>SUM(P9:AA9)</f>
        <v>297.7019065999999</v>
      </c>
      <c r="AC9" s="194">
        <f aca="true" t="shared" si="8" ref="AC9:AN9">AB12*$B$5/12</f>
        <v>24.808492216666664</v>
      </c>
      <c r="AD9" s="194">
        <f t="shared" si="8"/>
        <v>24.808492216666664</v>
      </c>
      <c r="AE9" s="194">
        <f t="shared" si="8"/>
        <v>24.808492216666664</v>
      </c>
      <c r="AF9" s="194">
        <f t="shared" si="8"/>
        <v>24.808492216666664</v>
      </c>
      <c r="AG9" s="194">
        <f t="shared" si="8"/>
        <v>24.808492216666664</v>
      </c>
      <c r="AH9" s="194">
        <f t="shared" si="8"/>
        <v>24.808492216666664</v>
      </c>
      <c r="AI9" s="194">
        <f t="shared" si="8"/>
        <v>24.808492216666664</v>
      </c>
      <c r="AJ9" s="194">
        <f t="shared" si="8"/>
        <v>24.808492216666664</v>
      </c>
      <c r="AK9" s="194">
        <f t="shared" si="8"/>
        <v>24.808492216666664</v>
      </c>
      <c r="AL9" s="194">
        <f t="shared" si="8"/>
        <v>27.992248717805552</v>
      </c>
      <c r="AM9" s="194">
        <f t="shared" si="8"/>
        <v>27.619018734901477</v>
      </c>
      <c r="AN9" s="194">
        <f t="shared" si="8"/>
        <v>27.24578875199741</v>
      </c>
      <c r="AO9" s="195">
        <f>SUM(AC9:AN9)</f>
        <v>306.13348615470437</v>
      </c>
      <c r="AP9" s="194">
        <f aca="true" t="shared" si="9" ref="AP9:BA9">AO12*$B$5/12</f>
        <v>26.872558769093335</v>
      </c>
      <c r="AQ9" s="194">
        <f t="shared" si="9"/>
        <v>26.499328786189267</v>
      </c>
      <c r="AR9" s="194">
        <f t="shared" si="9"/>
        <v>26.126098803285192</v>
      </c>
      <c r="AS9" s="194">
        <f t="shared" si="9"/>
        <v>25.752868820381124</v>
      </c>
      <c r="AT9" s="194">
        <f t="shared" si="9"/>
        <v>25.37963883747705</v>
      </c>
      <c r="AU9" s="194">
        <f t="shared" si="9"/>
        <v>25.00640885457298</v>
      </c>
      <c r="AV9" s="194">
        <f t="shared" si="9"/>
        <v>24.633178871668907</v>
      </c>
      <c r="AW9" s="194">
        <f t="shared" si="9"/>
        <v>24.25994888876484</v>
      </c>
      <c r="AX9" s="194">
        <f t="shared" si="9"/>
        <v>23.886718905860764</v>
      </c>
      <c r="AY9" s="194">
        <f t="shared" si="9"/>
        <v>23.513488922956693</v>
      </c>
      <c r="AZ9" s="194">
        <f t="shared" si="9"/>
        <v>23.140258940052615</v>
      </c>
      <c r="BA9" s="194">
        <f t="shared" si="9"/>
        <v>22.76702895714854</v>
      </c>
      <c r="BB9" s="195">
        <f>SUM(AP9:BA9)</f>
        <v>297.83752635745134</v>
      </c>
      <c r="BC9" s="194">
        <f aca="true" t="shared" si="10" ref="BC9:BN9">BB12*$B$5/12</f>
        <v>22.393798974244465</v>
      </c>
      <c r="BD9" s="194">
        <f t="shared" si="10"/>
        <v>22.020568991340394</v>
      </c>
      <c r="BE9" s="194">
        <f t="shared" si="10"/>
        <v>21.64733900843632</v>
      </c>
      <c r="BF9" s="194">
        <f t="shared" si="10"/>
        <v>21.274109025532244</v>
      </c>
      <c r="BG9" s="194">
        <f t="shared" si="10"/>
        <v>20.900879042628173</v>
      </c>
      <c r="BH9" s="194">
        <f t="shared" si="10"/>
        <v>20.527649059724098</v>
      </c>
      <c r="BI9" s="194">
        <f t="shared" si="10"/>
        <v>20.154419076820023</v>
      </c>
      <c r="BJ9" s="194">
        <f t="shared" si="10"/>
        <v>19.78118909391595</v>
      </c>
      <c r="BK9" s="194">
        <f t="shared" si="10"/>
        <v>19.407959111011873</v>
      </c>
      <c r="BL9" s="194">
        <f t="shared" si="10"/>
        <v>19.034729128107802</v>
      </c>
      <c r="BM9" s="194">
        <f t="shared" si="10"/>
        <v>18.661499145203727</v>
      </c>
      <c r="BN9" s="194">
        <f t="shared" si="10"/>
        <v>18.288269162299652</v>
      </c>
      <c r="BO9" s="195">
        <f>SUM(BC9:BN9)</f>
        <v>244.09240881926473</v>
      </c>
      <c r="BP9" s="194">
        <f aca="true" t="shared" si="11" ref="BP9:CA9">BO12*$B$5/12</f>
        <v>17.915039179395578</v>
      </c>
      <c r="BQ9" s="194">
        <f t="shared" si="11"/>
        <v>17.541809196491503</v>
      </c>
      <c r="BR9" s="194">
        <f t="shared" si="11"/>
        <v>17.16857921358743</v>
      </c>
      <c r="BS9" s="194">
        <f t="shared" si="11"/>
        <v>16.795349230683357</v>
      </c>
      <c r="BT9" s="194">
        <f t="shared" si="11"/>
        <v>16.422119247779282</v>
      </c>
      <c r="BU9" s="194">
        <f t="shared" si="11"/>
        <v>16.04888926487521</v>
      </c>
      <c r="BV9" s="194">
        <f t="shared" si="11"/>
        <v>15.675659281971134</v>
      </c>
      <c r="BW9" s="194">
        <f t="shared" si="11"/>
        <v>15.30242929906706</v>
      </c>
      <c r="BX9" s="194">
        <f t="shared" si="11"/>
        <v>14.929199316162986</v>
      </c>
      <c r="BY9" s="194">
        <f t="shared" si="11"/>
        <v>14.555969333258913</v>
      </c>
      <c r="BZ9" s="194">
        <f t="shared" si="11"/>
        <v>14.182739350354838</v>
      </c>
      <c r="CA9" s="194">
        <f t="shared" si="11"/>
        <v>13.809509367450765</v>
      </c>
      <c r="CB9" s="195">
        <f>SUM(BP9:CA9)</f>
        <v>190.34729128107807</v>
      </c>
      <c r="CC9" s="194">
        <f aca="true" t="shared" si="12" ref="CC9:CN9">CB12*$B$5/12</f>
        <v>13.436279384546689</v>
      </c>
      <c r="CD9" s="194">
        <f t="shared" si="12"/>
        <v>13.063049401642616</v>
      </c>
      <c r="CE9" s="194">
        <f t="shared" si="12"/>
        <v>12.689819418738542</v>
      </c>
      <c r="CF9" s="194">
        <f t="shared" si="12"/>
        <v>12.316589435834468</v>
      </c>
      <c r="CG9" s="194">
        <f t="shared" si="12"/>
        <v>11.943359452930395</v>
      </c>
      <c r="CH9" s="194">
        <f t="shared" si="12"/>
        <v>11.570129470026322</v>
      </c>
      <c r="CI9" s="194">
        <f t="shared" si="12"/>
        <v>11.196899487122245</v>
      </c>
      <c r="CJ9" s="194">
        <f t="shared" si="12"/>
        <v>10.823669504218172</v>
      </c>
      <c r="CK9" s="194">
        <f t="shared" si="12"/>
        <v>10.450439521314097</v>
      </c>
      <c r="CL9" s="194">
        <f t="shared" si="12"/>
        <v>10.077209538410024</v>
      </c>
      <c r="CM9" s="194">
        <f t="shared" si="12"/>
        <v>9.70397955550595</v>
      </c>
      <c r="CN9" s="194">
        <f t="shared" si="12"/>
        <v>9.330749572601876</v>
      </c>
      <c r="CO9" s="195">
        <f>SUM(CC9:CN9)</f>
        <v>136.6021737428914</v>
      </c>
      <c r="CP9" s="194">
        <f aca="true" t="shared" si="13" ref="CP9:DA9">CO12*$B$5/12</f>
        <v>8.957519589697801</v>
      </c>
      <c r="CQ9" s="194">
        <f t="shared" si="13"/>
        <v>8.584289606793726</v>
      </c>
      <c r="CR9" s="194">
        <f t="shared" si="13"/>
        <v>8.211059623889653</v>
      </c>
      <c r="CS9" s="194">
        <f t="shared" si="13"/>
        <v>7.837829640985579</v>
      </c>
      <c r="CT9" s="194">
        <f t="shared" si="13"/>
        <v>7.464599658081505</v>
      </c>
      <c r="CU9" s="194">
        <f t="shared" si="13"/>
        <v>7.0913696751774316</v>
      </c>
      <c r="CV9" s="194">
        <f t="shared" si="13"/>
        <v>6.718139692273357</v>
      </c>
      <c r="CW9" s="194">
        <f t="shared" si="13"/>
        <v>6.344909709369283</v>
      </c>
      <c r="CX9" s="194">
        <f t="shared" si="13"/>
        <v>5.971679726465209</v>
      </c>
      <c r="CY9" s="194">
        <f t="shared" si="13"/>
        <v>5.598449743561134</v>
      </c>
      <c r="CZ9" s="194">
        <f t="shared" si="13"/>
        <v>5.225219760657061</v>
      </c>
      <c r="DA9" s="194">
        <f t="shared" si="13"/>
        <v>4.851989777752986</v>
      </c>
      <c r="DB9" s="195">
        <f>SUM(CP9:DA9)</f>
        <v>82.85705620470472</v>
      </c>
      <c r="DC9" s="194">
        <f aca="true" t="shared" si="14" ref="DC9:DN9">DB12*$B$5/12</f>
        <v>4.478759794848913</v>
      </c>
      <c r="DD9" s="194">
        <f t="shared" si="14"/>
        <v>4.105529811944838</v>
      </c>
      <c r="DE9" s="194">
        <f t="shared" si="14"/>
        <v>3.7322998290407643</v>
      </c>
      <c r="DF9" s="194">
        <f t="shared" si="14"/>
        <v>3.359069846136691</v>
      </c>
      <c r="DG9" s="194">
        <f t="shared" si="14"/>
        <v>2.9858398632326164</v>
      </c>
      <c r="DH9" s="194">
        <f t="shared" si="14"/>
        <v>2.612609880328542</v>
      </c>
      <c r="DI9" s="194">
        <f t="shared" si="14"/>
        <v>2.239379897424468</v>
      </c>
      <c r="DJ9" s="194">
        <f t="shared" si="14"/>
        <v>1.8661499145203944</v>
      </c>
      <c r="DK9" s="194">
        <f t="shared" si="14"/>
        <v>1.49291993161632</v>
      </c>
      <c r="DL9" s="194">
        <f t="shared" si="14"/>
        <v>1.119689948712246</v>
      </c>
      <c r="DM9" s="194">
        <f t="shared" si="14"/>
        <v>1.119689948712246</v>
      </c>
      <c r="DN9" s="194">
        <f t="shared" si="14"/>
        <v>1.119689948712246</v>
      </c>
      <c r="DO9" s="195">
        <f>SUM(DC9:DN9)</f>
        <v>30.231628615230285</v>
      </c>
    </row>
    <row r="10" spans="1:120" ht="12.75" hidden="1">
      <c r="A10" s="188" t="s">
        <v>14</v>
      </c>
      <c r="B10" s="193">
        <f>O10+AB10+AO10+BB10+BO10+CB10+CO10+DB10+DO10</f>
        <v>4606.7243604159985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9"/>
      <c r="M10" s="199"/>
      <c r="N10" s="199"/>
      <c r="O10" s="195">
        <f>SUM(C10:N10)</f>
        <v>0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5">
        <f>SUM(P10:AA10)</f>
        <v>0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4">
        <f>$AK$12/$B$13</f>
        <v>63.98228278355554</v>
      </c>
      <c r="AM10" s="194">
        <f aca="true" t="shared" si="15" ref="AM10:CY10">$AK$12/$B$13</f>
        <v>63.98228278355554</v>
      </c>
      <c r="AN10" s="194">
        <f t="shared" si="15"/>
        <v>63.98228278355554</v>
      </c>
      <c r="AO10" s="195">
        <f>SUM(AC10:AN10)</f>
        <v>191.9468483506666</v>
      </c>
      <c r="AP10" s="194">
        <f t="shared" si="15"/>
        <v>63.98228278355554</v>
      </c>
      <c r="AQ10" s="194">
        <f t="shared" si="15"/>
        <v>63.98228278355554</v>
      </c>
      <c r="AR10" s="194">
        <f t="shared" si="15"/>
        <v>63.98228278355554</v>
      </c>
      <c r="AS10" s="194">
        <f t="shared" si="15"/>
        <v>63.98228278355554</v>
      </c>
      <c r="AT10" s="194">
        <f t="shared" si="15"/>
        <v>63.98228278355554</v>
      </c>
      <c r="AU10" s="194">
        <f t="shared" si="15"/>
        <v>63.98228278355554</v>
      </c>
      <c r="AV10" s="194">
        <f t="shared" si="15"/>
        <v>63.98228278355554</v>
      </c>
      <c r="AW10" s="194">
        <f t="shared" si="15"/>
        <v>63.98228278355554</v>
      </c>
      <c r="AX10" s="194">
        <f t="shared" si="15"/>
        <v>63.98228278355554</v>
      </c>
      <c r="AY10" s="194">
        <f t="shared" si="15"/>
        <v>63.98228278355554</v>
      </c>
      <c r="AZ10" s="194">
        <f t="shared" si="15"/>
        <v>63.98228278355554</v>
      </c>
      <c r="BA10" s="194">
        <f t="shared" si="15"/>
        <v>63.98228278355554</v>
      </c>
      <c r="BB10" s="195">
        <f>SUM(AP10:BA10)</f>
        <v>767.7873934026665</v>
      </c>
      <c r="BC10" s="194">
        <f t="shared" si="15"/>
        <v>63.98228278355554</v>
      </c>
      <c r="BD10" s="194">
        <f t="shared" si="15"/>
        <v>63.98228278355554</v>
      </c>
      <c r="BE10" s="194">
        <f t="shared" si="15"/>
        <v>63.98228278355554</v>
      </c>
      <c r="BF10" s="194">
        <f t="shared" si="15"/>
        <v>63.98228278355554</v>
      </c>
      <c r="BG10" s="194">
        <f t="shared" si="15"/>
        <v>63.98228278355554</v>
      </c>
      <c r="BH10" s="194">
        <f t="shared" si="15"/>
        <v>63.98228278355554</v>
      </c>
      <c r="BI10" s="194">
        <f t="shared" si="15"/>
        <v>63.98228278355554</v>
      </c>
      <c r="BJ10" s="194">
        <f t="shared" si="15"/>
        <v>63.98228278355554</v>
      </c>
      <c r="BK10" s="194">
        <f t="shared" si="15"/>
        <v>63.98228278355554</v>
      </c>
      <c r="BL10" s="194">
        <f t="shared" si="15"/>
        <v>63.98228278355554</v>
      </c>
      <c r="BM10" s="194">
        <f t="shared" si="15"/>
        <v>63.98228278355554</v>
      </c>
      <c r="BN10" s="194">
        <f t="shared" si="15"/>
        <v>63.98228278355554</v>
      </c>
      <c r="BO10" s="195">
        <f>SUM(BC10:BN10)</f>
        <v>767.7873934026665</v>
      </c>
      <c r="BP10" s="194">
        <f t="shared" si="15"/>
        <v>63.98228278355554</v>
      </c>
      <c r="BQ10" s="194">
        <f t="shared" si="15"/>
        <v>63.98228278355554</v>
      </c>
      <c r="BR10" s="194">
        <f t="shared" si="15"/>
        <v>63.98228278355554</v>
      </c>
      <c r="BS10" s="194">
        <f t="shared" si="15"/>
        <v>63.98228278355554</v>
      </c>
      <c r="BT10" s="194">
        <f t="shared" si="15"/>
        <v>63.98228278355554</v>
      </c>
      <c r="BU10" s="194">
        <f t="shared" si="15"/>
        <v>63.98228278355554</v>
      </c>
      <c r="BV10" s="194">
        <f t="shared" si="15"/>
        <v>63.98228278355554</v>
      </c>
      <c r="BW10" s="194">
        <f t="shared" si="15"/>
        <v>63.98228278355554</v>
      </c>
      <c r="BX10" s="194">
        <f t="shared" si="15"/>
        <v>63.98228278355554</v>
      </c>
      <c r="BY10" s="194">
        <f t="shared" si="15"/>
        <v>63.98228278355554</v>
      </c>
      <c r="BZ10" s="194">
        <f t="shared" si="15"/>
        <v>63.98228278355554</v>
      </c>
      <c r="CA10" s="194">
        <f t="shared" si="15"/>
        <v>63.98228278355554</v>
      </c>
      <c r="CB10" s="195">
        <f>SUM(BP10:CA10)</f>
        <v>767.7873934026665</v>
      </c>
      <c r="CC10" s="194">
        <f t="shared" si="15"/>
        <v>63.98228278355554</v>
      </c>
      <c r="CD10" s="194">
        <f t="shared" si="15"/>
        <v>63.98228278355554</v>
      </c>
      <c r="CE10" s="194">
        <f t="shared" si="15"/>
        <v>63.98228278355554</v>
      </c>
      <c r="CF10" s="194">
        <f t="shared" si="15"/>
        <v>63.98228278355554</v>
      </c>
      <c r="CG10" s="194">
        <f t="shared" si="15"/>
        <v>63.98228278355554</v>
      </c>
      <c r="CH10" s="194">
        <f t="shared" si="15"/>
        <v>63.98228278355554</v>
      </c>
      <c r="CI10" s="194">
        <f t="shared" si="15"/>
        <v>63.98228278355554</v>
      </c>
      <c r="CJ10" s="194">
        <f t="shared" si="15"/>
        <v>63.98228278355554</v>
      </c>
      <c r="CK10" s="194">
        <f t="shared" si="15"/>
        <v>63.98228278355554</v>
      </c>
      <c r="CL10" s="194">
        <f t="shared" si="15"/>
        <v>63.98228278355554</v>
      </c>
      <c r="CM10" s="194">
        <f t="shared" si="15"/>
        <v>63.98228278355554</v>
      </c>
      <c r="CN10" s="194">
        <f t="shared" si="15"/>
        <v>63.98228278355554</v>
      </c>
      <c r="CO10" s="195">
        <f>SUM(CC10:CN10)</f>
        <v>767.7873934026665</v>
      </c>
      <c r="CP10" s="194">
        <f t="shared" si="15"/>
        <v>63.98228278355554</v>
      </c>
      <c r="CQ10" s="194">
        <f t="shared" si="15"/>
        <v>63.98228278355554</v>
      </c>
      <c r="CR10" s="194">
        <f t="shared" si="15"/>
        <v>63.98228278355554</v>
      </c>
      <c r="CS10" s="194">
        <f t="shared" si="15"/>
        <v>63.98228278355554</v>
      </c>
      <c r="CT10" s="194">
        <f t="shared" si="15"/>
        <v>63.98228278355554</v>
      </c>
      <c r="CU10" s="194">
        <f t="shared" si="15"/>
        <v>63.98228278355554</v>
      </c>
      <c r="CV10" s="194">
        <f t="shared" si="15"/>
        <v>63.98228278355554</v>
      </c>
      <c r="CW10" s="194">
        <f t="shared" si="15"/>
        <v>63.98228278355554</v>
      </c>
      <c r="CX10" s="194">
        <f t="shared" si="15"/>
        <v>63.98228278355554</v>
      </c>
      <c r="CY10" s="194">
        <f t="shared" si="15"/>
        <v>63.98228278355554</v>
      </c>
      <c r="CZ10" s="194">
        <f aca="true" t="shared" si="16" ref="CZ10:DK10">$AK$12/$B$13</f>
        <v>63.98228278355554</v>
      </c>
      <c r="DA10" s="194">
        <f t="shared" si="16"/>
        <v>63.98228278355554</v>
      </c>
      <c r="DB10" s="195">
        <f>SUM(CP10:DA10)</f>
        <v>767.7873934026665</v>
      </c>
      <c r="DC10" s="194">
        <f t="shared" si="16"/>
        <v>63.98228278355554</v>
      </c>
      <c r="DD10" s="194">
        <f t="shared" si="16"/>
        <v>63.98228278355554</v>
      </c>
      <c r="DE10" s="194">
        <f t="shared" si="16"/>
        <v>63.98228278355554</v>
      </c>
      <c r="DF10" s="194">
        <f t="shared" si="16"/>
        <v>63.98228278355554</v>
      </c>
      <c r="DG10" s="194">
        <f t="shared" si="16"/>
        <v>63.98228278355554</v>
      </c>
      <c r="DH10" s="194">
        <f t="shared" si="16"/>
        <v>63.98228278355554</v>
      </c>
      <c r="DI10" s="194">
        <f t="shared" si="16"/>
        <v>63.98228278355554</v>
      </c>
      <c r="DJ10" s="194">
        <f t="shared" si="16"/>
        <v>63.98228278355554</v>
      </c>
      <c r="DK10" s="194">
        <f t="shared" si="16"/>
        <v>63.98228278355554</v>
      </c>
      <c r="DL10" s="194"/>
      <c r="DM10" s="194"/>
      <c r="DN10" s="194"/>
      <c r="DO10" s="195">
        <f>SUM(DC10:DN10)</f>
        <v>575.8405450519998</v>
      </c>
      <c r="DP10" s="196"/>
    </row>
    <row r="11" spans="1:120" ht="12.75" hidden="1">
      <c r="A11" s="188" t="s">
        <v>15</v>
      </c>
      <c r="B11" s="193">
        <f>O11+AB11+AO11+BB11+BO11+CB11+CO11+DB11+DO11</f>
        <v>1064.825141225325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9"/>
      <c r="M11" s="199"/>
      <c r="N11" s="199"/>
      <c r="O11" s="195">
        <f>SUM(C11:N11)</f>
        <v>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5">
        <f>SUM(P11:AA11)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4">
        <f aca="true" t="shared" si="17" ref="AL11:BN11">AL9</f>
        <v>27.992248717805552</v>
      </c>
      <c r="AM11" s="194">
        <f t="shared" si="17"/>
        <v>27.619018734901477</v>
      </c>
      <c r="AN11" s="194">
        <f t="shared" si="17"/>
        <v>27.24578875199741</v>
      </c>
      <c r="AO11" s="195">
        <f>SUM(AC11:AN11)</f>
        <v>82.85705620470443</v>
      </c>
      <c r="AP11" s="194">
        <f t="shared" si="17"/>
        <v>26.872558769093335</v>
      </c>
      <c r="AQ11" s="194">
        <f t="shared" si="17"/>
        <v>26.499328786189267</v>
      </c>
      <c r="AR11" s="194">
        <f t="shared" si="17"/>
        <v>26.126098803285192</v>
      </c>
      <c r="AS11" s="194">
        <f t="shared" si="17"/>
        <v>25.752868820381124</v>
      </c>
      <c r="AT11" s="194">
        <f t="shared" si="17"/>
        <v>25.37963883747705</v>
      </c>
      <c r="AU11" s="194">
        <f t="shared" si="17"/>
        <v>25.00640885457298</v>
      </c>
      <c r="AV11" s="194">
        <f t="shared" si="17"/>
        <v>24.633178871668907</v>
      </c>
      <c r="AW11" s="194">
        <f t="shared" si="17"/>
        <v>24.25994888876484</v>
      </c>
      <c r="AX11" s="194">
        <f t="shared" si="17"/>
        <v>23.886718905860764</v>
      </c>
      <c r="AY11" s="194">
        <f t="shared" si="17"/>
        <v>23.513488922956693</v>
      </c>
      <c r="AZ11" s="194">
        <f t="shared" si="17"/>
        <v>23.140258940052615</v>
      </c>
      <c r="BA11" s="194">
        <f t="shared" si="17"/>
        <v>22.76702895714854</v>
      </c>
      <c r="BB11" s="195">
        <f>SUM(AP11:BA11)</f>
        <v>297.83752635745134</v>
      </c>
      <c r="BC11" s="194">
        <f t="shared" si="17"/>
        <v>22.393798974244465</v>
      </c>
      <c r="BD11" s="194">
        <f t="shared" si="17"/>
        <v>22.020568991340394</v>
      </c>
      <c r="BE11" s="194">
        <f t="shared" si="17"/>
        <v>21.64733900843632</v>
      </c>
      <c r="BF11" s="194">
        <f t="shared" si="17"/>
        <v>21.274109025532244</v>
      </c>
      <c r="BG11" s="194">
        <f t="shared" si="17"/>
        <v>20.900879042628173</v>
      </c>
      <c r="BH11" s="194">
        <f t="shared" si="17"/>
        <v>20.527649059724098</v>
      </c>
      <c r="BI11" s="194">
        <f t="shared" si="17"/>
        <v>20.154419076820023</v>
      </c>
      <c r="BJ11" s="194">
        <f t="shared" si="17"/>
        <v>19.78118909391595</v>
      </c>
      <c r="BK11" s="194">
        <f t="shared" si="17"/>
        <v>19.407959111011873</v>
      </c>
      <c r="BL11" s="194">
        <f t="shared" si="17"/>
        <v>19.034729128107802</v>
      </c>
      <c r="BM11" s="194">
        <f t="shared" si="17"/>
        <v>18.661499145203727</v>
      </c>
      <c r="BN11" s="194">
        <f t="shared" si="17"/>
        <v>18.288269162299652</v>
      </c>
      <c r="BO11" s="195">
        <f>SUM(BC11:BN11)</f>
        <v>244.09240881926473</v>
      </c>
      <c r="BP11" s="194">
        <f aca="true" t="shared" si="18" ref="BP11:CA11">BP9</f>
        <v>17.915039179395578</v>
      </c>
      <c r="BQ11" s="194">
        <f t="shared" si="18"/>
        <v>17.541809196491503</v>
      </c>
      <c r="BR11" s="194">
        <f t="shared" si="18"/>
        <v>17.16857921358743</v>
      </c>
      <c r="BS11" s="194">
        <f t="shared" si="18"/>
        <v>16.795349230683357</v>
      </c>
      <c r="BT11" s="194">
        <f t="shared" si="18"/>
        <v>16.422119247779282</v>
      </c>
      <c r="BU11" s="194">
        <f t="shared" si="18"/>
        <v>16.04888926487521</v>
      </c>
      <c r="BV11" s="194">
        <f t="shared" si="18"/>
        <v>15.675659281971134</v>
      </c>
      <c r="BW11" s="194">
        <f t="shared" si="18"/>
        <v>15.30242929906706</v>
      </c>
      <c r="BX11" s="194">
        <f t="shared" si="18"/>
        <v>14.929199316162986</v>
      </c>
      <c r="BY11" s="194">
        <f t="shared" si="18"/>
        <v>14.555969333258913</v>
      </c>
      <c r="BZ11" s="194">
        <f t="shared" si="18"/>
        <v>14.182739350354838</v>
      </c>
      <c r="CA11" s="194">
        <f t="shared" si="18"/>
        <v>13.809509367450765</v>
      </c>
      <c r="CB11" s="195">
        <f>SUM(BP11:CA11)</f>
        <v>190.34729128107807</v>
      </c>
      <c r="CC11" s="194">
        <f aca="true" t="shared" si="19" ref="CC11:CN11">CC9</f>
        <v>13.436279384546689</v>
      </c>
      <c r="CD11" s="194">
        <f t="shared" si="19"/>
        <v>13.063049401642616</v>
      </c>
      <c r="CE11" s="194">
        <f t="shared" si="19"/>
        <v>12.689819418738542</v>
      </c>
      <c r="CF11" s="194">
        <f t="shared" si="19"/>
        <v>12.316589435834468</v>
      </c>
      <c r="CG11" s="194">
        <f t="shared" si="19"/>
        <v>11.943359452930395</v>
      </c>
      <c r="CH11" s="194">
        <f t="shared" si="19"/>
        <v>11.570129470026322</v>
      </c>
      <c r="CI11" s="194">
        <f t="shared" si="19"/>
        <v>11.196899487122245</v>
      </c>
      <c r="CJ11" s="194">
        <f t="shared" si="19"/>
        <v>10.823669504218172</v>
      </c>
      <c r="CK11" s="194">
        <f t="shared" si="19"/>
        <v>10.450439521314097</v>
      </c>
      <c r="CL11" s="194">
        <f t="shared" si="19"/>
        <v>10.077209538410024</v>
      </c>
      <c r="CM11" s="194">
        <f t="shared" si="19"/>
        <v>9.70397955550595</v>
      </c>
      <c r="CN11" s="194">
        <f t="shared" si="19"/>
        <v>9.330749572601876</v>
      </c>
      <c r="CO11" s="195">
        <f>SUM(CC11:CN11)</f>
        <v>136.6021737428914</v>
      </c>
      <c r="CP11" s="194">
        <f aca="true" t="shared" si="20" ref="CP11:DA11">CP9</f>
        <v>8.957519589697801</v>
      </c>
      <c r="CQ11" s="194">
        <f t="shared" si="20"/>
        <v>8.584289606793726</v>
      </c>
      <c r="CR11" s="194">
        <f t="shared" si="20"/>
        <v>8.211059623889653</v>
      </c>
      <c r="CS11" s="194">
        <f t="shared" si="20"/>
        <v>7.837829640985579</v>
      </c>
      <c r="CT11" s="194">
        <f t="shared" si="20"/>
        <v>7.464599658081505</v>
      </c>
      <c r="CU11" s="194">
        <f t="shared" si="20"/>
        <v>7.0913696751774316</v>
      </c>
      <c r="CV11" s="194">
        <f t="shared" si="20"/>
        <v>6.718139692273357</v>
      </c>
      <c r="CW11" s="194">
        <f t="shared" si="20"/>
        <v>6.344909709369283</v>
      </c>
      <c r="CX11" s="194">
        <f t="shared" si="20"/>
        <v>5.971679726465209</v>
      </c>
      <c r="CY11" s="194">
        <f t="shared" si="20"/>
        <v>5.598449743561134</v>
      </c>
      <c r="CZ11" s="194">
        <f t="shared" si="20"/>
        <v>5.225219760657061</v>
      </c>
      <c r="DA11" s="194">
        <f t="shared" si="20"/>
        <v>4.851989777752986</v>
      </c>
      <c r="DB11" s="195">
        <f>SUM(CP11:DA11)</f>
        <v>82.85705620470472</v>
      </c>
      <c r="DC11" s="194">
        <f aca="true" t="shared" si="21" ref="DC11:DN11">DC9</f>
        <v>4.478759794848913</v>
      </c>
      <c r="DD11" s="194">
        <f t="shared" si="21"/>
        <v>4.105529811944838</v>
      </c>
      <c r="DE11" s="194">
        <f t="shared" si="21"/>
        <v>3.7322998290407643</v>
      </c>
      <c r="DF11" s="194">
        <f t="shared" si="21"/>
        <v>3.359069846136691</v>
      </c>
      <c r="DG11" s="194">
        <f t="shared" si="21"/>
        <v>2.9858398632326164</v>
      </c>
      <c r="DH11" s="194">
        <f t="shared" si="21"/>
        <v>2.612609880328542</v>
      </c>
      <c r="DI11" s="194">
        <f t="shared" si="21"/>
        <v>2.239379897424468</v>
      </c>
      <c r="DJ11" s="194">
        <f t="shared" si="21"/>
        <v>1.8661499145203944</v>
      </c>
      <c r="DK11" s="194">
        <f t="shared" si="21"/>
        <v>1.49291993161632</v>
      </c>
      <c r="DL11" s="194">
        <f t="shared" si="21"/>
        <v>1.119689948712246</v>
      </c>
      <c r="DM11" s="194">
        <f t="shared" si="21"/>
        <v>1.119689948712246</v>
      </c>
      <c r="DN11" s="194">
        <f t="shared" si="21"/>
        <v>1.119689948712246</v>
      </c>
      <c r="DO11" s="195">
        <f>SUM(DC11:DN11)</f>
        <v>30.231628615230285</v>
      </c>
      <c r="DP11" s="196" t="s">
        <v>58</v>
      </c>
    </row>
    <row r="12" spans="1:120" ht="12.75" hidden="1">
      <c r="A12" s="188" t="s">
        <v>16</v>
      </c>
      <c r="B12" s="193">
        <f>DO12</f>
        <v>191.94684835067073</v>
      </c>
      <c r="C12" s="194">
        <f>C7</f>
        <v>0</v>
      </c>
      <c r="D12" s="194">
        <f>C12+D7-D10+D8</f>
        <v>0</v>
      </c>
      <c r="E12" s="194">
        <f>D12+E7-E10+E8</f>
        <v>0</v>
      </c>
      <c r="F12" s="194">
        <f>E12+F7-F10+F8</f>
        <v>0</v>
      </c>
      <c r="G12" s="194">
        <f aca="true" t="shared" si="22" ref="G12:L12">F12+G7-G10+G8</f>
        <v>0</v>
      </c>
      <c r="H12" s="194">
        <f>G12+H7-H10+H8</f>
        <v>0</v>
      </c>
      <c r="I12" s="194">
        <f t="shared" si="22"/>
        <v>0</v>
      </c>
      <c r="J12" s="194">
        <f t="shared" si="22"/>
        <v>0</v>
      </c>
      <c r="K12" s="194">
        <f t="shared" si="22"/>
        <v>0</v>
      </c>
      <c r="L12" s="194">
        <f t="shared" si="22"/>
        <v>0</v>
      </c>
      <c r="M12" s="194">
        <f>L12+M7-M10+M8</f>
        <v>4252.8843799999995</v>
      </c>
      <c r="N12" s="194">
        <f>M12+N7-N10+N8</f>
        <v>4252.8843799999995</v>
      </c>
      <c r="O12" s="195">
        <f>N12</f>
        <v>4252.8843799999995</v>
      </c>
      <c r="P12" s="194">
        <f>O12+P7-P10+P8</f>
        <v>4252.8843799999995</v>
      </c>
      <c r="Q12" s="194">
        <f aca="true" t="shared" si="23" ref="Q12:Z12">P12+Q7-Q10+Q8</f>
        <v>4252.8843799999995</v>
      </c>
      <c r="R12" s="194">
        <f t="shared" si="23"/>
        <v>4252.8843799999995</v>
      </c>
      <c r="S12" s="194">
        <f t="shared" si="23"/>
        <v>4252.8843799999995</v>
      </c>
      <c r="T12" s="194">
        <f t="shared" si="23"/>
        <v>4252.8843799999995</v>
      </c>
      <c r="U12" s="194">
        <f t="shared" si="23"/>
        <v>4252.8843799999995</v>
      </c>
      <c r="V12" s="194">
        <f t="shared" si="23"/>
        <v>4252.8843799999995</v>
      </c>
      <c r="W12" s="194">
        <f t="shared" si="23"/>
        <v>4252.8843799999995</v>
      </c>
      <c r="X12" s="194">
        <f t="shared" si="23"/>
        <v>4252.8843799999995</v>
      </c>
      <c r="Y12" s="194">
        <f t="shared" si="23"/>
        <v>4252.8843799999995</v>
      </c>
      <c r="Z12" s="194">
        <f t="shared" si="23"/>
        <v>4252.8843799999995</v>
      </c>
      <c r="AA12" s="194">
        <f>Z12+AA7-AA10+AA8</f>
        <v>4252.8843799999995</v>
      </c>
      <c r="AB12" s="195">
        <f>AA12</f>
        <v>4252.8843799999995</v>
      </c>
      <c r="AC12" s="194">
        <f>AB12+AC7-AC10+AC8</f>
        <v>4252.8843799999995</v>
      </c>
      <c r="AD12" s="194">
        <f aca="true" t="shared" si="24" ref="AD12:AN12">AC12+AD7-AD10+AD8</f>
        <v>4252.8843799999995</v>
      </c>
      <c r="AE12" s="194">
        <f t="shared" si="24"/>
        <v>4252.8843799999995</v>
      </c>
      <c r="AF12" s="194">
        <f t="shared" si="24"/>
        <v>4252.8843799999995</v>
      </c>
      <c r="AG12" s="194">
        <f t="shared" si="24"/>
        <v>4252.8843799999995</v>
      </c>
      <c r="AH12" s="194">
        <f t="shared" si="24"/>
        <v>4252.8843799999995</v>
      </c>
      <c r="AI12" s="194">
        <f t="shared" si="24"/>
        <v>4252.8843799999995</v>
      </c>
      <c r="AJ12" s="194">
        <f t="shared" si="24"/>
        <v>4252.8843799999995</v>
      </c>
      <c r="AK12" s="194">
        <f t="shared" si="24"/>
        <v>4798.671208766666</v>
      </c>
      <c r="AL12" s="194">
        <f t="shared" si="24"/>
        <v>4734.6889259831105</v>
      </c>
      <c r="AM12" s="194">
        <f t="shared" si="24"/>
        <v>4670.706643199555</v>
      </c>
      <c r="AN12" s="194">
        <f t="shared" si="24"/>
        <v>4606.724360416</v>
      </c>
      <c r="AO12" s="195">
        <f>AN12</f>
        <v>4606.724360416</v>
      </c>
      <c r="AP12" s="194">
        <f>AO12+AP7-AP10+AP8</f>
        <v>4542.742077632445</v>
      </c>
      <c r="AQ12" s="194">
        <f aca="true" t="shared" si="25" ref="AQ12:BA12">AP12+AQ7-AQ10+AQ8</f>
        <v>4478.75979484889</v>
      </c>
      <c r="AR12" s="194">
        <f t="shared" si="25"/>
        <v>4414.777512065335</v>
      </c>
      <c r="AS12" s="194">
        <f t="shared" si="25"/>
        <v>4350.79522928178</v>
      </c>
      <c r="AT12" s="194">
        <f t="shared" si="25"/>
        <v>4286.812946498225</v>
      </c>
      <c r="AU12" s="194">
        <f t="shared" si="25"/>
        <v>4222.83066371467</v>
      </c>
      <c r="AV12" s="194">
        <f t="shared" si="25"/>
        <v>4158.848380931115</v>
      </c>
      <c r="AW12" s="194">
        <f t="shared" si="25"/>
        <v>4094.866098147559</v>
      </c>
      <c r="AX12" s="194">
        <f t="shared" si="25"/>
        <v>4030.8838153640036</v>
      </c>
      <c r="AY12" s="194">
        <f t="shared" si="25"/>
        <v>3966.901532580448</v>
      </c>
      <c r="AZ12" s="194">
        <f t="shared" si="25"/>
        <v>3902.9192497968925</v>
      </c>
      <c r="BA12" s="194">
        <f t="shared" si="25"/>
        <v>3838.936967013337</v>
      </c>
      <c r="BB12" s="195">
        <f>BA12</f>
        <v>3838.936967013337</v>
      </c>
      <c r="BC12" s="194">
        <f>BB12+BC7-BC10+BC8</f>
        <v>3774.9546842297814</v>
      </c>
      <c r="BD12" s="194">
        <f aca="true" t="shared" si="26" ref="BD12:BN12">BC12+BD7-BD10+BD8</f>
        <v>3710.972401446226</v>
      </c>
      <c r="BE12" s="194">
        <f t="shared" si="26"/>
        <v>3646.9901186626703</v>
      </c>
      <c r="BF12" s="194">
        <f t="shared" si="26"/>
        <v>3583.0078358791147</v>
      </c>
      <c r="BG12" s="194">
        <f t="shared" si="26"/>
        <v>3519.025553095559</v>
      </c>
      <c r="BH12" s="194">
        <f t="shared" si="26"/>
        <v>3455.0432703120036</v>
      </c>
      <c r="BI12" s="194">
        <f t="shared" si="26"/>
        <v>3391.060987528448</v>
      </c>
      <c r="BJ12" s="194">
        <f t="shared" si="26"/>
        <v>3327.0787047448925</v>
      </c>
      <c r="BK12" s="194">
        <f t="shared" si="26"/>
        <v>3263.096421961337</v>
      </c>
      <c r="BL12" s="194">
        <f t="shared" si="26"/>
        <v>3199.1141391777815</v>
      </c>
      <c r="BM12" s="194">
        <f t="shared" si="26"/>
        <v>3135.131856394226</v>
      </c>
      <c r="BN12" s="194">
        <f t="shared" si="26"/>
        <v>3071.1495736106704</v>
      </c>
      <c r="BO12" s="195">
        <f>BN12</f>
        <v>3071.1495736106704</v>
      </c>
      <c r="BP12" s="194">
        <f aca="true" t="shared" si="27" ref="BP12:CA12">BO12+BP7-BP10+BP8</f>
        <v>3007.167290827115</v>
      </c>
      <c r="BQ12" s="194">
        <f t="shared" si="27"/>
        <v>2943.1850080435593</v>
      </c>
      <c r="BR12" s="194">
        <f t="shared" si="27"/>
        <v>2879.2027252600037</v>
      </c>
      <c r="BS12" s="194">
        <f t="shared" si="27"/>
        <v>2815.220442476448</v>
      </c>
      <c r="BT12" s="194">
        <f t="shared" si="27"/>
        <v>2751.2381596928926</v>
      </c>
      <c r="BU12" s="194">
        <f t="shared" si="27"/>
        <v>2687.255876909337</v>
      </c>
      <c r="BV12" s="194">
        <f t="shared" si="27"/>
        <v>2623.2735941257815</v>
      </c>
      <c r="BW12" s="194">
        <f t="shared" si="27"/>
        <v>2559.291311342226</v>
      </c>
      <c r="BX12" s="194">
        <f t="shared" si="27"/>
        <v>2495.3090285586704</v>
      </c>
      <c r="BY12" s="194">
        <f t="shared" si="27"/>
        <v>2431.326745775115</v>
      </c>
      <c r="BZ12" s="194">
        <f t="shared" si="27"/>
        <v>2367.3444629915593</v>
      </c>
      <c r="CA12" s="194">
        <f t="shared" si="27"/>
        <v>2303.362180208004</v>
      </c>
      <c r="CB12" s="195">
        <f>CA12</f>
        <v>2303.362180208004</v>
      </c>
      <c r="CC12" s="194">
        <f aca="true" t="shared" si="28" ref="CC12:CN12">CB12+CC7-CC10+CC8</f>
        <v>2239.3798974244482</v>
      </c>
      <c r="CD12" s="194">
        <f t="shared" si="28"/>
        <v>2175.3976146408927</v>
      </c>
      <c r="CE12" s="194">
        <f t="shared" si="28"/>
        <v>2111.415331857337</v>
      </c>
      <c r="CF12" s="194">
        <f t="shared" si="28"/>
        <v>2047.4330490737816</v>
      </c>
      <c r="CG12" s="194">
        <f t="shared" si="28"/>
        <v>1983.450766290226</v>
      </c>
      <c r="CH12" s="194">
        <f t="shared" si="28"/>
        <v>1919.4684835066705</v>
      </c>
      <c r="CI12" s="194">
        <f t="shared" si="28"/>
        <v>1855.486200723115</v>
      </c>
      <c r="CJ12" s="194">
        <f t="shared" si="28"/>
        <v>1791.5039179395594</v>
      </c>
      <c r="CK12" s="194">
        <f t="shared" si="28"/>
        <v>1727.5216351560039</v>
      </c>
      <c r="CL12" s="194">
        <f t="shared" si="28"/>
        <v>1663.5393523724483</v>
      </c>
      <c r="CM12" s="194">
        <f t="shared" si="28"/>
        <v>1599.5570695888928</v>
      </c>
      <c r="CN12" s="194">
        <f t="shared" si="28"/>
        <v>1535.5747868053372</v>
      </c>
      <c r="CO12" s="195">
        <f>CN12</f>
        <v>1535.5747868053372</v>
      </c>
      <c r="CP12" s="194">
        <f aca="true" t="shared" si="29" ref="CP12:DA12">CO12+CP7-CP10+CP8</f>
        <v>1471.5925040217817</v>
      </c>
      <c r="CQ12" s="194">
        <f t="shared" si="29"/>
        <v>1407.6102212382261</v>
      </c>
      <c r="CR12" s="194">
        <f t="shared" si="29"/>
        <v>1343.6279384546706</v>
      </c>
      <c r="CS12" s="194">
        <f t="shared" si="29"/>
        <v>1279.645655671115</v>
      </c>
      <c r="CT12" s="194">
        <f t="shared" si="29"/>
        <v>1215.6633728875595</v>
      </c>
      <c r="CU12" s="194">
        <f t="shared" si="29"/>
        <v>1151.681090104004</v>
      </c>
      <c r="CV12" s="194">
        <f t="shared" si="29"/>
        <v>1087.6988073204484</v>
      </c>
      <c r="CW12" s="194">
        <f t="shared" si="29"/>
        <v>1023.7165245368928</v>
      </c>
      <c r="CX12" s="194">
        <f t="shared" si="29"/>
        <v>959.7342417533373</v>
      </c>
      <c r="CY12" s="194">
        <f t="shared" si="29"/>
        <v>895.7519589697818</v>
      </c>
      <c r="CZ12" s="194">
        <f t="shared" si="29"/>
        <v>831.7696761862262</v>
      </c>
      <c r="DA12" s="194">
        <f t="shared" si="29"/>
        <v>767.7873934026707</v>
      </c>
      <c r="DB12" s="195">
        <f>DA12</f>
        <v>767.7873934026707</v>
      </c>
      <c r="DC12" s="194">
        <f aca="true" t="shared" si="30" ref="DC12:DN12">DB12+DC7-DC10+DC8</f>
        <v>703.8051106191151</v>
      </c>
      <c r="DD12" s="194">
        <f t="shared" si="30"/>
        <v>639.8228278355596</v>
      </c>
      <c r="DE12" s="194">
        <f t="shared" si="30"/>
        <v>575.840545052004</v>
      </c>
      <c r="DF12" s="194">
        <f t="shared" si="30"/>
        <v>511.85826226844847</v>
      </c>
      <c r="DG12" s="194">
        <f t="shared" si="30"/>
        <v>447.8759794848929</v>
      </c>
      <c r="DH12" s="194">
        <f t="shared" si="30"/>
        <v>383.8936967013374</v>
      </c>
      <c r="DI12" s="194">
        <f t="shared" si="30"/>
        <v>319.91141391778183</v>
      </c>
      <c r="DJ12" s="194">
        <f t="shared" si="30"/>
        <v>255.92913113422628</v>
      </c>
      <c r="DK12" s="194">
        <f t="shared" si="30"/>
        <v>191.94684835067073</v>
      </c>
      <c r="DL12" s="194">
        <f t="shared" si="30"/>
        <v>191.94684835067073</v>
      </c>
      <c r="DM12" s="194">
        <f t="shared" si="30"/>
        <v>191.94684835067073</v>
      </c>
      <c r="DN12" s="194">
        <f t="shared" si="30"/>
        <v>191.94684835067073</v>
      </c>
      <c r="DO12" s="195">
        <f>DN12</f>
        <v>191.94684835067073</v>
      </c>
      <c r="DP12" s="200">
        <f>MAX(C12:BO12)</f>
        <v>4798.671208766666</v>
      </c>
    </row>
    <row r="13" spans="1:120" ht="12.75" hidden="1">
      <c r="A13" s="177" t="s">
        <v>78</v>
      </c>
      <c r="B13" s="177">
        <f>Исх!C37*12-Исх!C38</f>
        <v>75</v>
      </c>
      <c r="DP13" s="180"/>
    </row>
    <row r="14" ht="12.75" hidden="1"/>
    <row r="15" ht="12.75" hidden="1">
      <c r="A15" s="268" t="s">
        <v>238</v>
      </c>
    </row>
    <row r="16" ht="12.75" hidden="1" outlineLevel="1">
      <c r="A16" s="269">
        <f>B7+B8-B10</f>
        <v>191.9468483506671</v>
      </c>
    </row>
    <row r="17" ht="12.75" hidden="1" outlineLevel="1">
      <c r="A17" s="269">
        <f>B9-B8-B11</f>
        <v>0</v>
      </c>
    </row>
    <row r="18" ht="12.75" hidden="1" collapsed="1"/>
    <row r="19" spans="1:119" ht="12.75">
      <c r="A19" s="291" t="s">
        <v>260</v>
      </c>
      <c r="B19" s="292"/>
      <c r="DB19" s="177"/>
      <c r="DO19" s="177"/>
    </row>
    <row r="20" spans="1:119" ht="15.75" customHeight="1">
      <c r="A20" s="186" t="s">
        <v>11</v>
      </c>
      <c r="B20" s="284">
        <f>Исх!C36</f>
        <v>0.07</v>
      </c>
      <c r="C20" s="360">
        <v>2013</v>
      </c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>
        <v>2014</v>
      </c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>
        <v>2015</v>
      </c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>
        <v>2016</v>
      </c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>
        <v>2017</v>
      </c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>
        <v>2018</v>
      </c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>
        <v>2019</v>
      </c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>
        <v>2020</v>
      </c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>
        <v>2021</v>
      </c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</row>
    <row r="21" spans="1:119" s="192" customFormat="1" ht="15" customHeight="1">
      <c r="A21" s="188" t="s">
        <v>9</v>
      </c>
      <c r="B21" s="189" t="s">
        <v>89</v>
      </c>
      <c r="C21" s="190">
        <v>1</v>
      </c>
      <c r="D21" s="190">
        <v>2</v>
      </c>
      <c r="E21" s="190">
        <f aca="true" t="shared" si="31" ref="E21:N21">D21+1</f>
        <v>3</v>
      </c>
      <c r="F21" s="190">
        <f t="shared" si="31"/>
        <v>4</v>
      </c>
      <c r="G21" s="190">
        <f t="shared" si="31"/>
        <v>5</v>
      </c>
      <c r="H21" s="190">
        <f t="shared" si="31"/>
        <v>6</v>
      </c>
      <c r="I21" s="190">
        <f t="shared" si="31"/>
        <v>7</v>
      </c>
      <c r="J21" s="190">
        <f t="shared" si="31"/>
        <v>8</v>
      </c>
      <c r="K21" s="190">
        <f t="shared" si="31"/>
        <v>9</v>
      </c>
      <c r="L21" s="190">
        <f t="shared" si="31"/>
        <v>10</v>
      </c>
      <c r="M21" s="190">
        <f t="shared" si="31"/>
        <v>11</v>
      </c>
      <c r="N21" s="190">
        <f t="shared" si="31"/>
        <v>12</v>
      </c>
      <c r="O21" s="191" t="s">
        <v>0</v>
      </c>
      <c r="P21" s="190">
        <v>1</v>
      </c>
      <c r="Q21" s="190">
        <v>2</v>
      </c>
      <c r="R21" s="190">
        <f aca="true" t="shared" si="32" ref="R21:AA21">Q21+1</f>
        <v>3</v>
      </c>
      <c r="S21" s="190">
        <f t="shared" si="32"/>
        <v>4</v>
      </c>
      <c r="T21" s="190">
        <f t="shared" si="32"/>
        <v>5</v>
      </c>
      <c r="U21" s="190">
        <f t="shared" si="32"/>
        <v>6</v>
      </c>
      <c r="V21" s="190">
        <f t="shared" si="32"/>
        <v>7</v>
      </c>
      <c r="W21" s="190">
        <f t="shared" si="32"/>
        <v>8</v>
      </c>
      <c r="X21" s="190">
        <f t="shared" si="32"/>
        <v>9</v>
      </c>
      <c r="Y21" s="190">
        <f t="shared" si="32"/>
        <v>10</v>
      </c>
      <c r="Z21" s="190">
        <f t="shared" si="32"/>
        <v>11</v>
      </c>
      <c r="AA21" s="190">
        <f t="shared" si="32"/>
        <v>12</v>
      </c>
      <c r="AB21" s="191" t="str">
        <f>AB6</f>
        <v>Итого</v>
      </c>
      <c r="AC21" s="190">
        <v>1</v>
      </c>
      <c r="AD21" s="190">
        <v>2</v>
      </c>
      <c r="AE21" s="190">
        <f aca="true" t="shared" si="33" ref="AE21:AN21">AD21+1</f>
        <v>3</v>
      </c>
      <c r="AF21" s="190">
        <f t="shared" si="33"/>
        <v>4</v>
      </c>
      <c r="AG21" s="190">
        <f t="shared" si="33"/>
        <v>5</v>
      </c>
      <c r="AH21" s="190">
        <f t="shared" si="33"/>
        <v>6</v>
      </c>
      <c r="AI21" s="190">
        <f t="shared" si="33"/>
        <v>7</v>
      </c>
      <c r="AJ21" s="190">
        <f t="shared" si="33"/>
        <v>8</v>
      </c>
      <c r="AK21" s="190">
        <f t="shared" si="33"/>
        <v>9</v>
      </c>
      <c r="AL21" s="190">
        <f t="shared" si="33"/>
        <v>10</v>
      </c>
      <c r="AM21" s="190">
        <f t="shared" si="33"/>
        <v>11</v>
      </c>
      <c r="AN21" s="190">
        <f t="shared" si="33"/>
        <v>12</v>
      </c>
      <c r="AO21" s="191" t="str">
        <f>AO6</f>
        <v>Итого</v>
      </c>
      <c r="AP21" s="190">
        <v>1</v>
      </c>
      <c r="AQ21" s="190">
        <v>2</v>
      </c>
      <c r="AR21" s="190">
        <f aca="true" t="shared" si="34" ref="AR21:BA21">AQ21+1</f>
        <v>3</v>
      </c>
      <c r="AS21" s="190">
        <f t="shared" si="34"/>
        <v>4</v>
      </c>
      <c r="AT21" s="190">
        <f t="shared" si="34"/>
        <v>5</v>
      </c>
      <c r="AU21" s="190">
        <f t="shared" si="34"/>
        <v>6</v>
      </c>
      <c r="AV21" s="190">
        <f t="shared" si="34"/>
        <v>7</v>
      </c>
      <c r="AW21" s="190">
        <f t="shared" si="34"/>
        <v>8</v>
      </c>
      <c r="AX21" s="190">
        <f t="shared" si="34"/>
        <v>9</v>
      </c>
      <c r="AY21" s="190">
        <f t="shared" si="34"/>
        <v>10</v>
      </c>
      <c r="AZ21" s="190">
        <f t="shared" si="34"/>
        <v>11</v>
      </c>
      <c r="BA21" s="190">
        <f t="shared" si="34"/>
        <v>12</v>
      </c>
      <c r="BB21" s="191" t="str">
        <f>BB6</f>
        <v>Итого</v>
      </c>
      <c r="BC21" s="190">
        <v>1</v>
      </c>
      <c r="BD21" s="190">
        <v>2</v>
      </c>
      <c r="BE21" s="190">
        <f aca="true" t="shared" si="35" ref="BE21:BN21">BD21+1</f>
        <v>3</v>
      </c>
      <c r="BF21" s="190">
        <f t="shared" si="35"/>
        <v>4</v>
      </c>
      <c r="BG21" s="190">
        <f t="shared" si="35"/>
        <v>5</v>
      </c>
      <c r="BH21" s="190">
        <f t="shared" si="35"/>
        <v>6</v>
      </c>
      <c r="BI21" s="190">
        <f t="shared" si="35"/>
        <v>7</v>
      </c>
      <c r="BJ21" s="190">
        <f t="shared" si="35"/>
        <v>8</v>
      </c>
      <c r="BK21" s="190">
        <f t="shared" si="35"/>
        <v>9</v>
      </c>
      <c r="BL21" s="190">
        <f t="shared" si="35"/>
        <v>10</v>
      </c>
      <c r="BM21" s="190">
        <f t="shared" si="35"/>
        <v>11</v>
      </c>
      <c r="BN21" s="190">
        <f t="shared" si="35"/>
        <v>12</v>
      </c>
      <c r="BO21" s="191" t="str">
        <f>BO6</f>
        <v>Итого</v>
      </c>
      <c r="BP21" s="190">
        <v>1</v>
      </c>
      <c r="BQ21" s="190">
        <v>2</v>
      </c>
      <c r="BR21" s="190">
        <f aca="true" t="shared" si="36" ref="BR21:CA21">BQ21+1</f>
        <v>3</v>
      </c>
      <c r="BS21" s="190">
        <f t="shared" si="36"/>
        <v>4</v>
      </c>
      <c r="BT21" s="190">
        <f t="shared" si="36"/>
        <v>5</v>
      </c>
      <c r="BU21" s="190">
        <f t="shared" si="36"/>
        <v>6</v>
      </c>
      <c r="BV21" s="190">
        <f t="shared" si="36"/>
        <v>7</v>
      </c>
      <c r="BW21" s="190">
        <f t="shared" si="36"/>
        <v>8</v>
      </c>
      <c r="BX21" s="190">
        <f t="shared" si="36"/>
        <v>9</v>
      </c>
      <c r="BY21" s="190">
        <f t="shared" si="36"/>
        <v>10</v>
      </c>
      <c r="BZ21" s="190">
        <f t="shared" si="36"/>
        <v>11</v>
      </c>
      <c r="CA21" s="190">
        <f t="shared" si="36"/>
        <v>12</v>
      </c>
      <c r="CB21" s="191" t="str">
        <f>CB6</f>
        <v>Итого</v>
      </c>
      <c r="CC21" s="190">
        <v>1</v>
      </c>
      <c r="CD21" s="190">
        <v>2</v>
      </c>
      <c r="CE21" s="190">
        <f aca="true" t="shared" si="37" ref="CE21:CN21">CD21+1</f>
        <v>3</v>
      </c>
      <c r="CF21" s="190">
        <f t="shared" si="37"/>
        <v>4</v>
      </c>
      <c r="CG21" s="190">
        <f t="shared" si="37"/>
        <v>5</v>
      </c>
      <c r="CH21" s="190">
        <f t="shared" si="37"/>
        <v>6</v>
      </c>
      <c r="CI21" s="190">
        <f t="shared" si="37"/>
        <v>7</v>
      </c>
      <c r="CJ21" s="190">
        <f t="shared" si="37"/>
        <v>8</v>
      </c>
      <c r="CK21" s="190">
        <f t="shared" si="37"/>
        <v>9</v>
      </c>
      <c r="CL21" s="190">
        <f t="shared" si="37"/>
        <v>10</v>
      </c>
      <c r="CM21" s="190">
        <f t="shared" si="37"/>
        <v>11</v>
      </c>
      <c r="CN21" s="190">
        <f t="shared" si="37"/>
        <v>12</v>
      </c>
      <c r="CO21" s="191" t="str">
        <f>CO6</f>
        <v>Итого</v>
      </c>
      <c r="CP21" s="190">
        <v>1</v>
      </c>
      <c r="CQ21" s="190">
        <f>CP21+1</f>
        <v>2</v>
      </c>
      <c r="CR21" s="190">
        <f aca="true" t="shared" si="38" ref="CR21:DA21">CQ21+1</f>
        <v>3</v>
      </c>
      <c r="CS21" s="190">
        <f t="shared" si="38"/>
        <v>4</v>
      </c>
      <c r="CT21" s="190">
        <f t="shared" si="38"/>
        <v>5</v>
      </c>
      <c r="CU21" s="190">
        <f t="shared" si="38"/>
        <v>6</v>
      </c>
      <c r="CV21" s="190">
        <f t="shared" si="38"/>
        <v>7</v>
      </c>
      <c r="CW21" s="190">
        <f t="shared" si="38"/>
        <v>8</v>
      </c>
      <c r="CX21" s="190">
        <f t="shared" si="38"/>
        <v>9</v>
      </c>
      <c r="CY21" s="190">
        <f t="shared" si="38"/>
        <v>10</v>
      </c>
      <c r="CZ21" s="190">
        <f t="shared" si="38"/>
        <v>11</v>
      </c>
      <c r="DA21" s="190">
        <f t="shared" si="38"/>
        <v>12</v>
      </c>
      <c r="DB21" s="191" t="str">
        <f>DB6</f>
        <v>Итого</v>
      </c>
      <c r="DC21" s="190">
        <v>1</v>
      </c>
      <c r="DD21" s="190">
        <f aca="true" t="shared" si="39" ref="DD21:DN21">DC21+1</f>
        <v>2</v>
      </c>
      <c r="DE21" s="190">
        <f t="shared" si="39"/>
        <v>3</v>
      </c>
      <c r="DF21" s="190">
        <f t="shared" si="39"/>
        <v>4</v>
      </c>
      <c r="DG21" s="190">
        <f t="shared" si="39"/>
        <v>5</v>
      </c>
      <c r="DH21" s="190">
        <f t="shared" si="39"/>
        <v>6</v>
      </c>
      <c r="DI21" s="190">
        <f t="shared" si="39"/>
        <v>7</v>
      </c>
      <c r="DJ21" s="190">
        <f t="shared" si="39"/>
        <v>8</v>
      </c>
      <c r="DK21" s="190">
        <f t="shared" si="39"/>
        <v>9</v>
      </c>
      <c r="DL21" s="190">
        <f t="shared" si="39"/>
        <v>10</v>
      </c>
      <c r="DM21" s="190">
        <f t="shared" si="39"/>
        <v>11</v>
      </c>
      <c r="DN21" s="190">
        <f t="shared" si="39"/>
        <v>12</v>
      </c>
      <c r="DO21" s="191" t="s">
        <v>0</v>
      </c>
    </row>
    <row r="22" spans="1:119" ht="12.75">
      <c r="A22" s="188" t="s">
        <v>105</v>
      </c>
      <c r="B22" s="193">
        <f>O22+AB22+AO22+BB22+BO22+CB22+CO22+DB22+DO22</f>
        <v>4252.8843799999995</v>
      </c>
      <c r="C22" s="194">
        <f>C38+C54+C70+C86</f>
        <v>0</v>
      </c>
      <c r="D22" s="194">
        <f aca="true" t="shared" si="40" ref="D22:N22">D38+D54+D70+D86</f>
        <v>0</v>
      </c>
      <c r="E22" s="194">
        <f t="shared" si="40"/>
        <v>0</v>
      </c>
      <c r="F22" s="194">
        <f t="shared" si="40"/>
        <v>0</v>
      </c>
      <c r="G22" s="194">
        <f t="shared" si="40"/>
        <v>0</v>
      </c>
      <c r="H22" s="194">
        <f t="shared" si="40"/>
        <v>0</v>
      </c>
      <c r="I22" s="194">
        <f t="shared" si="40"/>
        <v>0</v>
      </c>
      <c r="J22" s="194">
        <f t="shared" si="40"/>
        <v>0</v>
      </c>
      <c r="K22" s="194">
        <f t="shared" si="40"/>
        <v>0</v>
      </c>
      <c r="L22" s="194">
        <f t="shared" si="40"/>
        <v>0</v>
      </c>
      <c r="M22" s="194">
        <f t="shared" si="40"/>
        <v>4252.8843799999995</v>
      </c>
      <c r="N22" s="194">
        <f t="shared" si="40"/>
        <v>0</v>
      </c>
      <c r="O22" s="195">
        <f>SUM(C22:N22)</f>
        <v>4252.8843799999995</v>
      </c>
      <c r="P22" s="194">
        <f>P38+P54+P70+P86</f>
        <v>0</v>
      </c>
      <c r="Q22" s="194">
        <f aca="true" t="shared" si="41" ref="Q22:AA22">Q38+Q54+Q70+Q86</f>
        <v>0</v>
      </c>
      <c r="R22" s="194">
        <f t="shared" si="41"/>
        <v>0</v>
      </c>
      <c r="S22" s="194">
        <f t="shared" si="41"/>
        <v>0</v>
      </c>
      <c r="T22" s="194">
        <f t="shared" si="41"/>
        <v>0</v>
      </c>
      <c r="U22" s="194">
        <f t="shared" si="41"/>
        <v>0</v>
      </c>
      <c r="V22" s="194">
        <f t="shared" si="41"/>
        <v>0</v>
      </c>
      <c r="W22" s="194">
        <f t="shared" si="41"/>
        <v>0</v>
      </c>
      <c r="X22" s="194">
        <f t="shared" si="41"/>
        <v>0</v>
      </c>
      <c r="Y22" s="194">
        <f t="shared" si="41"/>
        <v>0</v>
      </c>
      <c r="Z22" s="194">
        <f t="shared" si="41"/>
        <v>0</v>
      </c>
      <c r="AA22" s="194">
        <f t="shared" si="41"/>
        <v>0</v>
      </c>
      <c r="AB22" s="195">
        <f>SUM(P22:AA22)</f>
        <v>0</v>
      </c>
      <c r="AC22" s="194">
        <f aca="true" t="shared" si="42" ref="AC22:AN22">AC38+AC54+AC70+AC86</f>
        <v>0</v>
      </c>
      <c r="AD22" s="194">
        <f t="shared" si="42"/>
        <v>0</v>
      </c>
      <c r="AE22" s="194">
        <f t="shared" si="42"/>
        <v>0</v>
      </c>
      <c r="AF22" s="194">
        <f t="shared" si="42"/>
        <v>0</v>
      </c>
      <c r="AG22" s="194">
        <f t="shared" si="42"/>
        <v>0</v>
      </c>
      <c r="AH22" s="194">
        <f t="shared" si="42"/>
        <v>0</v>
      </c>
      <c r="AI22" s="194">
        <f t="shared" si="42"/>
        <v>0</v>
      </c>
      <c r="AJ22" s="194">
        <f t="shared" si="42"/>
        <v>0</v>
      </c>
      <c r="AK22" s="194">
        <f t="shared" si="42"/>
        <v>0</v>
      </c>
      <c r="AL22" s="194">
        <f t="shared" si="42"/>
        <v>0</v>
      </c>
      <c r="AM22" s="194">
        <f t="shared" si="42"/>
        <v>0</v>
      </c>
      <c r="AN22" s="194">
        <f t="shared" si="42"/>
        <v>0</v>
      </c>
      <c r="AO22" s="195">
        <f>SUM(AC22:AN22)</f>
        <v>0</v>
      </c>
      <c r="AP22" s="194">
        <f aca="true" t="shared" si="43" ref="AP22:BA22">AP38+AP54+AP70+AP86</f>
        <v>0</v>
      </c>
      <c r="AQ22" s="194">
        <f t="shared" si="43"/>
        <v>0</v>
      </c>
      <c r="AR22" s="194">
        <f t="shared" si="43"/>
        <v>0</v>
      </c>
      <c r="AS22" s="194">
        <f t="shared" si="43"/>
        <v>0</v>
      </c>
      <c r="AT22" s="194">
        <f t="shared" si="43"/>
        <v>0</v>
      </c>
      <c r="AU22" s="194">
        <f t="shared" si="43"/>
        <v>0</v>
      </c>
      <c r="AV22" s="194">
        <f t="shared" si="43"/>
        <v>0</v>
      </c>
      <c r="AW22" s="194">
        <f t="shared" si="43"/>
        <v>0</v>
      </c>
      <c r="AX22" s="194">
        <f t="shared" si="43"/>
        <v>0</v>
      </c>
      <c r="AY22" s="194">
        <f t="shared" si="43"/>
        <v>0</v>
      </c>
      <c r="AZ22" s="194">
        <f t="shared" si="43"/>
        <v>0</v>
      </c>
      <c r="BA22" s="194">
        <f t="shared" si="43"/>
        <v>0</v>
      </c>
      <c r="BB22" s="195">
        <f>SUM(AP22:BA22)</f>
        <v>0</v>
      </c>
      <c r="BC22" s="194">
        <f aca="true" t="shared" si="44" ref="BC22:BN22">BC38+BC54+BC70+BC86</f>
        <v>0</v>
      </c>
      <c r="BD22" s="194">
        <f t="shared" si="44"/>
        <v>0</v>
      </c>
      <c r="BE22" s="194">
        <f t="shared" si="44"/>
        <v>0</v>
      </c>
      <c r="BF22" s="194">
        <f t="shared" si="44"/>
        <v>0</v>
      </c>
      <c r="BG22" s="194">
        <f t="shared" si="44"/>
        <v>0</v>
      </c>
      <c r="BH22" s="194">
        <f t="shared" si="44"/>
        <v>0</v>
      </c>
      <c r="BI22" s="194">
        <f t="shared" si="44"/>
        <v>0</v>
      </c>
      <c r="BJ22" s="194">
        <f t="shared" si="44"/>
        <v>0</v>
      </c>
      <c r="BK22" s="194">
        <f t="shared" si="44"/>
        <v>0</v>
      </c>
      <c r="BL22" s="194">
        <f t="shared" si="44"/>
        <v>0</v>
      </c>
      <c r="BM22" s="194">
        <f t="shared" si="44"/>
        <v>0</v>
      </c>
      <c r="BN22" s="194">
        <f t="shared" si="44"/>
        <v>0</v>
      </c>
      <c r="BO22" s="195">
        <f>SUM(BC22:BN22)</f>
        <v>0</v>
      </c>
      <c r="BP22" s="194">
        <f aca="true" t="shared" si="45" ref="BP22:CA22">BP38+BP54+BP70+BP86</f>
        <v>0</v>
      </c>
      <c r="BQ22" s="194">
        <f t="shared" si="45"/>
        <v>0</v>
      </c>
      <c r="BR22" s="194">
        <f t="shared" si="45"/>
        <v>0</v>
      </c>
      <c r="BS22" s="194">
        <f t="shared" si="45"/>
        <v>0</v>
      </c>
      <c r="BT22" s="194">
        <f t="shared" si="45"/>
        <v>0</v>
      </c>
      <c r="BU22" s="194">
        <f t="shared" si="45"/>
        <v>0</v>
      </c>
      <c r="BV22" s="194">
        <f t="shared" si="45"/>
        <v>0</v>
      </c>
      <c r="BW22" s="194">
        <f t="shared" si="45"/>
        <v>0</v>
      </c>
      <c r="BX22" s="194">
        <f t="shared" si="45"/>
        <v>0</v>
      </c>
      <c r="BY22" s="194">
        <f t="shared" si="45"/>
        <v>0</v>
      </c>
      <c r="BZ22" s="194">
        <f t="shared" si="45"/>
        <v>0</v>
      </c>
      <c r="CA22" s="194">
        <f t="shared" si="45"/>
        <v>0</v>
      </c>
      <c r="CB22" s="195">
        <f>SUM(BP22:CA22)</f>
        <v>0</v>
      </c>
      <c r="CC22" s="194">
        <f aca="true" t="shared" si="46" ref="CC22:CN22">CC38+CC54+CC70+CC86</f>
        <v>0</v>
      </c>
      <c r="CD22" s="194">
        <f t="shared" si="46"/>
        <v>0</v>
      </c>
      <c r="CE22" s="194">
        <f t="shared" si="46"/>
        <v>0</v>
      </c>
      <c r="CF22" s="194">
        <f t="shared" si="46"/>
        <v>0</v>
      </c>
      <c r="CG22" s="194">
        <f t="shared" si="46"/>
        <v>0</v>
      </c>
      <c r="CH22" s="194">
        <f t="shared" si="46"/>
        <v>0</v>
      </c>
      <c r="CI22" s="194">
        <f t="shared" si="46"/>
        <v>0</v>
      </c>
      <c r="CJ22" s="194">
        <f t="shared" si="46"/>
        <v>0</v>
      </c>
      <c r="CK22" s="194">
        <f t="shared" si="46"/>
        <v>0</v>
      </c>
      <c r="CL22" s="194">
        <f t="shared" si="46"/>
        <v>0</v>
      </c>
      <c r="CM22" s="194">
        <f t="shared" si="46"/>
        <v>0</v>
      </c>
      <c r="CN22" s="194">
        <f t="shared" si="46"/>
        <v>0</v>
      </c>
      <c r="CO22" s="195">
        <f>SUM(CC22:CN22)</f>
        <v>0</v>
      </c>
      <c r="CP22" s="194">
        <f aca="true" t="shared" si="47" ref="CP22:DA22">CP38+CP54+CP70+CP86</f>
        <v>0</v>
      </c>
      <c r="CQ22" s="194">
        <f t="shared" si="47"/>
        <v>0</v>
      </c>
      <c r="CR22" s="194">
        <f t="shared" si="47"/>
        <v>0</v>
      </c>
      <c r="CS22" s="194">
        <f t="shared" si="47"/>
        <v>0</v>
      </c>
      <c r="CT22" s="194">
        <f t="shared" si="47"/>
        <v>0</v>
      </c>
      <c r="CU22" s="194">
        <f t="shared" si="47"/>
        <v>0</v>
      </c>
      <c r="CV22" s="194">
        <f t="shared" si="47"/>
        <v>0</v>
      </c>
      <c r="CW22" s="194">
        <f t="shared" si="47"/>
        <v>0</v>
      </c>
      <c r="CX22" s="194">
        <f t="shared" si="47"/>
        <v>0</v>
      </c>
      <c r="CY22" s="194">
        <f t="shared" si="47"/>
        <v>0</v>
      </c>
      <c r="CZ22" s="194">
        <f t="shared" si="47"/>
        <v>0</v>
      </c>
      <c r="DA22" s="194">
        <f t="shared" si="47"/>
        <v>0</v>
      </c>
      <c r="DB22" s="195">
        <f>SUM(CP22:DA22)</f>
        <v>0</v>
      </c>
      <c r="DC22" s="194">
        <f aca="true" t="shared" si="48" ref="DC22:DN22">DC38+DC54+DC70+DC86</f>
        <v>0</v>
      </c>
      <c r="DD22" s="194">
        <f t="shared" si="48"/>
        <v>0</v>
      </c>
      <c r="DE22" s="194">
        <f t="shared" si="48"/>
        <v>0</v>
      </c>
      <c r="DF22" s="194">
        <f t="shared" si="48"/>
        <v>0</v>
      </c>
      <c r="DG22" s="194">
        <f t="shared" si="48"/>
        <v>0</v>
      </c>
      <c r="DH22" s="194">
        <f t="shared" si="48"/>
        <v>0</v>
      </c>
      <c r="DI22" s="194">
        <f t="shared" si="48"/>
        <v>0</v>
      </c>
      <c r="DJ22" s="194">
        <f t="shared" si="48"/>
        <v>0</v>
      </c>
      <c r="DK22" s="194">
        <f t="shared" si="48"/>
        <v>0</v>
      </c>
      <c r="DL22" s="194">
        <f t="shared" si="48"/>
        <v>0</v>
      </c>
      <c r="DM22" s="194">
        <f t="shared" si="48"/>
        <v>0</v>
      </c>
      <c r="DN22" s="194">
        <f t="shared" si="48"/>
        <v>0</v>
      </c>
      <c r="DO22" s="195">
        <f>SUM(DC22:DN22)</f>
        <v>0</v>
      </c>
    </row>
    <row r="23" spans="1:119" s="197" customFormat="1" ht="20.25" customHeight="1">
      <c r="A23" s="188" t="s">
        <v>31</v>
      </c>
      <c r="B23" s="193">
        <f>O23+AB23+AO23+BB23+BO23+CB23+CO23+DB23+DO23</f>
        <v>148.8509533</v>
      </c>
      <c r="C23" s="194">
        <f aca="true" t="shared" si="49" ref="C23:N27">C39+C55+C71+C87</f>
        <v>0</v>
      </c>
      <c r="D23" s="194">
        <f t="shared" si="49"/>
        <v>0</v>
      </c>
      <c r="E23" s="194">
        <f t="shared" si="49"/>
        <v>0</v>
      </c>
      <c r="F23" s="194">
        <f t="shared" si="49"/>
        <v>0</v>
      </c>
      <c r="G23" s="194">
        <f t="shared" si="49"/>
        <v>0</v>
      </c>
      <c r="H23" s="194">
        <f t="shared" si="49"/>
        <v>0</v>
      </c>
      <c r="I23" s="194">
        <f t="shared" si="49"/>
        <v>0</v>
      </c>
      <c r="J23" s="194">
        <f t="shared" si="49"/>
        <v>0</v>
      </c>
      <c r="K23" s="194">
        <f t="shared" si="49"/>
        <v>0</v>
      </c>
      <c r="L23" s="194">
        <f t="shared" si="49"/>
        <v>0</v>
      </c>
      <c r="M23" s="194">
        <f t="shared" si="49"/>
        <v>0</v>
      </c>
      <c r="N23" s="194">
        <f t="shared" si="49"/>
        <v>0</v>
      </c>
      <c r="O23" s="195">
        <f>SUM(C23:N23)</f>
        <v>0</v>
      </c>
      <c r="P23" s="194">
        <f aca="true" t="shared" si="50" ref="P23:AA23">P39+P55+P71+P87</f>
        <v>0</v>
      </c>
      <c r="Q23" s="194">
        <f t="shared" si="50"/>
        <v>0</v>
      </c>
      <c r="R23" s="194">
        <f t="shared" si="50"/>
        <v>0</v>
      </c>
      <c r="S23" s="194">
        <f t="shared" si="50"/>
        <v>0</v>
      </c>
      <c r="T23" s="194">
        <f t="shared" si="50"/>
        <v>148.8509533</v>
      </c>
      <c r="U23" s="194">
        <f t="shared" si="50"/>
        <v>0</v>
      </c>
      <c r="V23" s="194">
        <f t="shared" si="50"/>
        <v>0</v>
      </c>
      <c r="W23" s="194">
        <f t="shared" si="50"/>
        <v>0</v>
      </c>
      <c r="X23" s="194">
        <f t="shared" si="50"/>
        <v>0</v>
      </c>
      <c r="Y23" s="194">
        <f t="shared" si="50"/>
        <v>0</v>
      </c>
      <c r="Z23" s="194">
        <f t="shared" si="50"/>
        <v>0</v>
      </c>
      <c r="AA23" s="194">
        <f t="shared" si="50"/>
        <v>0</v>
      </c>
      <c r="AB23" s="195">
        <f>SUM(P23:AA23)</f>
        <v>148.8509533</v>
      </c>
      <c r="AC23" s="194">
        <f aca="true" t="shared" si="51" ref="AC23:AN23">AC39+AC55+AC71+AC87</f>
        <v>0</v>
      </c>
      <c r="AD23" s="194">
        <f t="shared" si="51"/>
        <v>0</v>
      </c>
      <c r="AE23" s="194">
        <f t="shared" si="51"/>
        <v>0</v>
      </c>
      <c r="AF23" s="194">
        <f t="shared" si="51"/>
        <v>0</v>
      </c>
      <c r="AG23" s="194">
        <f t="shared" si="51"/>
        <v>0</v>
      </c>
      <c r="AH23" s="194">
        <f t="shared" si="51"/>
        <v>0</v>
      </c>
      <c r="AI23" s="194">
        <f t="shared" si="51"/>
        <v>0</v>
      </c>
      <c r="AJ23" s="194">
        <f t="shared" si="51"/>
        <v>0</v>
      </c>
      <c r="AK23" s="194">
        <f t="shared" si="51"/>
        <v>0</v>
      </c>
      <c r="AL23" s="194">
        <f t="shared" si="51"/>
        <v>0</v>
      </c>
      <c r="AM23" s="194">
        <f t="shared" si="51"/>
        <v>0</v>
      </c>
      <c r="AN23" s="194">
        <f t="shared" si="51"/>
        <v>0</v>
      </c>
      <c r="AO23" s="195">
        <f>SUM(AC23:AN23)</f>
        <v>0</v>
      </c>
      <c r="AP23" s="194">
        <f aca="true" t="shared" si="52" ref="AP23:BA23">AP39+AP55+AP71+AP87</f>
        <v>0</v>
      </c>
      <c r="AQ23" s="194">
        <f t="shared" si="52"/>
        <v>0</v>
      </c>
      <c r="AR23" s="194">
        <f t="shared" si="52"/>
        <v>0</v>
      </c>
      <c r="AS23" s="194">
        <f t="shared" si="52"/>
        <v>0</v>
      </c>
      <c r="AT23" s="194">
        <f t="shared" si="52"/>
        <v>0</v>
      </c>
      <c r="AU23" s="194">
        <f t="shared" si="52"/>
        <v>0</v>
      </c>
      <c r="AV23" s="194">
        <f t="shared" si="52"/>
        <v>0</v>
      </c>
      <c r="AW23" s="194">
        <f t="shared" si="52"/>
        <v>0</v>
      </c>
      <c r="AX23" s="194">
        <f t="shared" si="52"/>
        <v>0</v>
      </c>
      <c r="AY23" s="194">
        <f t="shared" si="52"/>
        <v>0</v>
      </c>
      <c r="AZ23" s="194">
        <f t="shared" si="52"/>
        <v>0</v>
      </c>
      <c r="BA23" s="194">
        <f t="shared" si="52"/>
        <v>0</v>
      </c>
      <c r="BB23" s="195">
        <f>SUM(AP23:BA23)</f>
        <v>0</v>
      </c>
      <c r="BC23" s="194">
        <f aca="true" t="shared" si="53" ref="BC23:BN23">BC39+BC55+BC71+BC87</f>
        <v>0</v>
      </c>
      <c r="BD23" s="194">
        <f t="shared" si="53"/>
        <v>0</v>
      </c>
      <c r="BE23" s="194">
        <f t="shared" si="53"/>
        <v>0</v>
      </c>
      <c r="BF23" s="194">
        <f t="shared" si="53"/>
        <v>0</v>
      </c>
      <c r="BG23" s="194">
        <f t="shared" si="53"/>
        <v>0</v>
      </c>
      <c r="BH23" s="194">
        <f t="shared" si="53"/>
        <v>0</v>
      </c>
      <c r="BI23" s="194">
        <f t="shared" si="53"/>
        <v>0</v>
      </c>
      <c r="BJ23" s="194">
        <f t="shared" si="53"/>
        <v>0</v>
      </c>
      <c r="BK23" s="194">
        <f t="shared" si="53"/>
        <v>0</v>
      </c>
      <c r="BL23" s="194">
        <f t="shared" si="53"/>
        <v>0</v>
      </c>
      <c r="BM23" s="194">
        <f t="shared" si="53"/>
        <v>0</v>
      </c>
      <c r="BN23" s="194">
        <f t="shared" si="53"/>
        <v>0</v>
      </c>
      <c r="BO23" s="195">
        <f>SUM(BC23:BN23)</f>
        <v>0</v>
      </c>
      <c r="BP23" s="194">
        <f aca="true" t="shared" si="54" ref="BP23:CA23">BP39+BP55+BP71+BP87</f>
        <v>0</v>
      </c>
      <c r="BQ23" s="194">
        <f t="shared" si="54"/>
        <v>0</v>
      </c>
      <c r="BR23" s="194">
        <f t="shared" si="54"/>
        <v>0</v>
      </c>
      <c r="BS23" s="194">
        <f t="shared" si="54"/>
        <v>0</v>
      </c>
      <c r="BT23" s="194">
        <f t="shared" si="54"/>
        <v>0</v>
      </c>
      <c r="BU23" s="194">
        <f t="shared" si="54"/>
        <v>0</v>
      </c>
      <c r="BV23" s="194">
        <f t="shared" si="54"/>
        <v>0</v>
      </c>
      <c r="BW23" s="194">
        <f t="shared" si="54"/>
        <v>0</v>
      </c>
      <c r="BX23" s="194">
        <f t="shared" si="54"/>
        <v>0</v>
      </c>
      <c r="BY23" s="194">
        <f t="shared" si="54"/>
        <v>0</v>
      </c>
      <c r="BZ23" s="194">
        <f t="shared" si="54"/>
        <v>0</v>
      </c>
      <c r="CA23" s="194">
        <f t="shared" si="54"/>
        <v>0</v>
      </c>
      <c r="CB23" s="195">
        <f>SUM(BP23:CA23)</f>
        <v>0</v>
      </c>
      <c r="CC23" s="194">
        <f aca="true" t="shared" si="55" ref="CC23:CN23">CC39+CC55+CC71+CC87</f>
        <v>0</v>
      </c>
      <c r="CD23" s="194">
        <f t="shared" si="55"/>
        <v>0</v>
      </c>
      <c r="CE23" s="194">
        <f t="shared" si="55"/>
        <v>0</v>
      </c>
      <c r="CF23" s="194">
        <f t="shared" si="55"/>
        <v>0</v>
      </c>
      <c r="CG23" s="194">
        <f t="shared" si="55"/>
        <v>0</v>
      </c>
      <c r="CH23" s="194">
        <f t="shared" si="55"/>
        <v>0</v>
      </c>
      <c r="CI23" s="194">
        <f t="shared" si="55"/>
        <v>0</v>
      </c>
      <c r="CJ23" s="194">
        <f t="shared" si="55"/>
        <v>0</v>
      </c>
      <c r="CK23" s="194">
        <f t="shared" si="55"/>
        <v>0</v>
      </c>
      <c r="CL23" s="194">
        <f t="shared" si="55"/>
        <v>0</v>
      </c>
      <c r="CM23" s="194">
        <f t="shared" si="55"/>
        <v>0</v>
      </c>
      <c r="CN23" s="194">
        <f t="shared" si="55"/>
        <v>0</v>
      </c>
      <c r="CO23" s="195">
        <f>SUM(CC23:CN23)</f>
        <v>0</v>
      </c>
      <c r="CP23" s="194">
        <f aca="true" t="shared" si="56" ref="CP23:DA23">CP39+CP55+CP71+CP87</f>
        <v>0</v>
      </c>
      <c r="CQ23" s="194">
        <f t="shared" si="56"/>
        <v>0</v>
      </c>
      <c r="CR23" s="194">
        <f t="shared" si="56"/>
        <v>0</v>
      </c>
      <c r="CS23" s="194">
        <f t="shared" si="56"/>
        <v>0</v>
      </c>
      <c r="CT23" s="194">
        <f t="shared" si="56"/>
        <v>0</v>
      </c>
      <c r="CU23" s="194">
        <f t="shared" si="56"/>
        <v>0</v>
      </c>
      <c r="CV23" s="194">
        <f t="shared" si="56"/>
        <v>0</v>
      </c>
      <c r="CW23" s="194">
        <f t="shared" si="56"/>
        <v>0</v>
      </c>
      <c r="CX23" s="194">
        <f t="shared" si="56"/>
        <v>0</v>
      </c>
      <c r="CY23" s="194">
        <f t="shared" si="56"/>
        <v>0</v>
      </c>
      <c r="CZ23" s="194">
        <f t="shared" si="56"/>
        <v>0</v>
      </c>
      <c r="DA23" s="194">
        <f t="shared" si="56"/>
        <v>0</v>
      </c>
      <c r="DB23" s="195">
        <f>SUM(CP23:DA23)</f>
        <v>0</v>
      </c>
      <c r="DC23" s="194">
        <f aca="true" t="shared" si="57" ref="DC23:DN23">DC39+DC55+DC71+DC87</f>
        <v>0</v>
      </c>
      <c r="DD23" s="194">
        <f t="shared" si="57"/>
        <v>0</v>
      </c>
      <c r="DE23" s="194">
        <f t="shared" si="57"/>
        <v>0</v>
      </c>
      <c r="DF23" s="194">
        <f t="shared" si="57"/>
        <v>0</v>
      </c>
      <c r="DG23" s="194">
        <f t="shared" si="57"/>
        <v>0</v>
      </c>
      <c r="DH23" s="194">
        <f t="shared" si="57"/>
        <v>0</v>
      </c>
      <c r="DI23" s="194">
        <f t="shared" si="57"/>
        <v>0</v>
      </c>
      <c r="DJ23" s="194">
        <f t="shared" si="57"/>
        <v>0</v>
      </c>
      <c r="DK23" s="194">
        <f t="shared" si="57"/>
        <v>0</v>
      </c>
      <c r="DL23" s="194">
        <f t="shared" si="57"/>
        <v>0</v>
      </c>
      <c r="DM23" s="194">
        <f t="shared" si="57"/>
        <v>0</v>
      </c>
      <c r="DN23" s="194">
        <f t="shared" si="57"/>
        <v>0</v>
      </c>
      <c r="DO23" s="195">
        <f>SUM(DC23:DN23)</f>
        <v>0</v>
      </c>
    </row>
    <row r="24" spans="1:119" s="197" customFormat="1" ht="12.75">
      <c r="A24" s="198" t="s">
        <v>13</v>
      </c>
      <c r="B24" s="193">
        <f>O24+AB24+AO24+BB24+BO24+CB24+CO24+DB24+DO24</f>
        <v>1271.3718306098478</v>
      </c>
      <c r="C24" s="194">
        <f t="shared" si="49"/>
        <v>0</v>
      </c>
      <c r="D24" s="194">
        <f t="shared" si="49"/>
        <v>0</v>
      </c>
      <c r="E24" s="194">
        <f t="shared" si="49"/>
        <v>0</v>
      </c>
      <c r="F24" s="194">
        <f t="shared" si="49"/>
        <v>0</v>
      </c>
      <c r="G24" s="194">
        <f t="shared" si="49"/>
        <v>0</v>
      </c>
      <c r="H24" s="194">
        <f t="shared" si="49"/>
        <v>0</v>
      </c>
      <c r="I24" s="194">
        <f t="shared" si="49"/>
        <v>0</v>
      </c>
      <c r="J24" s="194">
        <f t="shared" si="49"/>
        <v>0</v>
      </c>
      <c r="K24" s="194">
        <f t="shared" si="49"/>
        <v>0</v>
      </c>
      <c r="L24" s="194">
        <f t="shared" si="49"/>
        <v>0</v>
      </c>
      <c r="M24" s="194">
        <f t="shared" si="49"/>
        <v>0</v>
      </c>
      <c r="N24" s="194">
        <f t="shared" si="49"/>
        <v>24.808492216666664</v>
      </c>
      <c r="O24" s="195">
        <f>SUM(C24:N24)</f>
        <v>24.808492216666664</v>
      </c>
      <c r="P24" s="194">
        <f aca="true" t="shared" si="58" ref="P24:AA24">P40+P56+P72+P88</f>
        <v>24.808492216666664</v>
      </c>
      <c r="Q24" s="194">
        <f t="shared" si="58"/>
        <v>24.808492216666664</v>
      </c>
      <c r="R24" s="194">
        <f t="shared" si="58"/>
        <v>24.808492216666664</v>
      </c>
      <c r="S24" s="194">
        <f t="shared" si="58"/>
        <v>24.808492216666664</v>
      </c>
      <c r="T24" s="194">
        <f t="shared" si="58"/>
        <v>24.808492216666664</v>
      </c>
      <c r="U24" s="194">
        <f t="shared" si="58"/>
        <v>25.676789444249994</v>
      </c>
      <c r="V24" s="194">
        <f t="shared" si="58"/>
        <v>25.676789444249994</v>
      </c>
      <c r="W24" s="194">
        <f t="shared" si="58"/>
        <v>25.676789444249994</v>
      </c>
      <c r="X24" s="194">
        <f t="shared" si="58"/>
        <v>25.676789444249994</v>
      </c>
      <c r="Y24" s="194">
        <f t="shared" si="58"/>
        <v>25.40289759494213</v>
      </c>
      <c r="Z24" s="194">
        <f t="shared" si="58"/>
        <v>25.12740804317996</v>
      </c>
      <c r="AA24" s="194">
        <f t="shared" si="58"/>
        <v>24.850311469032516</v>
      </c>
      <c r="AB24" s="195">
        <f>SUM(P24:AA24)</f>
        <v>302.1302359674879</v>
      </c>
      <c r="AC24" s="194">
        <f aca="true" t="shared" si="59" ref="AC24:AN24">AC40+AC56+AC72+AC88</f>
        <v>24.571598498202537</v>
      </c>
      <c r="AD24" s="194">
        <f t="shared" si="59"/>
        <v>24.29125970170939</v>
      </c>
      <c r="AE24" s="194">
        <f t="shared" si="59"/>
        <v>24.009285595570034</v>
      </c>
      <c r="AF24" s="194">
        <f t="shared" si="59"/>
        <v>23.7256666404782</v>
      </c>
      <c r="AG24" s="194">
        <f t="shared" si="59"/>
        <v>23.44039324148166</v>
      </c>
      <c r="AH24" s="194">
        <f t="shared" si="59"/>
        <v>23.15345574765764</v>
      </c>
      <c r="AI24" s="194">
        <f t="shared" si="59"/>
        <v>22.864844451786315</v>
      </c>
      <c r="AJ24" s="194">
        <f t="shared" si="59"/>
        <v>22.574549590022404</v>
      </c>
      <c r="AK24" s="194">
        <f t="shared" si="59"/>
        <v>22.282561341564875</v>
      </c>
      <c r="AL24" s="194">
        <f t="shared" si="59"/>
        <v>21.988869828324678</v>
      </c>
      <c r="AM24" s="194">
        <f t="shared" si="59"/>
        <v>21.693465114590577</v>
      </c>
      <c r="AN24" s="194">
        <f t="shared" si="59"/>
        <v>21.39633720669303</v>
      </c>
      <c r="AO24" s="195">
        <f>SUM(AC24:AN24)</f>
        <v>275.9922869580813</v>
      </c>
      <c r="AP24" s="194">
        <f aca="true" t="shared" si="60" ref="AP24:BA24">AP40+AP56+AP72+AP88</f>
        <v>21.097476052666075</v>
      </c>
      <c r="AQ24" s="194">
        <f t="shared" si="60"/>
        <v>20.796871541907297</v>
      </c>
      <c r="AR24" s="194">
        <f t="shared" si="60"/>
        <v>20.494513504835762</v>
      </c>
      <c r="AS24" s="194">
        <f t="shared" si="60"/>
        <v>20.190391712547974</v>
      </c>
      <c r="AT24" s="194">
        <f t="shared" si="60"/>
        <v>19.884495876471842</v>
      </c>
      <c r="AU24" s="194">
        <f t="shared" si="60"/>
        <v>19.5768156480186</v>
      </c>
      <c r="AV24" s="194">
        <f t="shared" si="60"/>
        <v>19.267340618232712</v>
      </c>
      <c r="AW24" s="194">
        <f t="shared" si="60"/>
        <v>18.95606031743974</v>
      </c>
      <c r="AX24" s="194">
        <f t="shared" si="60"/>
        <v>18.642964214892142</v>
      </c>
      <c r="AY24" s="194">
        <f t="shared" si="60"/>
        <v>18.328041718413022</v>
      </c>
      <c r="AZ24" s="194">
        <f t="shared" si="60"/>
        <v>18.011282174037767</v>
      </c>
      <c r="BA24" s="194">
        <f t="shared" si="60"/>
        <v>17.692674865653657</v>
      </c>
      <c r="BB24" s="195">
        <f>SUM(AP24:BA24)</f>
        <v>232.93892824511664</v>
      </c>
      <c r="BC24" s="194">
        <f aca="true" t="shared" si="61" ref="BC24:BN24">BC40+BC56+BC72+BC88</f>
        <v>17.37220901463731</v>
      </c>
      <c r="BD24" s="194">
        <f t="shared" si="61"/>
        <v>17.049873779490035</v>
      </c>
      <c r="BE24" s="194">
        <f t="shared" si="61"/>
        <v>16.725658255471064</v>
      </c>
      <c r="BF24" s="194">
        <f t="shared" si="61"/>
        <v>16.39955147422865</v>
      </c>
      <c r="BG24" s="194">
        <f t="shared" si="61"/>
        <v>16.07154240342899</v>
      </c>
      <c r="BH24" s="194">
        <f t="shared" si="61"/>
        <v>15.741619946382997</v>
      </c>
      <c r="BI24" s="194">
        <f t="shared" si="61"/>
        <v>15.409772941670902</v>
      </c>
      <c r="BJ24" s="194">
        <f t="shared" si="61"/>
        <v>15.075990162764652</v>
      </c>
      <c r="BK24" s="194">
        <f t="shared" si="61"/>
        <v>14.740260317648117</v>
      </c>
      <c r="BL24" s="194">
        <f t="shared" si="61"/>
        <v>14.40257204843507</v>
      </c>
      <c r="BM24" s="194">
        <f t="shared" si="61"/>
        <v>14.062913930984948</v>
      </c>
      <c r="BN24" s="194">
        <f t="shared" si="61"/>
        <v>13.721274474516365</v>
      </c>
      <c r="BO24" s="195">
        <f>SUM(BC24:BN24)</f>
        <v>186.7732387496591</v>
      </c>
      <c r="BP24" s="194">
        <f aca="true" t="shared" si="62" ref="BP24:CA24">BP40+BP56+BP72+BP88</f>
        <v>13.377642121218384</v>
      </c>
      <c r="BQ24" s="194">
        <f t="shared" si="62"/>
        <v>13.032005245859496</v>
      </c>
      <c r="BR24" s="194">
        <f t="shared" si="62"/>
        <v>12.684352155394349</v>
      </c>
      <c r="BS24" s="194">
        <f t="shared" si="62"/>
        <v>12.334671088568152</v>
      </c>
      <c r="BT24" s="194">
        <f t="shared" si="62"/>
        <v>11.982950215518805</v>
      </c>
      <c r="BU24" s="194">
        <f t="shared" si="62"/>
        <v>11.629177637376669</v>
      </c>
      <c r="BV24" s="194">
        <f t="shared" si="62"/>
        <v>11.273341385862038</v>
      </c>
      <c r="BW24" s="194">
        <f t="shared" si="62"/>
        <v>10.915429422880239</v>
      </c>
      <c r="BX24" s="194">
        <f t="shared" si="62"/>
        <v>10.555429640114378</v>
      </c>
      <c r="BY24" s="194">
        <f t="shared" si="62"/>
        <v>10.193329858615717</v>
      </c>
      <c r="BZ24" s="194">
        <f t="shared" si="62"/>
        <v>9.829117828391647</v>
      </c>
      <c r="CA24" s="194">
        <f t="shared" si="62"/>
        <v>9.46278122799127</v>
      </c>
      <c r="CB24" s="195">
        <f>SUM(BP24:CA24)</f>
        <v>137.27022782779113</v>
      </c>
      <c r="CC24" s="194">
        <f aca="true" t="shared" si="63" ref="CC24:CN24">CC40+CC56+CC72+CC88</f>
        <v>9.094307664088555</v>
      </c>
      <c r="CD24" s="194">
        <f t="shared" si="63"/>
        <v>8.723684671063078</v>
      </c>
      <c r="CE24" s="194">
        <f t="shared" si="63"/>
        <v>8.350899710578284</v>
      </c>
      <c r="CF24" s="194">
        <f t="shared" si="63"/>
        <v>7.975940171157329</v>
      </c>
      <c r="CG24" s="194">
        <f t="shared" si="63"/>
        <v>7.598793367756418</v>
      </c>
      <c r="CH24" s="194">
        <f t="shared" si="63"/>
        <v>7.219446541335668</v>
      </c>
      <c r="CI24" s="194">
        <f t="shared" si="63"/>
        <v>6.837886858427464</v>
      </c>
      <c r="CJ24" s="194">
        <f t="shared" si="63"/>
        <v>6.454101410702297</v>
      </c>
      <c r="CK24" s="194">
        <f t="shared" si="63"/>
        <v>6.0680772145320665</v>
      </c>
      <c r="CL24" s="194">
        <f t="shared" si="63"/>
        <v>5.679801210550841</v>
      </c>
      <c r="CM24" s="194">
        <f t="shared" si="63"/>
        <v>5.28926026321306</v>
      </c>
      <c r="CN24" s="194">
        <f t="shared" si="63"/>
        <v>4.8964411603491405</v>
      </c>
      <c r="CO24" s="195">
        <f>SUM(CC24:CN24)</f>
        <v>84.18864024375421</v>
      </c>
      <c r="CP24" s="194">
        <f aca="true" t="shared" si="64" ref="CP24:DA24">CP40+CP56+CP72+CP88</f>
        <v>4.501330612718515</v>
      </c>
      <c r="CQ24" s="194">
        <f t="shared" si="64"/>
        <v>4.103915253560046</v>
      </c>
      <c r="CR24" s="194">
        <f t="shared" si="64"/>
        <v>3.704181638139817</v>
      </c>
      <c r="CS24" s="194">
        <f t="shared" si="64"/>
        <v>3.3021162432963043</v>
      </c>
      <c r="CT24" s="194">
        <f t="shared" si="64"/>
        <v>2.8977054669828717</v>
      </c>
      <c r="CU24" s="194">
        <f t="shared" si="64"/>
        <v>2.4909356278076102</v>
      </c>
      <c r="CV24" s="194">
        <f t="shared" si="64"/>
        <v>2.081792964570493</v>
      </c>
      <c r="CW24" s="194">
        <f t="shared" si="64"/>
        <v>1.670263635797826</v>
      </c>
      <c r="CX24" s="194">
        <f t="shared" si="64"/>
        <v>1.256333719273985</v>
      </c>
      <c r="CY24" s="194">
        <f t="shared" si="64"/>
        <v>0.8399892115704216</v>
      </c>
      <c r="CZ24" s="194">
        <f t="shared" si="64"/>
        <v>0.4212160275719207</v>
      </c>
      <c r="DA24" s="194">
        <f t="shared" si="64"/>
        <v>9.524825372864144E-14</v>
      </c>
      <c r="DB24" s="195">
        <f>SUM(CP24:DA24)</f>
        <v>27.269780401289907</v>
      </c>
      <c r="DC24" s="194">
        <f aca="true" t="shared" si="65" ref="DC24:DN24">DC40+DC56+DC72+DC88</f>
        <v>9.524825372864144E-14</v>
      </c>
      <c r="DD24" s="194">
        <f t="shared" si="65"/>
        <v>9.524825372864144E-14</v>
      </c>
      <c r="DE24" s="194">
        <f t="shared" si="65"/>
        <v>9.524825372864144E-14</v>
      </c>
      <c r="DF24" s="194">
        <f t="shared" si="65"/>
        <v>9.524825372864144E-14</v>
      </c>
      <c r="DG24" s="194">
        <f t="shared" si="65"/>
        <v>9.524825372864144E-14</v>
      </c>
      <c r="DH24" s="194">
        <f t="shared" si="65"/>
        <v>9.524825372864144E-14</v>
      </c>
      <c r="DI24" s="194">
        <f t="shared" si="65"/>
        <v>9.524825372864144E-14</v>
      </c>
      <c r="DJ24" s="194">
        <f t="shared" si="65"/>
        <v>9.524825372864144E-14</v>
      </c>
      <c r="DK24" s="194">
        <f t="shared" si="65"/>
        <v>9.524825372864144E-14</v>
      </c>
      <c r="DL24" s="194">
        <f t="shared" si="65"/>
        <v>9.524825372864144E-14</v>
      </c>
      <c r="DM24" s="194">
        <f t="shared" si="65"/>
        <v>9.524825372864144E-14</v>
      </c>
      <c r="DN24" s="194">
        <f t="shared" si="65"/>
        <v>9.524825372864144E-14</v>
      </c>
      <c r="DO24" s="195">
        <f>SUM(DC24:DN24)</f>
        <v>1.1429790447436973E-12</v>
      </c>
    </row>
    <row r="25" spans="1:119" ht="12.75">
      <c r="A25" s="188" t="s">
        <v>14</v>
      </c>
      <c r="B25" s="193">
        <f>O25+AB25+AO25+BB25+BO25+CB25+CO25+DB25+DO25</f>
        <v>4401.735333299981</v>
      </c>
      <c r="C25" s="194">
        <f t="shared" si="49"/>
        <v>0</v>
      </c>
      <c r="D25" s="194">
        <f t="shared" si="49"/>
        <v>0</v>
      </c>
      <c r="E25" s="194">
        <f t="shared" si="49"/>
        <v>0</v>
      </c>
      <c r="F25" s="194">
        <f t="shared" si="49"/>
        <v>0</v>
      </c>
      <c r="G25" s="194">
        <f t="shared" si="49"/>
        <v>0</v>
      </c>
      <c r="H25" s="194">
        <f t="shared" si="49"/>
        <v>0</v>
      </c>
      <c r="I25" s="194">
        <f t="shared" si="49"/>
        <v>0</v>
      </c>
      <c r="J25" s="194">
        <f t="shared" si="49"/>
        <v>0</v>
      </c>
      <c r="K25" s="194">
        <f t="shared" si="49"/>
        <v>0</v>
      </c>
      <c r="L25" s="194">
        <f t="shared" si="49"/>
        <v>0</v>
      </c>
      <c r="M25" s="194">
        <f t="shared" si="49"/>
        <v>0</v>
      </c>
      <c r="N25" s="194">
        <f t="shared" si="49"/>
        <v>0</v>
      </c>
      <c r="O25" s="195">
        <f>SUM(C25:N25)</f>
        <v>0</v>
      </c>
      <c r="P25" s="194">
        <f aca="true" t="shared" si="66" ref="P25:AA25">P41+P57+P73+P89</f>
        <v>0</v>
      </c>
      <c r="Q25" s="194">
        <f t="shared" si="66"/>
        <v>0</v>
      </c>
      <c r="R25" s="194">
        <f t="shared" si="66"/>
        <v>0</v>
      </c>
      <c r="S25" s="194">
        <f t="shared" si="66"/>
        <v>0</v>
      </c>
      <c r="T25" s="194">
        <f t="shared" si="66"/>
        <v>0</v>
      </c>
      <c r="U25" s="194">
        <f t="shared" si="66"/>
        <v>0</v>
      </c>
      <c r="V25" s="194">
        <f t="shared" si="66"/>
        <v>0</v>
      </c>
      <c r="W25" s="194">
        <f t="shared" si="66"/>
        <v>0</v>
      </c>
      <c r="X25" s="194">
        <f t="shared" si="66"/>
        <v>46.952888452777714</v>
      </c>
      <c r="Y25" s="194">
        <f t="shared" si="66"/>
        <v>47.22678030208557</v>
      </c>
      <c r="Z25" s="194">
        <f t="shared" si="66"/>
        <v>47.50226985384775</v>
      </c>
      <c r="AA25" s="194">
        <f t="shared" si="66"/>
        <v>47.779366427995186</v>
      </c>
      <c r="AB25" s="195">
        <f>SUM(P25:AA25)</f>
        <v>189.46130503670622</v>
      </c>
      <c r="AC25" s="194">
        <f aca="true" t="shared" si="67" ref="AC25:AN25">AC41+AC57+AC73+AC89</f>
        <v>48.05807939882517</v>
      </c>
      <c r="AD25" s="194">
        <f t="shared" si="67"/>
        <v>48.33841819531831</v>
      </c>
      <c r="AE25" s="194">
        <f t="shared" si="67"/>
        <v>48.62039230145767</v>
      </c>
      <c r="AF25" s="194">
        <f t="shared" si="67"/>
        <v>48.90401125654951</v>
      </c>
      <c r="AG25" s="194">
        <f t="shared" si="67"/>
        <v>49.18928465554605</v>
      </c>
      <c r="AH25" s="194">
        <f t="shared" si="67"/>
        <v>49.47622214937006</v>
      </c>
      <c r="AI25" s="194">
        <f t="shared" si="67"/>
        <v>49.76483344524139</v>
      </c>
      <c r="AJ25" s="194">
        <f t="shared" si="67"/>
        <v>50.055128307005305</v>
      </c>
      <c r="AK25" s="194">
        <f t="shared" si="67"/>
        <v>50.34711655546283</v>
      </c>
      <c r="AL25" s="194">
        <f t="shared" si="67"/>
        <v>50.64080806870302</v>
      </c>
      <c r="AM25" s="194">
        <f t="shared" si="67"/>
        <v>50.936212782437124</v>
      </c>
      <c r="AN25" s="194">
        <f t="shared" si="67"/>
        <v>51.23334069033467</v>
      </c>
      <c r="AO25" s="195">
        <f>SUM(AC25:AN25)</f>
        <v>595.563847806251</v>
      </c>
      <c r="AP25" s="194">
        <f aca="true" t="shared" si="68" ref="AP25:BA25">AP41+AP57+AP73+AP89</f>
        <v>51.53220184436163</v>
      </c>
      <c r="AQ25" s="194">
        <f t="shared" si="68"/>
        <v>51.83280635512041</v>
      </c>
      <c r="AR25" s="194">
        <f t="shared" si="68"/>
        <v>52.13516439219194</v>
      </c>
      <c r="AS25" s="194">
        <f t="shared" si="68"/>
        <v>52.43928618447973</v>
      </c>
      <c r="AT25" s="194">
        <f t="shared" si="68"/>
        <v>52.74518202055586</v>
      </c>
      <c r="AU25" s="194">
        <f t="shared" si="68"/>
        <v>53.05286224900911</v>
      </c>
      <c r="AV25" s="194">
        <f t="shared" si="68"/>
        <v>53.362337278794996</v>
      </c>
      <c r="AW25" s="194">
        <f t="shared" si="68"/>
        <v>53.67361757958797</v>
      </c>
      <c r="AX25" s="194">
        <f t="shared" si="68"/>
        <v>53.98671368213556</v>
      </c>
      <c r="AY25" s="194">
        <f t="shared" si="68"/>
        <v>54.301636178614686</v>
      </c>
      <c r="AZ25" s="194">
        <f t="shared" si="68"/>
        <v>54.61839572298994</v>
      </c>
      <c r="BA25" s="194">
        <f t="shared" si="68"/>
        <v>54.93700303137405</v>
      </c>
      <c r="BB25" s="195">
        <f>SUM(AP25:BA25)</f>
        <v>638.6172065192159</v>
      </c>
      <c r="BC25" s="194">
        <f aca="true" t="shared" si="69" ref="BC25:BN25">BC41+BC57+BC73+BC89</f>
        <v>55.2574688823904</v>
      </c>
      <c r="BD25" s="194">
        <f t="shared" si="69"/>
        <v>55.57980411753767</v>
      </c>
      <c r="BE25" s="194">
        <f t="shared" si="69"/>
        <v>55.904019641556644</v>
      </c>
      <c r="BF25" s="194">
        <f t="shared" si="69"/>
        <v>56.23012642279905</v>
      </c>
      <c r="BG25" s="194">
        <f t="shared" si="69"/>
        <v>56.55813549359871</v>
      </c>
      <c r="BH25" s="194">
        <f t="shared" si="69"/>
        <v>56.88805795064471</v>
      </c>
      <c r="BI25" s="194">
        <f t="shared" si="69"/>
        <v>57.2199049553568</v>
      </c>
      <c r="BJ25" s="194">
        <f t="shared" si="69"/>
        <v>57.55368773426305</v>
      </c>
      <c r="BK25" s="194">
        <f t="shared" si="69"/>
        <v>57.88941757937959</v>
      </c>
      <c r="BL25" s="194">
        <f t="shared" si="69"/>
        <v>58.227105848592636</v>
      </c>
      <c r="BM25" s="194">
        <f t="shared" si="69"/>
        <v>58.56676396604276</v>
      </c>
      <c r="BN25" s="194">
        <f t="shared" si="69"/>
        <v>58.90840342251134</v>
      </c>
      <c r="BO25" s="195">
        <f>SUM(BC25:BN25)</f>
        <v>684.7828960146735</v>
      </c>
      <c r="BP25" s="194">
        <f aca="true" t="shared" si="70" ref="BP25:CA25">BP41+BP57+BP73+BP89</f>
        <v>59.25203577580932</v>
      </c>
      <c r="BQ25" s="194">
        <f t="shared" si="70"/>
        <v>59.59767265116821</v>
      </c>
      <c r="BR25" s="194">
        <f t="shared" si="70"/>
        <v>59.945325741633354</v>
      </c>
      <c r="BS25" s="194">
        <f t="shared" si="70"/>
        <v>60.295006808459554</v>
      </c>
      <c r="BT25" s="194">
        <f t="shared" si="70"/>
        <v>60.6467276815089</v>
      </c>
      <c r="BU25" s="194">
        <f t="shared" si="70"/>
        <v>61.000500259651034</v>
      </c>
      <c r="BV25" s="194">
        <f t="shared" si="70"/>
        <v>61.356336511165665</v>
      </c>
      <c r="BW25" s="194">
        <f t="shared" si="70"/>
        <v>61.71424847414747</v>
      </c>
      <c r="BX25" s="194">
        <f t="shared" si="70"/>
        <v>62.07424825691333</v>
      </c>
      <c r="BY25" s="194">
        <f t="shared" si="70"/>
        <v>62.436348038411985</v>
      </c>
      <c r="BZ25" s="194">
        <f t="shared" si="70"/>
        <v>62.80056006863606</v>
      </c>
      <c r="CA25" s="194">
        <f t="shared" si="70"/>
        <v>63.16689666903643</v>
      </c>
      <c r="CB25" s="195">
        <f>SUM(BP25:CA25)</f>
        <v>734.2859069365412</v>
      </c>
      <c r="CC25" s="194">
        <f aca="true" t="shared" si="71" ref="CC25:CN25">CC41+CC57+CC73+CC89</f>
        <v>63.53537023293915</v>
      </c>
      <c r="CD25" s="194">
        <f t="shared" si="71"/>
        <v>63.90599322596463</v>
      </c>
      <c r="CE25" s="194">
        <f t="shared" si="71"/>
        <v>64.27877818644941</v>
      </c>
      <c r="CF25" s="194">
        <f t="shared" si="71"/>
        <v>64.65373772587037</v>
      </c>
      <c r="CG25" s="194">
        <f t="shared" si="71"/>
        <v>65.03088452927129</v>
      </c>
      <c r="CH25" s="194">
        <f t="shared" si="71"/>
        <v>65.41023135569203</v>
      </c>
      <c r="CI25" s="194">
        <f t="shared" si="71"/>
        <v>65.79179103860024</v>
      </c>
      <c r="CJ25" s="194">
        <f t="shared" si="71"/>
        <v>66.17557648632541</v>
      </c>
      <c r="CK25" s="194">
        <f t="shared" si="71"/>
        <v>66.56160068249564</v>
      </c>
      <c r="CL25" s="194">
        <f t="shared" si="71"/>
        <v>66.94987668647687</v>
      </c>
      <c r="CM25" s="194">
        <f t="shared" si="71"/>
        <v>67.34041763381464</v>
      </c>
      <c r="CN25" s="194">
        <f t="shared" si="71"/>
        <v>67.73323673667856</v>
      </c>
      <c r="CO25" s="195">
        <f>SUM(CC25:CN25)</f>
        <v>787.3674945205781</v>
      </c>
      <c r="CP25" s="194">
        <f aca="true" t="shared" si="72" ref="CP25:DA25">CP41+CP57+CP73+CP89</f>
        <v>68.12834728430919</v>
      </c>
      <c r="CQ25" s="194">
        <f t="shared" si="72"/>
        <v>68.52576264346766</v>
      </c>
      <c r="CR25" s="194">
        <f t="shared" si="72"/>
        <v>68.92549625888789</v>
      </c>
      <c r="CS25" s="194">
        <f t="shared" si="72"/>
        <v>69.3275616537314</v>
      </c>
      <c r="CT25" s="194">
        <f t="shared" si="72"/>
        <v>69.73197243004483</v>
      </c>
      <c r="CU25" s="194">
        <f t="shared" si="72"/>
        <v>70.13874226922009</v>
      </c>
      <c r="CV25" s="194">
        <f t="shared" si="72"/>
        <v>70.54788493245721</v>
      </c>
      <c r="CW25" s="194">
        <f t="shared" si="72"/>
        <v>70.95941426122988</v>
      </c>
      <c r="CX25" s="194">
        <f t="shared" si="72"/>
        <v>71.37334417775372</v>
      </c>
      <c r="CY25" s="194">
        <f t="shared" si="72"/>
        <v>71.78968868545728</v>
      </c>
      <c r="CZ25" s="194">
        <f t="shared" si="72"/>
        <v>72.20846186945579</v>
      </c>
      <c r="DA25" s="194">
        <f t="shared" si="72"/>
        <v>0</v>
      </c>
      <c r="DB25" s="195">
        <f>SUM(CP25:DA25)</f>
        <v>771.6566764660149</v>
      </c>
      <c r="DC25" s="194">
        <f aca="true" t="shared" si="73" ref="DC25:DN25">DC41+DC57+DC73+DC89</f>
        <v>0</v>
      </c>
      <c r="DD25" s="194">
        <f t="shared" si="73"/>
        <v>0</v>
      </c>
      <c r="DE25" s="194">
        <f t="shared" si="73"/>
        <v>0</v>
      </c>
      <c r="DF25" s="194">
        <f t="shared" si="73"/>
        <v>0</v>
      </c>
      <c r="DG25" s="194">
        <f t="shared" si="73"/>
        <v>0</v>
      </c>
      <c r="DH25" s="194">
        <f t="shared" si="73"/>
        <v>0</v>
      </c>
      <c r="DI25" s="194">
        <f t="shared" si="73"/>
        <v>0</v>
      </c>
      <c r="DJ25" s="194">
        <f t="shared" si="73"/>
        <v>0</v>
      </c>
      <c r="DK25" s="194">
        <f t="shared" si="73"/>
        <v>0</v>
      </c>
      <c r="DL25" s="194">
        <f t="shared" si="73"/>
        <v>0</v>
      </c>
      <c r="DM25" s="194">
        <f t="shared" si="73"/>
        <v>0</v>
      </c>
      <c r="DN25" s="194">
        <f t="shared" si="73"/>
        <v>0</v>
      </c>
      <c r="DO25" s="195">
        <f>SUM(DC25:DN25)</f>
        <v>0</v>
      </c>
    </row>
    <row r="26" spans="1:119" ht="12.75">
      <c r="A26" s="188" t="s">
        <v>15</v>
      </c>
      <c r="B26" s="193">
        <f>O26+AB26+AO26+BB26+BO26+CB26+CO26+DB26+DO26</f>
        <v>1122.520877309848</v>
      </c>
      <c r="C26" s="194">
        <f t="shared" si="49"/>
        <v>0</v>
      </c>
      <c r="D26" s="194">
        <f t="shared" si="49"/>
        <v>0</v>
      </c>
      <c r="E26" s="194">
        <f t="shared" si="49"/>
        <v>0</v>
      </c>
      <c r="F26" s="194">
        <f t="shared" si="49"/>
        <v>0</v>
      </c>
      <c r="G26" s="194">
        <f t="shared" si="49"/>
        <v>0</v>
      </c>
      <c r="H26" s="194">
        <f t="shared" si="49"/>
        <v>0</v>
      </c>
      <c r="I26" s="194">
        <f t="shared" si="49"/>
        <v>0</v>
      </c>
      <c r="J26" s="194">
        <f t="shared" si="49"/>
        <v>0</v>
      </c>
      <c r="K26" s="194">
        <f t="shared" si="49"/>
        <v>0</v>
      </c>
      <c r="L26" s="194">
        <f t="shared" si="49"/>
        <v>0</v>
      </c>
      <c r="M26" s="194">
        <f t="shared" si="49"/>
        <v>0</v>
      </c>
      <c r="N26" s="194">
        <f t="shared" si="49"/>
        <v>0</v>
      </c>
      <c r="O26" s="195">
        <f>SUM(C26:N26)</f>
        <v>0</v>
      </c>
      <c r="P26" s="194">
        <f aca="true" t="shared" si="74" ref="P26:AA26">P42+P58+P74+P90</f>
        <v>0</v>
      </c>
      <c r="Q26" s="194">
        <f t="shared" si="74"/>
        <v>0</v>
      </c>
      <c r="R26" s="194">
        <f t="shared" si="74"/>
        <v>0</v>
      </c>
      <c r="S26" s="194">
        <f t="shared" si="74"/>
        <v>0</v>
      </c>
      <c r="T26" s="194">
        <f t="shared" si="74"/>
        <v>0</v>
      </c>
      <c r="U26" s="194">
        <f t="shared" si="74"/>
        <v>25.676789444249994</v>
      </c>
      <c r="V26" s="194">
        <f t="shared" si="74"/>
        <v>25.676789444249994</v>
      </c>
      <c r="W26" s="194">
        <f t="shared" si="74"/>
        <v>25.676789444249994</v>
      </c>
      <c r="X26" s="194">
        <f t="shared" si="74"/>
        <v>25.676789444249994</v>
      </c>
      <c r="Y26" s="194">
        <f t="shared" si="74"/>
        <v>25.40289759494213</v>
      </c>
      <c r="Z26" s="194">
        <f t="shared" si="74"/>
        <v>25.12740804317996</v>
      </c>
      <c r="AA26" s="194">
        <f t="shared" si="74"/>
        <v>24.850311469032516</v>
      </c>
      <c r="AB26" s="195">
        <f>SUM(P26:AA26)</f>
        <v>178.08777488415458</v>
      </c>
      <c r="AC26" s="194">
        <f aca="true" t="shared" si="75" ref="AC26:AN26">AC42+AC58+AC74+AC90</f>
        <v>24.571598498202537</v>
      </c>
      <c r="AD26" s="194">
        <f t="shared" si="75"/>
        <v>24.29125970170939</v>
      </c>
      <c r="AE26" s="194">
        <f t="shared" si="75"/>
        <v>24.009285595570034</v>
      </c>
      <c r="AF26" s="194">
        <f t="shared" si="75"/>
        <v>23.7256666404782</v>
      </c>
      <c r="AG26" s="194">
        <f t="shared" si="75"/>
        <v>23.44039324148166</v>
      </c>
      <c r="AH26" s="194">
        <f t="shared" si="75"/>
        <v>23.15345574765764</v>
      </c>
      <c r="AI26" s="194">
        <f t="shared" si="75"/>
        <v>22.864844451786315</v>
      </c>
      <c r="AJ26" s="194">
        <f t="shared" si="75"/>
        <v>22.574549590022404</v>
      </c>
      <c r="AK26" s="194">
        <f t="shared" si="75"/>
        <v>22.282561341564875</v>
      </c>
      <c r="AL26" s="194">
        <f t="shared" si="75"/>
        <v>21.988869828324678</v>
      </c>
      <c r="AM26" s="194">
        <f t="shared" si="75"/>
        <v>21.693465114590577</v>
      </c>
      <c r="AN26" s="194">
        <f t="shared" si="75"/>
        <v>21.39633720669303</v>
      </c>
      <c r="AO26" s="195">
        <f>SUM(AC26:AN26)</f>
        <v>275.9922869580813</v>
      </c>
      <c r="AP26" s="194">
        <f aca="true" t="shared" si="76" ref="AP26:BA26">AP42+AP58+AP74+AP90</f>
        <v>21.097476052666075</v>
      </c>
      <c r="AQ26" s="194">
        <f t="shared" si="76"/>
        <v>20.796871541907297</v>
      </c>
      <c r="AR26" s="194">
        <f t="shared" si="76"/>
        <v>20.494513504835762</v>
      </c>
      <c r="AS26" s="194">
        <f t="shared" si="76"/>
        <v>20.190391712547974</v>
      </c>
      <c r="AT26" s="194">
        <f t="shared" si="76"/>
        <v>19.884495876471842</v>
      </c>
      <c r="AU26" s="194">
        <f t="shared" si="76"/>
        <v>19.5768156480186</v>
      </c>
      <c r="AV26" s="194">
        <f t="shared" si="76"/>
        <v>19.267340618232712</v>
      </c>
      <c r="AW26" s="194">
        <f t="shared" si="76"/>
        <v>18.95606031743974</v>
      </c>
      <c r="AX26" s="194">
        <f t="shared" si="76"/>
        <v>18.642964214892142</v>
      </c>
      <c r="AY26" s="194">
        <f t="shared" si="76"/>
        <v>18.328041718413022</v>
      </c>
      <c r="AZ26" s="194">
        <f t="shared" si="76"/>
        <v>18.011282174037767</v>
      </c>
      <c r="BA26" s="194">
        <f t="shared" si="76"/>
        <v>17.692674865653657</v>
      </c>
      <c r="BB26" s="195">
        <f>SUM(AP26:BA26)</f>
        <v>232.93892824511664</v>
      </c>
      <c r="BC26" s="194">
        <f aca="true" t="shared" si="77" ref="BC26:BN26">BC42+BC58+BC74+BC90</f>
        <v>17.37220901463731</v>
      </c>
      <c r="BD26" s="194">
        <f t="shared" si="77"/>
        <v>17.049873779490035</v>
      </c>
      <c r="BE26" s="194">
        <f t="shared" si="77"/>
        <v>16.725658255471064</v>
      </c>
      <c r="BF26" s="194">
        <f t="shared" si="77"/>
        <v>16.39955147422865</v>
      </c>
      <c r="BG26" s="194">
        <f t="shared" si="77"/>
        <v>16.07154240342899</v>
      </c>
      <c r="BH26" s="194">
        <f t="shared" si="77"/>
        <v>15.741619946382997</v>
      </c>
      <c r="BI26" s="194">
        <f t="shared" si="77"/>
        <v>15.409772941670902</v>
      </c>
      <c r="BJ26" s="194">
        <f t="shared" si="77"/>
        <v>15.075990162764652</v>
      </c>
      <c r="BK26" s="194">
        <f t="shared" si="77"/>
        <v>14.740260317648117</v>
      </c>
      <c r="BL26" s="194">
        <f t="shared" si="77"/>
        <v>14.40257204843507</v>
      </c>
      <c r="BM26" s="194">
        <f t="shared" si="77"/>
        <v>14.062913930984948</v>
      </c>
      <c r="BN26" s="194">
        <f t="shared" si="77"/>
        <v>13.721274474516365</v>
      </c>
      <c r="BO26" s="195">
        <f>SUM(BC26:BN26)</f>
        <v>186.7732387496591</v>
      </c>
      <c r="BP26" s="194">
        <f aca="true" t="shared" si="78" ref="BP26:CA26">BP42+BP58+BP74+BP90</f>
        <v>13.377642121218384</v>
      </c>
      <c r="BQ26" s="194">
        <f t="shared" si="78"/>
        <v>13.032005245859496</v>
      </c>
      <c r="BR26" s="194">
        <f t="shared" si="78"/>
        <v>12.684352155394349</v>
      </c>
      <c r="BS26" s="194">
        <f t="shared" si="78"/>
        <v>12.334671088568152</v>
      </c>
      <c r="BT26" s="194">
        <f t="shared" si="78"/>
        <v>11.982950215518805</v>
      </c>
      <c r="BU26" s="194">
        <f t="shared" si="78"/>
        <v>11.629177637376669</v>
      </c>
      <c r="BV26" s="194">
        <f t="shared" si="78"/>
        <v>11.273341385862038</v>
      </c>
      <c r="BW26" s="194">
        <f t="shared" si="78"/>
        <v>10.915429422880239</v>
      </c>
      <c r="BX26" s="194">
        <f t="shared" si="78"/>
        <v>10.555429640114378</v>
      </c>
      <c r="BY26" s="194">
        <f t="shared" si="78"/>
        <v>10.193329858615717</v>
      </c>
      <c r="BZ26" s="194">
        <f t="shared" si="78"/>
        <v>9.829117828391647</v>
      </c>
      <c r="CA26" s="194">
        <f t="shared" si="78"/>
        <v>9.46278122799127</v>
      </c>
      <c r="CB26" s="195">
        <f>SUM(BP26:CA26)</f>
        <v>137.27022782779113</v>
      </c>
      <c r="CC26" s="194">
        <f aca="true" t="shared" si="79" ref="CC26:CN26">CC42+CC58+CC74+CC90</f>
        <v>9.094307664088555</v>
      </c>
      <c r="CD26" s="194">
        <f t="shared" si="79"/>
        <v>8.723684671063078</v>
      </c>
      <c r="CE26" s="194">
        <f t="shared" si="79"/>
        <v>8.350899710578284</v>
      </c>
      <c r="CF26" s="194">
        <f t="shared" si="79"/>
        <v>7.975940171157329</v>
      </c>
      <c r="CG26" s="194">
        <f t="shared" si="79"/>
        <v>7.598793367756418</v>
      </c>
      <c r="CH26" s="194">
        <f t="shared" si="79"/>
        <v>7.219446541335668</v>
      </c>
      <c r="CI26" s="194">
        <f t="shared" si="79"/>
        <v>6.837886858427464</v>
      </c>
      <c r="CJ26" s="194">
        <f t="shared" si="79"/>
        <v>6.454101410702297</v>
      </c>
      <c r="CK26" s="194">
        <f t="shared" si="79"/>
        <v>6.0680772145320665</v>
      </c>
      <c r="CL26" s="194">
        <f t="shared" si="79"/>
        <v>5.679801210550841</v>
      </c>
      <c r="CM26" s="194">
        <f t="shared" si="79"/>
        <v>5.28926026321306</v>
      </c>
      <c r="CN26" s="194">
        <f t="shared" si="79"/>
        <v>4.8964411603491405</v>
      </c>
      <c r="CO26" s="195">
        <f>SUM(CC26:CN26)</f>
        <v>84.18864024375421</v>
      </c>
      <c r="CP26" s="194">
        <f aca="true" t="shared" si="80" ref="CP26:DA26">CP42+CP58+CP74+CP90</f>
        <v>4.501330612718515</v>
      </c>
      <c r="CQ26" s="194">
        <f t="shared" si="80"/>
        <v>4.103915253560046</v>
      </c>
      <c r="CR26" s="194">
        <f t="shared" si="80"/>
        <v>3.704181638139817</v>
      </c>
      <c r="CS26" s="194">
        <f t="shared" si="80"/>
        <v>3.3021162432963043</v>
      </c>
      <c r="CT26" s="194">
        <f t="shared" si="80"/>
        <v>2.8977054669828717</v>
      </c>
      <c r="CU26" s="194">
        <f t="shared" si="80"/>
        <v>2.4909356278076102</v>
      </c>
      <c r="CV26" s="194">
        <f t="shared" si="80"/>
        <v>2.081792964570493</v>
      </c>
      <c r="CW26" s="194">
        <f t="shared" si="80"/>
        <v>1.670263635797826</v>
      </c>
      <c r="CX26" s="194">
        <f t="shared" si="80"/>
        <v>1.256333719273985</v>
      </c>
      <c r="CY26" s="194">
        <f t="shared" si="80"/>
        <v>0.8399892115704216</v>
      </c>
      <c r="CZ26" s="194">
        <f t="shared" si="80"/>
        <v>0.4212160275719207</v>
      </c>
      <c r="DA26" s="194">
        <f t="shared" si="80"/>
        <v>9.524825372864144E-14</v>
      </c>
      <c r="DB26" s="195">
        <f>SUM(CP26:DA26)</f>
        <v>27.269780401289907</v>
      </c>
      <c r="DC26" s="194">
        <f aca="true" t="shared" si="81" ref="DC26:DN26">DC42+DC58+DC74+DC90</f>
        <v>9.524825372864144E-14</v>
      </c>
      <c r="DD26" s="194">
        <f t="shared" si="81"/>
        <v>9.524825372864144E-14</v>
      </c>
      <c r="DE26" s="194">
        <f t="shared" si="81"/>
        <v>9.524825372864144E-14</v>
      </c>
      <c r="DF26" s="194">
        <f t="shared" si="81"/>
        <v>9.524825372864144E-14</v>
      </c>
      <c r="DG26" s="194">
        <f t="shared" si="81"/>
        <v>9.524825372864144E-14</v>
      </c>
      <c r="DH26" s="194">
        <f t="shared" si="81"/>
        <v>9.524825372864144E-14</v>
      </c>
      <c r="DI26" s="194">
        <f t="shared" si="81"/>
        <v>9.524825372864144E-14</v>
      </c>
      <c r="DJ26" s="194">
        <f t="shared" si="81"/>
        <v>9.524825372864144E-14</v>
      </c>
      <c r="DK26" s="194">
        <f t="shared" si="81"/>
        <v>9.524825372864144E-14</v>
      </c>
      <c r="DL26" s="194">
        <f t="shared" si="81"/>
        <v>9.524825372864144E-14</v>
      </c>
      <c r="DM26" s="194">
        <f t="shared" si="81"/>
        <v>9.524825372864144E-14</v>
      </c>
      <c r="DN26" s="194">
        <f t="shared" si="81"/>
        <v>9.524825372864144E-14</v>
      </c>
      <c r="DO26" s="195">
        <f>SUM(DC26:DN26)</f>
        <v>1.1429790447436973E-12</v>
      </c>
    </row>
    <row r="27" spans="1:119" ht="12.75">
      <c r="A27" s="188" t="s">
        <v>16</v>
      </c>
      <c r="B27" s="193">
        <f>DO27</f>
        <v>1.6328272067767102E-11</v>
      </c>
      <c r="C27" s="194">
        <f t="shared" si="49"/>
        <v>0</v>
      </c>
      <c r="D27" s="194">
        <f t="shared" si="49"/>
        <v>0</v>
      </c>
      <c r="E27" s="194">
        <f t="shared" si="49"/>
        <v>0</v>
      </c>
      <c r="F27" s="194">
        <f t="shared" si="49"/>
        <v>0</v>
      </c>
      <c r="G27" s="194">
        <f t="shared" si="49"/>
        <v>0</v>
      </c>
      <c r="H27" s="194">
        <f t="shared" si="49"/>
        <v>0</v>
      </c>
      <c r="I27" s="194">
        <f t="shared" si="49"/>
        <v>0</v>
      </c>
      <c r="J27" s="194">
        <f t="shared" si="49"/>
        <v>0</v>
      </c>
      <c r="K27" s="194">
        <f t="shared" si="49"/>
        <v>0</v>
      </c>
      <c r="L27" s="194">
        <f t="shared" si="49"/>
        <v>0</v>
      </c>
      <c r="M27" s="194">
        <f t="shared" si="49"/>
        <v>4252.8843799999995</v>
      </c>
      <c r="N27" s="194">
        <f t="shared" si="49"/>
        <v>4252.8843799999995</v>
      </c>
      <c r="O27" s="195">
        <f>N27</f>
        <v>4252.8843799999995</v>
      </c>
      <c r="P27" s="194">
        <f aca="true" t="shared" si="82" ref="P27:AA27">P43+P59+P75+P91</f>
        <v>4252.8843799999995</v>
      </c>
      <c r="Q27" s="194">
        <f t="shared" si="82"/>
        <v>4252.8843799999995</v>
      </c>
      <c r="R27" s="194">
        <f t="shared" si="82"/>
        <v>4252.8843799999995</v>
      </c>
      <c r="S27" s="194">
        <f t="shared" si="82"/>
        <v>4252.8843799999995</v>
      </c>
      <c r="T27" s="194">
        <f t="shared" si="82"/>
        <v>4401.735333299999</v>
      </c>
      <c r="U27" s="194">
        <f t="shared" si="82"/>
        <v>4401.735333299999</v>
      </c>
      <c r="V27" s="194">
        <f t="shared" si="82"/>
        <v>4401.735333299999</v>
      </c>
      <c r="W27" s="194">
        <f t="shared" si="82"/>
        <v>4401.735333299999</v>
      </c>
      <c r="X27" s="194">
        <f t="shared" si="82"/>
        <v>4354.782444847221</v>
      </c>
      <c r="Y27" s="194">
        <f t="shared" si="82"/>
        <v>4307.555664545135</v>
      </c>
      <c r="Z27" s="194">
        <f t="shared" si="82"/>
        <v>4260.053394691287</v>
      </c>
      <c r="AA27" s="194">
        <f t="shared" si="82"/>
        <v>4212.274028263292</v>
      </c>
      <c r="AB27" s="195">
        <f>AA27</f>
        <v>4212.274028263292</v>
      </c>
      <c r="AC27" s="194">
        <f aca="true" t="shared" si="83" ref="AC27:AN27">AC43+AC59+AC75+AC91</f>
        <v>4164.215948864467</v>
      </c>
      <c r="AD27" s="194">
        <f t="shared" si="83"/>
        <v>4115.877530669149</v>
      </c>
      <c r="AE27" s="194">
        <f t="shared" si="83"/>
        <v>4067.257138367691</v>
      </c>
      <c r="AF27" s="194">
        <f t="shared" si="83"/>
        <v>4018.3531271111415</v>
      </c>
      <c r="AG27" s="194">
        <f t="shared" si="83"/>
        <v>3969.1638424555954</v>
      </c>
      <c r="AH27" s="194">
        <f t="shared" si="83"/>
        <v>3919.687620306225</v>
      </c>
      <c r="AI27" s="194">
        <f t="shared" si="83"/>
        <v>3869.9227868609837</v>
      </c>
      <c r="AJ27" s="194">
        <f t="shared" si="83"/>
        <v>3819.8676585539783</v>
      </c>
      <c r="AK27" s="194">
        <f t="shared" si="83"/>
        <v>3769.5205419985155</v>
      </c>
      <c r="AL27" s="194">
        <f t="shared" si="83"/>
        <v>3718.8797339298126</v>
      </c>
      <c r="AM27" s="194">
        <f t="shared" si="83"/>
        <v>3667.9435211473756</v>
      </c>
      <c r="AN27" s="194">
        <f t="shared" si="83"/>
        <v>3616.710180457041</v>
      </c>
      <c r="AO27" s="195">
        <f>AN27</f>
        <v>3616.710180457041</v>
      </c>
      <c r="AP27" s="194">
        <f aca="true" t="shared" si="84" ref="AP27:BA27">AP43+AP59+AP75+AP91</f>
        <v>3565.1779786126795</v>
      </c>
      <c r="AQ27" s="194">
        <f t="shared" si="84"/>
        <v>3513.345172257559</v>
      </c>
      <c r="AR27" s="194">
        <f t="shared" si="84"/>
        <v>3461.210007865367</v>
      </c>
      <c r="AS27" s="194">
        <f t="shared" si="84"/>
        <v>3408.770721680887</v>
      </c>
      <c r="AT27" s="194">
        <f t="shared" si="84"/>
        <v>3356.025539660331</v>
      </c>
      <c r="AU27" s="194">
        <f t="shared" si="84"/>
        <v>3302.972677411322</v>
      </c>
      <c r="AV27" s="194">
        <f t="shared" si="84"/>
        <v>3249.6103401325267</v>
      </c>
      <c r="AW27" s="194">
        <f t="shared" si="84"/>
        <v>3195.9367225529386</v>
      </c>
      <c r="AX27" s="194">
        <f t="shared" si="84"/>
        <v>3141.9500088708032</v>
      </c>
      <c r="AY27" s="194">
        <f t="shared" si="84"/>
        <v>3087.6483726921883</v>
      </c>
      <c r="AZ27" s="194">
        <f t="shared" si="84"/>
        <v>3033.0299769691983</v>
      </c>
      <c r="BA27" s="194">
        <f t="shared" si="84"/>
        <v>2978.0929739378244</v>
      </c>
      <c r="BB27" s="195">
        <f>BA27</f>
        <v>2978.0929739378244</v>
      </c>
      <c r="BC27" s="194">
        <f aca="true" t="shared" si="85" ref="BC27:BN27">BC43+BC59+BC75+BC91</f>
        <v>2922.835505055434</v>
      </c>
      <c r="BD27" s="194">
        <f t="shared" si="85"/>
        <v>2867.2557009378966</v>
      </c>
      <c r="BE27" s="194">
        <f t="shared" si="85"/>
        <v>2811.35168129634</v>
      </c>
      <c r="BF27" s="194">
        <f t="shared" si="85"/>
        <v>2755.121554873541</v>
      </c>
      <c r="BG27" s="194">
        <f t="shared" si="85"/>
        <v>2698.563419379942</v>
      </c>
      <c r="BH27" s="194">
        <f t="shared" si="85"/>
        <v>2641.675361429297</v>
      </c>
      <c r="BI27" s="194">
        <f t="shared" si="85"/>
        <v>2584.45545647394</v>
      </c>
      <c r="BJ27" s="194">
        <f t="shared" si="85"/>
        <v>2526.901768739677</v>
      </c>
      <c r="BK27" s="194">
        <f t="shared" si="85"/>
        <v>2469.012351160298</v>
      </c>
      <c r="BL27" s="194">
        <f t="shared" si="85"/>
        <v>2410.7852453117052</v>
      </c>
      <c r="BM27" s="194">
        <f t="shared" si="85"/>
        <v>2352.2184813456624</v>
      </c>
      <c r="BN27" s="194">
        <f t="shared" si="85"/>
        <v>2293.3100779231513</v>
      </c>
      <c r="BO27" s="195">
        <f>BN27</f>
        <v>2293.3100779231513</v>
      </c>
      <c r="BP27" s="194">
        <f aca="true" t="shared" si="86" ref="BP27:CA27">BP43+BP59+BP75+BP91</f>
        <v>2234.058042147342</v>
      </c>
      <c r="BQ27" s="194">
        <f t="shared" si="86"/>
        <v>2174.460369496174</v>
      </c>
      <c r="BR27" s="194">
        <f t="shared" si="86"/>
        <v>2114.5150437545403</v>
      </c>
      <c r="BS27" s="194">
        <f t="shared" si="86"/>
        <v>2054.2200369460807</v>
      </c>
      <c r="BT27" s="194">
        <f t="shared" si="86"/>
        <v>1993.5733092645717</v>
      </c>
      <c r="BU27" s="194">
        <f t="shared" si="86"/>
        <v>1932.5728090049206</v>
      </c>
      <c r="BV27" s="194">
        <f t="shared" si="86"/>
        <v>1871.216472493755</v>
      </c>
      <c r="BW27" s="194">
        <f t="shared" si="86"/>
        <v>1809.5022240196074</v>
      </c>
      <c r="BX27" s="194">
        <f t="shared" si="86"/>
        <v>1747.4279757626941</v>
      </c>
      <c r="BY27" s="194">
        <f t="shared" si="86"/>
        <v>1684.9916277242821</v>
      </c>
      <c r="BZ27" s="194">
        <f t="shared" si="86"/>
        <v>1622.191067655646</v>
      </c>
      <c r="CA27" s="194">
        <f t="shared" si="86"/>
        <v>1559.0241709866095</v>
      </c>
      <c r="CB27" s="195">
        <f>CA27</f>
        <v>1559.0241709866095</v>
      </c>
      <c r="CC27" s="194">
        <f aca="true" t="shared" si="87" ref="CC27:CN27">CC43+CC59+CC75+CC91</f>
        <v>1495.4888007536704</v>
      </c>
      <c r="CD27" s="194">
        <f t="shared" si="87"/>
        <v>1431.5828075277057</v>
      </c>
      <c r="CE27" s="194">
        <f t="shared" si="87"/>
        <v>1367.3040293412562</v>
      </c>
      <c r="CF27" s="194">
        <f t="shared" si="87"/>
        <v>1302.6502916153859</v>
      </c>
      <c r="CG27" s="194">
        <f t="shared" si="87"/>
        <v>1237.6194070861145</v>
      </c>
      <c r="CH27" s="194">
        <f t="shared" si="87"/>
        <v>1172.2091757304224</v>
      </c>
      <c r="CI27" s="194">
        <f t="shared" si="87"/>
        <v>1106.4173846918222</v>
      </c>
      <c r="CJ27" s="194">
        <f t="shared" si="87"/>
        <v>1040.241808205497</v>
      </c>
      <c r="CK27" s="194">
        <f t="shared" si="87"/>
        <v>973.6802075230013</v>
      </c>
      <c r="CL27" s="194">
        <f t="shared" si="87"/>
        <v>906.7303308365244</v>
      </c>
      <c r="CM27" s="194">
        <f t="shared" si="87"/>
        <v>839.3899132027097</v>
      </c>
      <c r="CN27" s="194">
        <f t="shared" si="87"/>
        <v>771.6566764660312</v>
      </c>
      <c r="CO27" s="195">
        <f>CN27</f>
        <v>771.6566764660312</v>
      </c>
      <c r="CP27" s="194">
        <f aca="true" t="shared" si="88" ref="CP27:DA27">CP43+CP59+CP75+CP91</f>
        <v>703.528329181722</v>
      </c>
      <c r="CQ27" s="194">
        <f t="shared" si="88"/>
        <v>635.0025665382543</v>
      </c>
      <c r="CR27" s="194">
        <f t="shared" si="88"/>
        <v>566.0770702793665</v>
      </c>
      <c r="CS27" s="194">
        <f t="shared" si="88"/>
        <v>496.7495086256351</v>
      </c>
      <c r="CT27" s="194">
        <f t="shared" si="88"/>
        <v>427.01753619559025</v>
      </c>
      <c r="CU27" s="194">
        <f t="shared" si="88"/>
        <v>356.8787939263702</v>
      </c>
      <c r="CV27" s="194">
        <f t="shared" si="88"/>
        <v>286.330908993913</v>
      </c>
      <c r="CW27" s="194">
        <f t="shared" si="88"/>
        <v>215.37149473268312</v>
      </c>
      <c r="CX27" s="194">
        <f t="shared" si="88"/>
        <v>143.9981505549294</v>
      </c>
      <c r="CY27" s="194">
        <f t="shared" si="88"/>
        <v>72.20846186947212</v>
      </c>
      <c r="CZ27" s="194">
        <f t="shared" si="88"/>
        <v>1.6328272067767102E-11</v>
      </c>
      <c r="DA27" s="194">
        <f t="shared" si="88"/>
        <v>1.6328272067767102E-11</v>
      </c>
      <c r="DB27" s="195">
        <f>DA27</f>
        <v>1.6328272067767102E-11</v>
      </c>
      <c r="DC27" s="194">
        <f aca="true" t="shared" si="89" ref="DC27:DN27">DC43+DC59+DC75+DC91</f>
        <v>1.6328272067767102E-11</v>
      </c>
      <c r="DD27" s="194">
        <f t="shared" si="89"/>
        <v>1.6328272067767102E-11</v>
      </c>
      <c r="DE27" s="194">
        <f t="shared" si="89"/>
        <v>1.6328272067767102E-11</v>
      </c>
      <c r="DF27" s="194">
        <f t="shared" si="89"/>
        <v>1.6328272067767102E-11</v>
      </c>
      <c r="DG27" s="194">
        <f t="shared" si="89"/>
        <v>1.6328272067767102E-11</v>
      </c>
      <c r="DH27" s="194">
        <f t="shared" si="89"/>
        <v>1.6328272067767102E-11</v>
      </c>
      <c r="DI27" s="194">
        <f t="shared" si="89"/>
        <v>1.6328272067767102E-11</v>
      </c>
      <c r="DJ27" s="194">
        <f t="shared" si="89"/>
        <v>1.6328272067767102E-11</v>
      </c>
      <c r="DK27" s="194">
        <f t="shared" si="89"/>
        <v>1.6328272067767102E-11</v>
      </c>
      <c r="DL27" s="194">
        <f t="shared" si="89"/>
        <v>1.6328272067767102E-11</v>
      </c>
      <c r="DM27" s="194">
        <f t="shared" si="89"/>
        <v>1.6328272067767102E-11</v>
      </c>
      <c r="DN27" s="194">
        <f t="shared" si="89"/>
        <v>1.6328272067767102E-11</v>
      </c>
      <c r="DO27" s="195">
        <f>DN27</f>
        <v>1.6328272067767102E-11</v>
      </c>
    </row>
    <row r="28" spans="1:119" ht="12.75">
      <c r="A28" s="177" t="s">
        <v>78</v>
      </c>
      <c r="B28" s="282">
        <f>Исх!C37*12-Исх!C38</f>
        <v>75</v>
      </c>
      <c r="CP28" s="180"/>
      <c r="DB28" s="177"/>
      <c r="DO28" s="177"/>
    </row>
    <row r="29" spans="1:119" ht="12.75">
      <c r="A29" s="285" t="s">
        <v>247</v>
      </c>
      <c r="B29" s="286">
        <f>$AK$27*$B$20/12/((1-(1+$B$20/12)^-$B$28))</f>
        <v>62.19798376344637</v>
      </c>
      <c r="DB29" s="177"/>
      <c r="DO29" s="177"/>
    </row>
    <row r="30" spans="1:119" ht="6.75" customHeight="1">
      <c r="A30" s="283"/>
      <c r="B30" s="280"/>
      <c r="DB30" s="177"/>
      <c r="DO30" s="177"/>
    </row>
    <row r="31" spans="1:119" ht="12.75">
      <c r="A31" s="268" t="s">
        <v>238</v>
      </c>
      <c r="DB31" s="177"/>
      <c r="DO31" s="177"/>
    </row>
    <row r="32" spans="1:119" ht="12.75" hidden="1" outlineLevel="1">
      <c r="A32" s="269">
        <f>B22+B23-B25</f>
        <v>1.8189894035458565E-11</v>
      </c>
      <c r="DB32" s="177"/>
      <c r="DO32" s="177"/>
    </row>
    <row r="33" spans="1:119" ht="12.75" hidden="1" outlineLevel="1">
      <c r="A33" s="269">
        <f>B24-B23-B26</f>
        <v>0</v>
      </c>
      <c r="DB33" s="177"/>
      <c r="DO33" s="177"/>
    </row>
    <row r="34" spans="106:119" ht="12.75" collapsed="1">
      <c r="DB34" s="177"/>
      <c r="DO34" s="177"/>
    </row>
    <row r="35" spans="1:119" ht="12.75">
      <c r="A35" s="291" t="s">
        <v>261</v>
      </c>
      <c r="B35" s="292"/>
      <c r="DB35" s="177"/>
      <c r="DO35" s="177"/>
    </row>
    <row r="36" spans="1:119" ht="15.75" customHeight="1">
      <c r="A36" s="186" t="s">
        <v>11</v>
      </c>
      <c r="B36" s="284">
        <f>Исх!$C$36</f>
        <v>0.07</v>
      </c>
      <c r="C36" s="360">
        <v>2013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>
        <v>2014</v>
      </c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>
        <v>2015</v>
      </c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>
        <v>2016</v>
      </c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>
        <v>2017</v>
      </c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>
        <v>2018</v>
      </c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>
        <v>2019</v>
      </c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>
        <v>2020</v>
      </c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>
        <v>2021</v>
      </c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</row>
    <row r="37" spans="1:119" s="192" customFormat="1" ht="15" customHeight="1">
      <c r="A37" s="188" t="s">
        <v>9</v>
      </c>
      <c r="B37" s="189" t="s">
        <v>89</v>
      </c>
      <c r="C37" s="190">
        <v>1</v>
      </c>
      <c r="D37" s="190">
        <v>2</v>
      </c>
      <c r="E37" s="190">
        <f aca="true" t="shared" si="90" ref="E37:N37">D37+1</f>
        <v>3</v>
      </c>
      <c r="F37" s="190">
        <f t="shared" si="90"/>
        <v>4</v>
      </c>
      <c r="G37" s="190">
        <f t="shared" si="90"/>
        <v>5</v>
      </c>
      <c r="H37" s="190">
        <f t="shared" si="90"/>
        <v>6</v>
      </c>
      <c r="I37" s="190">
        <f t="shared" si="90"/>
        <v>7</v>
      </c>
      <c r="J37" s="190">
        <f t="shared" si="90"/>
        <v>8</v>
      </c>
      <c r="K37" s="190">
        <f t="shared" si="90"/>
        <v>9</v>
      </c>
      <c r="L37" s="190">
        <f t="shared" si="90"/>
        <v>10</v>
      </c>
      <c r="M37" s="190">
        <f t="shared" si="90"/>
        <v>11</v>
      </c>
      <c r="N37" s="190">
        <f t="shared" si="90"/>
        <v>12</v>
      </c>
      <c r="O37" s="191" t="str">
        <f>O21</f>
        <v>Итого</v>
      </c>
      <c r="P37" s="190">
        <v>1</v>
      </c>
      <c r="Q37" s="190">
        <v>2</v>
      </c>
      <c r="R37" s="190">
        <f aca="true" t="shared" si="91" ref="R37:AA37">Q37+1</f>
        <v>3</v>
      </c>
      <c r="S37" s="190">
        <f t="shared" si="91"/>
        <v>4</v>
      </c>
      <c r="T37" s="190">
        <f t="shared" si="91"/>
        <v>5</v>
      </c>
      <c r="U37" s="190">
        <f t="shared" si="91"/>
        <v>6</v>
      </c>
      <c r="V37" s="190">
        <f t="shared" si="91"/>
        <v>7</v>
      </c>
      <c r="W37" s="190">
        <f t="shared" si="91"/>
        <v>8</v>
      </c>
      <c r="X37" s="190">
        <f t="shared" si="91"/>
        <v>9</v>
      </c>
      <c r="Y37" s="190">
        <f t="shared" si="91"/>
        <v>10</v>
      </c>
      <c r="Z37" s="190">
        <f t="shared" si="91"/>
        <v>11</v>
      </c>
      <c r="AA37" s="190">
        <f t="shared" si="91"/>
        <v>12</v>
      </c>
      <c r="AB37" s="191" t="str">
        <f>AB21</f>
        <v>Итого</v>
      </c>
      <c r="AC37" s="190">
        <v>1</v>
      </c>
      <c r="AD37" s="190">
        <v>2</v>
      </c>
      <c r="AE37" s="190">
        <f aca="true" t="shared" si="92" ref="AE37:AN37">AD37+1</f>
        <v>3</v>
      </c>
      <c r="AF37" s="190">
        <f t="shared" si="92"/>
        <v>4</v>
      </c>
      <c r="AG37" s="190">
        <f t="shared" si="92"/>
        <v>5</v>
      </c>
      <c r="AH37" s="190">
        <f t="shared" si="92"/>
        <v>6</v>
      </c>
      <c r="AI37" s="190">
        <f t="shared" si="92"/>
        <v>7</v>
      </c>
      <c r="AJ37" s="190">
        <f t="shared" si="92"/>
        <v>8</v>
      </c>
      <c r="AK37" s="190">
        <f t="shared" si="92"/>
        <v>9</v>
      </c>
      <c r="AL37" s="190">
        <f t="shared" si="92"/>
        <v>10</v>
      </c>
      <c r="AM37" s="190">
        <f t="shared" si="92"/>
        <v>11</v>
      </c>
      <c r="AN37" s="190">
        <f t="shared" si="92"/>
        <v>12</v>
      </c>
      <c r="AO37" s="191" t="str">
        <f>AO21</f>
        <v>Итого</v>
      </c>
      <c r="AP37" s="190">
        <v>1</v>
      </c>
      <c r="AQ37" s="190">
        <v>2</v>
      </c>
      <c r="AR37" s="190">
        <f aca="true" t="shared" si="93" ref="AR37:BA37">AQ37+1</f>
        <v>3</v>
      </c>
      <c r="AS37" s="190">
        <f t="shared" si="93"/>
        <v>4</v>
      </c>
      <c r="AT37" s="190">
        <f t="shared" si="93"/>
        <v>5</v>
      </c>
      <c r="AU37" s="190">
        <f t="shared" si="93"/>
        <v>6</v>
      </c>
      <c r="AV37" s="190">
        <f t="shared" si="93"/>
        <v>7</v>
      </c>
      <c r="AW37" s="190">
        <f t="shared" si="93"/>
        <v>8</v>
      </c>
      <c r="AX37" s="190">
        <f t="shared" si="93"/>
        <v>9</v>
      </c>
      <c r="AY37" s="190">
        <f t="shared" si="93"/>
        <v>10</v>
      </c>
      <c r="AZ37" s="190">
        <f t="shared" si="93"/>
        <v>11</v>
      </c>
      <c r="BA37" s="190">
        <f t="shared" si="93"/>
        <v>12</v>
      </c>
      <c r="BB37" s="191" t="str">
        <f>BB21</f>
        <v>Итого</v>
      </c>
      <c r="BC37" s="190">
        <v>1</v>
      </c>
      <c r="BD37" s="190">
        <v>2</v>
      </c>
      <c r="BE37" s="190">
        <f aca="true" t="shared" si="94" ref="BE37:BN37">BD37+1</f>
        <v>3</v>
      </c>
      <c r="BF37" s="190">
        <f t="shared" si="94"/>
        <v>4</v>
      </c>
      <c r="BG37" s="190">
        <f t="shared" si="94"/>
        <v>5</v>
      </c>
      <c r="BH37" s="190">
        <f t="shared" si="94"/>
        <v>6</v>
      </c>
      <c r="BI37" s="190">
        <f t="shared" si="94"/>
        <v>7</v>
      </c>
      <c r="BJ37" s="190">
        <f t="shared" si="94"/>
        <v>8</v>
      </c>
      <c r="BK37" s="190">
        <f t="shared" si="94"/>
        <v>9</v>
      </c>
      <c r="BL37" s="190">
        <f t="shared" si="94"/>
        <v>10</v>
      </c>
      <c r="BM37" s="190">
        <f t="shared" si="94"/>
        <v>11</v>
      </c>
      <c r="BN37" s="190">
        <f t="shared" si="94"/>
        <v>12</v>
      </c>
      <c r="BO37" s="191" t="str">
        <f>BO21</f>
        <v>Итого</v>
      </c>
      <c r="BP37" s="190">
        <v>1</v>
      </c>
      <c r="BQ37" s="190">
        <v>2</v>
      </c>
      <c r="BR37" s="190">
        <f aca="true" t="shared" si="95" ref="BR37:CA37">BQ37+1</f>
        <v>3</v>
      </c>
      <c r="BS37" s="190">
        <f t="shared" si="95"/>
        <v>4</v>
      </c>
      <c r="BT37" s="190">
        <f t="shared" si="95"/>
        <v>5</v>
      </c>
      <c r="BU37" s="190">
        <f t="shared" si="95"/>
        <v>6</v>
      </c>
      <c r="BV37" s="190">
        <f t="shared" si="95"/>
        <v>7</v>
      </c>
      <c r="BW37" s="190">
        <f t="shared" si="95"/>
        <v>8</v>
      </c>
      <c r="BX37" s="190">
        <f t="shared" si="95"/>
        <v>9</v>
      </c>
      <c r="BY37" s="190">
        <f t="shared" si="95"/>
        <v>10</v>
      </c>
      <c r="BZ37" s="190">
        <f t="shared" si="95"/>
        <v>11</v>
      </c>
      <c r="CA37" s="190">
        <f t="shared" si="95"/>
        <v>12</v>
      </c>
      <c r="CB37" s="191" t="str">
        <f>CB21</f>
        <v>Итого</v>
      </c>
      <c r="CC37" s="190">
        <v>1</v>
      </c>
      <c r="CD37" s="190">
        <v>2</v>
      </c>
      <c r="CE37" s="190">
        <f aca="true" t="shared" si="96" ref="CE37:CN37">CD37+1</f>
        <v>3</v>
      </c>
      <c r="CF37" s="190">
        <f t="shared" si="96"/>
        <v>4</v>
      </c>
      <c r="CG37" s="190">
        <f t="shared" si="96"/>
        <v>5</v>
      </c>
      <c r="CH37" s="190">
        <f t="shared" si="96"/>
        <v>6</v>
      </c>
      <c r="CI37" s="190">
        <f t="shared" si="96"/>
        <v>7</v>
      </c>
      <c r="CJ37" s="190">
        <f t="shared" si="96"/>
        <v>8</v>
      </c>
      <c r="CK37" s="190">
        <f t="shared" si="96"/>
        <v>9</v>
      </c>
      <c r="CL37" s="190">
        <f t="shared" si="96"/>
        <v>10</v>
      </c>
      <c r="CM37" s="190">
        <f t="shared" si="96"/>
        <v>11</v>
      </c>
      <c r="CN37" s="190">
        <f t="shared" si="96"/>
        <v>12</v>
      </c>
      <c r="CO37" s="191" t="str">
        <f>CO21</f>
        <v>Итого</v>
      </c>
      <c r="CP37" s="190">
        <v>1</v>
      </c>
      <c r="CQ37" s="190">
        <f aca="true" t="shared" si="97" ref="CQ37:DA37">CP37+1</f>
        <v>2</v>
      </c>
      <c r="CR37" s="190">
        <f t="shared" si="97"/>
        <v>3</v>
      </c>
      <c r="CS37" s="190">
        <f t="shared" si="97"/>
        <v>4</v>
      </c>
      <c r="CT37" s="190">
        <f t="shared" si="97"/>
        <v>5</v>
      </c>
      <c r="CU37" s="190">
        <f t="shared" si="97"/>
        <v>6</v>
      </c>
      <c r="CV37" s="190">
        <f t="shared" si="97"/>
        <v>7</v>
      </c>
      <c r="CW37" s="190">
        <f t="shared" si="97"/>
        <v>8</v>
      </c>
      <c r="CX37" s="190">
        <f t="shared" si="97"/>
        <v>9</v>
      </c>
      <c r="CY37" s="190">
        <f t="shared" si="97"/>
        <v>10</v>
      </c>
      <c r="CZ37" s="190">
        <f t="shared" si="97"/>
        <v>11</v>
      </c>
      <c r="DA37" s="190">
        <f t="shared" si="97"/>
        <v>12</v>
      </c>
      <c r="DB37" s="191" t="str">
        <f>DB21</f>
        <v>Итого</v>
      </c>
      <c r="DC37" s="190">
        <v>1</v>
      </c>
      <c r="DD37" s="190">
        <f aca="true" t="shared" si="98" ref="DD37:DN37">DC37+1</f>
        <v>2</v>
      </c>
      <c r="DE37" s="190">
        <f t="shared" si="98"/>
        <v>3</v>
      </c>
      <c r="DF37" s="190">
        <f t="shared" si="98"/>
        <v>4</v>
      </c>
      <c r="DG37" s="190">
        <f t="shared" si="98"/>
        <v>5</v>
      </c>
      <c r="DH37" s="190">
        <f t="shared" si="98"/>
        <v>6</v>
      </c>
      <c r="DI37" s="190">
        <f t="shared" si="98"/>
        <v>7</v>
      </c>
      <c r="DJ37" s="190">
        <f t="shared" si="98"/>
        <v>8</v>
      </c>
      <c r="DK37" s="190">
        <f t="shared" si="98"/>
        <v>9</v>
      </c>
      <c r="DL37" s="190">
        <f t="shared" si="98"/>
        <v>10</v>
      </c>
      <c r="DM37" s="190">
        <f t="shared" si="98"/>
        <v>11</v>
      </c>
      <c r="DN37" s="190">
        <f t="shared" si="98"/>
        <v>12</v>
      </c>
      <c r="DO37" s="191" t="s">
        <v>0</v>
      </c>
    </row>
    <row r="38" spans="1:119" ht="12.75">
      <c r="A38" s="188" t="s">
        <v>105</v>
      </c>
      <c r="B38" s="193">
        <f>O38+AB38+AO38+BB38+BO38+CB38+CO38+DB38+DO38</f>
        <v>4252.8843799999995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>
        <f>'1-Ф3'!N$29</f>
        <v>4252.8843799999995</v>
      </c>
      <c r="N38" s="194"/>
      <c r="O38" s="195">
        <f>SUM(C38:N38)</f>
        <v>4252.8843799999995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>
        <f>SUM(P38:AA38)</f>
        <v>0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>
        <f>SUM(AC38:AN38)</f>
        <v>0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</row>
    <row r="39" spans="1:119" s="197" customFormat="1" ht="20.25" customHeight="1">
      <c r="A39" s="188" t="s">
        <v>31</v>
      </c>
      <c r="B39" s="193">
        <f>O39+AB39+AO39+BB39+BO39+CB39+CO39+DB39+DO39</f>
        <v>148.8509533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>
        <f>SUM(C39:N39)</f>
        <v>0</v>
      </c>
      <c r="P39" s="194"/>
      <c r="Q39" s="194"/>
      <c r="R39" s="194"/>
      <c r="S39" s="194"/>
      <c r="T39" s="194">
        <f>SUM(O40:T40)</f>
        <v>148.8509533</v>
      </c>
      <c r="U39" s="194"/>
      <c r="V39" s="194"/>
      <c r="W39" s="194"/>
      <c r="X39" s="194"/>
      <c r="Y39" s="194"/>
      <c r="Z39" s="194"/>
      <c r="AA39" s="194"/>
      <c r="AB39" s="195">
        <f>SUM(P39:AA39)</f>
        <v>148.8509533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>
        <f>SUM(AC39:AN39)</f>
        <v>0</v>
      </c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SUM(AP39:BA39)</f>
        <v>0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5">
        <f>SUM(BC39:BN39)</f>
        <v>0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>
        <f>SUM(BP39:CA39)</f>
        <v>0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5">
        <f>SUM(CC39:CN39)</f>
        <v>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5">
        <f>SUM(CP39:DA39)</f>
        <v>0</v>
      </c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5">
        <f>SUM(DC39:DN39)</f>
        <v>0</v>
      </c>
    </row>
    <row r="40" spans="1:119" s="197" customFormat="1" ht="12.75">
      <c r="A40" s="198" t="s">
        <v>13</v>
      </c>
      <c r="B40" s="193">
        <f>O40+AB40+AO40+BB40+BO40+CB40+CO40+DB40+DO40</f>
        <v>1271.3718306098478</v>
      </c>
      <c r="C40" s="194"/>
      <c r="D40" s="194">
        <f aca="true" t="shared" si="99" ref="D40:N40">C43*$B36/12</f>
        <v>0</v>
      </c>
      <c r="E40" s="194">
        <f t="shared" si="99"/>
        <v>0</v>
      </c>
      <c r="F40" s="194">
        <f t="shared" si="99"/>
        <v>0</v>
      </c>
      <c r="G40" s="194">
        <f t="shared" si="99"/>
        <v>0</v>
      </c>
      <c r="H40" s="194">
        <f t="shared" si="99"/>
        <v>0</v>
      </c>
      <c r="I40" s="194">
        <f t="shared" si="99"/>
        <v>0</v>
      </c>
      <c r="J40" s="194">
        <f t="shared" si="99"/>
        <v>0</v>
      </c>
      <c r="K40" s="194">
        <f t="shared" si="99"/>
        <v>0</v>
      </c>
      <c r="L40" s="194">
        <f t="shared" si="99"/>
        <v>0</v>
      </c>
      <c r="M40" s="194">
        <f t="shared" si="99"/>
        <v>0</v>
      </c>
      <c r="N40" s="194">
        <f t="shared" si="99"/>
        <v>24.808492216666664</v>
      </c>
      <c r="O40" s="195">
        <f>SUM(C40:N40)</f>
        <v>24.808492216666664</v>
      </c>
      <c r="P40" s="194">
        <f aca="true" t="shared" si="100" ref="P40:AA40">O43*$B36/12</f>
        <v>24.808492216666664</v>
      </c>
      <c r="Q40" s="194">
        <f t="shared" si="100"/>
        <v>24.808492216666664</v>
      </c>
      <c r="R40" s="194">
        <f t="shared" si="100"/>
        <v>24.808492216666664</v>
      </c>
      <c r="S40" s="194">
        <f t="shared" si="100"/>
        <v>24.808492216666664</v>
      </c>
      <c r="T40" s="194">
        <f t="shared" si="100"/>
        <v>24.808492216666664</v>
      </c>
      <c r="U40" s="194">
        <f t="shared" si="100"/>
        <v>25.676789444249994</v>
      </c>
      <c r="V40" s="194">
        <f t="shared" si="100"/>
        <v>25.676789444249994</v>
      </c>
      <c r="W40" s="194">
        <f t="shared" si="100"/>
        <v>25.676789444249994</v>
      </c>
      <c r="X40" s="194">
        <f t="shared" si="100"/>
        <v>25.676789444249994</v>
      </c>
      <c r="Y40" s="194">
        <f t="shared" si="100"/>
        <v>25.40289759494213</v>
      </c>
      <c r="Z40" s="194">
        <f t="shared" si="100"/>
        <v>25.12740804317996</v>
      </c>
      <c r="AA40" s="194">
        <f t="shared" si="100"/>
        <v>24.850311469032516</v>
      </c>
      <c r="AB40" s="195">
        <f>SUM(P40:AA40)</f>
        <v>302.1302359674879</v>
      </c>
      <c r="AC40" s="194">
        <f aca="true" t="shared" si="101" ref="AC40:AN40">AB43*$B36/12</f>
        <v>24.571598498202537</v>
      </c>
      <c r="AD40" s="194">
        <f t="shared" si="101"/>
        <v>24.29125970170939</v>
      </c>
      <c r="AE40" s="194">
        <f t="shared" si="101"/>
        <v>24.009285595570034</v>
      </c>
      <c r="AF40" s="194">
        <f t="shared" si="101"/>
        <v>23.7256666404782</v>
      </c>
      <c r="AG40" s="194">
        <f t="shared" si="101"/>
        <v>23.44039324148166</v>
      </c>
      <c r="AH40" s="194">
        <f t="shared" si="101"/>
        <v>23.15345574765764</v>
      </c>
      <c r="AI40" s="194">
        <f t="shared" si="101"/>
        <v>22.864844451786315</v>
      </c>
      <c r="AJ40" s="194">
        <f t="shared" si="101"/>
        <v>22.574549590022404</v>
      </c>
      <c r="AK40" s="194">
        <f t="shared" si="101"/>
        <v>22.282561341564875</v>
      </c>
      <c r="AL40" s="194">
        <f t="shared" si="101"/>
        <v>21.988869828324678</v>
      </c>
      <c r="AM40" s="194">
        <f t="shared" si="101"/>
        <v>21.693465114590577</v>
      </c>
      <c r="AN40" s="194">
        <f t="shared" si="101"/>
        <v>21.39633720669303</v>
      </c>
      <c r="AO40" s="195">
        <f>SUM(AC40:AN40)</f>
        <v>275.9922869580813</v>
      </c>
      <c r="AP40" s="194">
        <f aca="true" t="shared" si="102" ref="AP40:BA40">AO43*$B36/12</f>
        <v>21.097476052666075</v>
      </c>
      <c r="AQ40" s="194">
        <f t="shared" si="102"/>
        <v>20.796871541907297</v>
      </c>
      <c r="AR40" s="194">
        <f t="shared" si="102"/>
        <v>20.494513504835762</v>
      </c>
      <c r="AS40" s="194">
        <f t="shared" si="102"/>
        <v>20.190391712547974</v>
      </c>
      <c r="AT40" s="194">
        <f t="shared" si="102"/>
        <v>19.884495876471842</v>
      </c>
      <c r="AU40" s="194">
        <f t="shared" si="102"/>
        <v>19.5768156480186</v>
      </c>
      <c r="AV40" s="194">
        <f t="shared" si="102"/>
        <v>19.267340618232712</v>
      </c>
      <c r="AW40" s="194">
        <f t="shared" si="102"/>
        <v>18.95606031743974</v>
      </c>
      <c r="AX40" s="194">
        <f t="shared" si="102"/>
        <v>18.642964214892142</v>
      </c>
      <c r="AY40" s="194">
        <f t="shared" si="102"/>
        <v>18.328041718413022</v>
      </c>
      <c r="AZ40" s="194">
        <f t="shared" si="102"/>
        <v>18.011282174037767</v>
      </c>
      <c r="BA40" s="194">
        <f t="shared" si="102"/>
        <v>17.692674865653657</v>
      </c>
      <c r="BB40" s="195">
        <f>SUM(AP40:BA40)</f>
        <v>232.93892824511664</v>
      </c>
      <c r="BC40" s="194">
        <f aca="true" t="shared" si="103" ref="BC40:BN40">BB43*$B36/12</f>
        <v>17.37220901463731</v>
      </c>
      <c r="BD40" s="194">
        <f t="shared" si="103"/>
        <v>17.049873779490035</v>
      </c>
      <c r="BE40" s="194">
        <f t="shared" si="103"/>
        <v>16.725658255471064</v>
      </c>
      <c r="BF40" s="194">
        <f t="shared" si="103"/>
        <v>16.39955147422865</v>
      </c>
      <c r="BG40" s="194">
        <f t="shared" si="103"/>
        <v>16.07154240342899</v>
      </c>
      <c r="BH40" s="194">
        <f t="shared" si="103"/>
        <v>15.741619946382997</v>
      </c>
      <c r="BI40" s="194">
        <f t="shared" si="103"/>
        <v>15.409772941670902</v>
      </c>
      <c r="BJ40" s="194">
        <f t="shared" si="103"/>
        <v>15.075990162764652</v>
      </c>
      <c r="BK40" s="194">
        <f t="shared" si="103"/>
        <v>14.740260317648117</v>
      </c>
      <c r="BL40" s="194">
        <f t="shared" si="103"/>
        <v>14.40257204843507</v>
      </c>
      <c r="BM40" s="194">
        <f t="shared" si="103"/>
        <v>14.062913930984948</v>
      </c>
      <c r="BN40" s="194">
        <f t="shared" si="103"/>
        <v>13.721274474516365</v>
      </c>
      <c r="BO40" s="195">
        <f>SUM(BC40:BN40)</f>
        <v>186.7732387496591</v>
      </c>
      <c r="BP40" s="194">
        <f aca="true" t="shared" si="104" ref="BP40:CA40">BO43*$B36/12</f>
        <v>13.377642121218384</v>
      </c>
      <c r="BQ40" s="194">
        <f t="shared" si="104"/>
        <v>13.032005245859496</v>
      </c>
      <c r="BR40" s="194">
        <f t="shared" si="104"/>
        <v>12.684352155394349</v>
      </c>
      <c r="BS40" s="194">
        <f t="shared" si="104"/>
        <v>12.334671088568152</v>
      </c>
      <c r="BT40" s="194">
        <f t="shared" si="104"/>
        <v>11.982950215518805</v>
      </c>
      <c r="BU40" s="194">
        <f t="shared" si="104"/>
        <v>11.629177637376669</v>
      </c>
      <c r="BV40" s="194">
        <f t="shared" si="104"/>
        <v>11.273341385862038</v>
      </c>
      <c r="BW40" s="194">
        <f t="shared" si="104"/>
        <v>10.915429422880239</v>
      </c>
      <c r="BX40" s="194">
        <f t="shared" si="104"/>
        <v>10.555429640114378</v>
      </c>
      <c r="BY40" s="194">
        <f t="shared" si="104"/>
        <v>10.193329858615717</v>
      </c>
      <c r="BZ40" s="194">
        <f t="shared" si="104"/>
        <v>9.829117828391647</v>
      </c>
      <c r="CA40" s="194">
        <f t="shared" si="104"/>
        <v>9.46278122799127</v>
      </c>
      <c r="CB40" s="195">
        <f>SUM(BP40:CA40)</f>
        <v>137.27022782779113</v>
      </c>
      <c r="CC40" s="194">
        <f aca="true" t="shared" si="105" ref="CC40:CN40">CB43*$B36/12</f>
        <v>9.094307664088555</v>
      </c>
      <c r="CD40" s="194">
        <f t="shared" si="105"/>
        <v>8.723684671063078</v>
      </c>
      <c r="CE40" s="194">
        <f t="shared" si="105"/>
        <v>8.350899710578284</v>
      </c>
      <c r="CF40" s="194">
        <f t="shared" si="105"/>
        <v>7.975940171157329</v>
      </c>
      <c r="CG40" s="194">
        <f t="shared" si="105"/>
        <v>7.598793367756418</v>
      </c>
      <c r="CH40" s="194">
        <f t="shared" si="105"/>
        <v>7.219446541335668</v>
      </c>
      <c r="CI40" s="194">
        <f t="shared" si="105"/>
        <v>6.837886858427464</v>
      </c>
      <c r="CJ40" s="194">
        <f t="shared" si="105"/>
        <v>6.454101410702297</v>
      </c>
      <c r="CK40" s="194">
        <f t="shared" si="105"/>
        <v>6.0680772145320665</v>
      </c>
      <c r="CL40" s="194">
        <f t="shared" si="105"/>
        <v>5.679801210550841</v>
      </c>
      <c r="CM40" s="194">
        <f t="shared" si="105"/>
        <v>5.28926026321306</v>
      </c>
      <c r="CN40" s="194">
        <f t="shared" si="105"/>
        <v>4.8964411603491405</v>
      </c>
      <c r="CO40" s="195">
        <f>SUM(CC40:CN40)</f>
        <v>84.18864024375421</v>
      </c>
      <c r="CP40" s="194">
        <f aca="true" t="shared" si="106" ref="CP40:DA40">CO43*$B36/12</f>
        <v>4.501330612718515</v>
      </c>
      <c r="CQ40" s="194">
        <f t="shared" si="106"/>
        <v>4.103915253560046</v>
      </c>
      <c r="CR40" s="194">
        <f t="shared" si="106"/>
        <v>3.704181638139817</v>
      </c>
      <c r="CS40" s="194">
        <f t="shared" si="106"/>
        <v>3.3021162432963043</v>
      </c>
      <c r="CT40" s="194">
        <f t="shared" si="106"/>
        <v>2.8977054669828717</v>
      </c>
      <c r="CU40" s="194">
        <f t="shared" si="106"/>
        <v>2.4909356278076102</v>
      </c>
      <c r="CV40" s="194">
        <f t="shared" si="106"/>
        <v>2.081792964570493</v>
      </c>
      <c r="CW40" s="194">
        <f t="shared" si="106"/>
        <v>1.670263635797826</v>
      </c>
      <c r="CX40" s="194">
        <f t="shared" si="106"/>
        <v>1.256333719273985</v>
      </c>
      <c r="CY40" s="194">
        <f t="shared" si="106"/>
        <v>0.8399892115704216</v>
      </c>
      <c r="CZ40" s="194">
        <f t="shared" si="106"/>
        <v>0.4212160275719207</v>
      </c>
      <c r="DA40" s="194">
        <f t="shared" si="106"/>
        <v>9.524825372864144E-14</v>
      </c>
      <c r="DB40" s="195">
        <f>SUM(CP40:DA40)</f>
        <v>27.269780401289907</v>
      </c>
      <c r="DC40" s="194">
        <f aca="true" t="shared" si="107" ref="DC40:DN40">DB43*$B36/12</f>
        <v>9.524825372864144E-14</v>
      </c>
      <c r="DD40" s="194">
        <f t="shared" si="107"/>
        <v>9.524825372864144E-14</v>
      </c>
      <c r="DE40" s="194">
        <f t="shared" si="107"/>
        <v>9.524825372864144E-14</v>
      </c>
      <c r="DF40" s="194">
        <f t="shared" si="107"/>
        <v>9.524825372864144E-14</v>
      </c>
      <c r="DG40" s="194">
        <f t="shared" si="107"/>
        <v>9.524825372864144E-14</v>
      </c>
      <c r="DH40" s="194">
        <f t="shared" si="107"/>
        <v>9.524825372864144E-14</v>
      </c>
      <c r="DI40" s="194">
        <f t="shared" si="107"/>
        <v>9.524825372864144E-14</v>
      </c>
      <c r="DJ40" s="194">
        <f t="shared" si="107"/>
        <v>9.524825372864144E-14</v>
      </c>
      <c r="DK40" s="194">
        <f t="shared" si="107"/>
        <v>9.524825372864144E-14</v>
      </c>
      <c r="DL40" s="194">
        <f t="shared" si="107"/>
        <v>9.524825372864144E-14</v>
      </c>
      <c r="DM40" s="194">
        <f t="shared" si="107"/>
        <v>9.524825372864144E-14</v>
      </c>
      <c r="DN40" s="194">
        <f t="shared" si="107"/>
        <v>9.524825372864144E-14</v>
      </c>
      <c r="DO40" s="195">
        <f>SUM(DC40:DN40)</f>
        <v>1.1429790447436973E-12</v>
      </c>
    </row>
    <row r="41" spans="1:119" ht="12.75">
      <c r="A41" s="188" t="s">
        <v>14</v>
      </c>
      <c r="B41" s="193">
        <f>O41+AB41+AO41+BB41+BO41+CB41+CO41+DB41+DO41</f>
        <v>4401.735333299981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9"/>
      <c r="O41" s="195">
        <f>SUM(C41:N41)</f>
        <v>0</v>
      </c>
      <c r="P41" s="199"/>
      <c r="Q41" s="199"/>
      <c r="R41" s="199"/>
      <c r="S41" s="199"/>
      <c r="T41" s="199"/>
      <c r="U41" s="199"/>
      <c r="V41" s="199"/>
      <c r="W41" s="199"/>
      <c r="X41" s="194">
        <f>$B45-X40</f>
        <v>46.952888452777714</v>
      </c>
      <c r="Y41" s="194">
        <f>$B45-Y40</f>
        <v>47.22678030208557</v>
      </c>
      <c r="Z41" s="194">
        <f>$B45-Z40</f>
        <v>47.50226985384775</v>
      </c>
      <c r="AA41" s="194">
        <f>$B45-AA40</f>
        <v>47.779366427995186</v>
      </c>
      <c r="AB41" s="195">
        <f>SUM(P41:AA41)</f>
        <v>189.46130503670622</v>
      </c>
      <c r="AC41" s="194">
        <f aca="true" t="shared" si="108" ref="AC41:AN41">$B45-AC40</f>
        <v>48.05807939882517</v>
      </c>
      <c r="AD41" s="194">
        <f t="shared" si="108"/>
        <v>48.33841819531831</v>
      </c>
      <c r="AE41" s="194">
        <f t="shared" si="108"/>
        <v>48.62039230145767</v>
      </c>
      <c r="AF41" s="194">
        <f t="shared" si="108"/>
        <v>48.90401125654951</v>
      </c>
      <c r="AG41" s="194">
        <f t="shared" si="108"/>
        <v>49.18928465554605</v>
      </c>
      <c r="AH41" s="194">
        <f t="shared" si="108"/>
        <v>49.47622214937006</v>
      </c>
      <c r="AI41" s="194">
        <f t="shared" si="108"/>
        <v>49.76483344524139</v>
      </c>
      <c r="AJ41" s="194">
        <f t="shared" si="108"/>
        <v>50.055128307005305</v>
      </c>
      <c r="AK41" s="194">
        <f t="shared" si="108"/>
        <v>50.34711655546283</v>
      </c>
      <c r="AL41" s="194">
        <f t="shared" si="108"/>
        <v>50.64080806870302</v>
      </c>
      <c r="AM41" s="194">
        <f t="shared" si="108"/>
        <v>50.936212782437124</v>
      </c>
      <c r="AN41" s="194">
        <f t="shared" si="108"/>
        <v>51.23334069033467</v>
      </c>
      <c r="AO41" s="195">
        <f>SUM(AC41:AN41)</f>
        <v>595.563847806251</v>
      </c>
      <c r="AP41" s="194">
        <f aca="true" t="shared" si="109" ref="AP41:BA41">$B45-AP40</f>
        <v>51.53220184436163</v>
      </c>
      <c r="AQ41" s="194">
        <f t="shared" si="109"/>
        <v>51.83280635512041</v>
      </c>
      <c r="AR41" s="194">
        <f t="shared" si="109"/>
        <v>52.13516439219194</v>
      </c>
      <c r="AS41" s="194">
        <f t="shared" si="109"/>
        <v>52.43928618447973</v>
      </c>
      <c r="AT41" s="194">
        <f t="shared" si="109"/>
        <v>52.74518202055586</v>
      </c>
      <c r="AU41" s="194">
        <f t="shared" si="109"/>
        <v>53.05286224900911</v>
      </c>
      <c r="AV41" s="194">
        <f t="shared" si="109"/>
        <v>53.362337278794996</v>
      </c>
      <c r="AW41" s="194">
        <f t="shared" si="109"/>
        <v>53.67361757958797</v>
      </c>
      <c r="AX41" s="194">
        <f t="shared" si="109"/>
        <v>53.98671368213556</v>
      </c>
      <c r="AY41" s="194">
        <f t="shared" si="109"/>
        <v>54.301636178614686</v>
      </c>
      <c r="AZ41" s="194">
        <f t="shared" si="109"/>
        <v>54.61839572298994</v>
      </c>
      <c r="BA41" s="194">
        <f t="shared" si="109"/>
        <v>54.93700303137405</v>
      </c>
      <c r="BB41" s="195">
        <f>SUM(AP41:BA41)</f>
        <v>638.6172065192159</v>
      </c>
      <c r="BC41" s="194">
        <f aca="true" t="shared" si="110" ref="BC41:BN41">$B45-BC40</f>
        <v>55.2574688823904</v>
      </c>
      <c r="BD41" s="194">
        <f t="shared" si="110"/>
        <v>55.57980411753767</v>
      </c>
      <c r="BE41" s="194">
        <f t="shared" si="110"/>
        <v>55.904019641556644</v>
      </c>
      <c r="BF41" s="194">
        <f t="shared" si="110"/>
        <v>56.23012642279905</v>
      </c>
      <c r="BG41" s="194">
        <f t="shared" si="110"/>
        <v>56.55813549359871</v>
      </c>
      <c r="BH41" s="194">
        <f t="shared" si="110"/>
        <v>56.88805795064471</v>
      </c>
      <c r="BI41" s="194">
        <f t="shared" si="110"/>
        <v>57.2199049553568</v>
      </c>
      <c r="BJ41" s="194">
        <f t="shared" si="110"/>
        <v>57.55368773426305</v>
      </c>
      <c r="BK41" s="194">
        <f t="shared" si="110"/>
        <v>57.88941757937959</v>
      </c>
      <c r="BL41" s="194">
        <f t="shared" si="110"/>
        <v>58.227105848592636</v>
      </c>
      <c r="BM41" s="194">
        <f t="shared" si="110"/>
        <v>58.56676396604276</v>
      </c>
      <c r="BN41" s="194">
        <f t="shared" si="110"/>
        <v>58.90840342251134</v>
      </c>
      <c r="BO41" s="195">
        <f>SUM(BC41:BN41)</f>
        <v>684.7828960146735</v>
      </c>
      <c r="BP41" s="194">
        <f aca="true" t="shared" si="111" ref="BP41:CA41">$B45-BP40</f>
        <v>59.25203577580932</v>
      </c>
      <c r="BQ41" s="194">
        <f t="shared" si="111"/>
        <v>59.59767265116821</v>
      </c>
      <c r="BR41" s="194">
        <f t="shared" si="111"/>
        <v>59.945325741633354</v>
      </c>
      <c r="BS41" s="194">
        <f t="shared" si="111"/>
        <v>60.295006808459554</v>
      </c>
      <c r="BT41" s="194">
        <f t="shared" si="111"/>
        <v>60.6467276815089</v>
      </c>
      <c r="BU41" s="194">
        <f t="shared" si="111"/>
        <v>61.000500259651034</v>
      </c>
      <c r="BV41" s="194">
        <f t="shared" si="111"/>
        <v>61.356336511165665</v>
      </c>
      <c r="BW41" s="194">
        <f t="shared" si="111"/>
        <v>61.71424847414747</v>
      </c>
      <c r="BX41" s="194">
        <f t="shared" si="111"/>
        <v>62.07424825691333</v>
      </c>
      <c r="BY41" s="194">
        <f t="shared" si="111"/>
        <v>62.436348038411985</v>
      </c>
      <c r="BZ41" s="194">
        <f t="shared" si="111"/>
        <v>62.80056006863606</v>
      </c>
      <c r="CA41" s="194">
        <f t="shared" si="111"/>
        <v>63.16689666903643</v>
      </c>
      <c r="CB41" s="195">
        <f>SUM(BP41:CA41)</f>
        <v>734.2859069365412</v>
      </c>
      <c r="CC41" s="194">
        <f aca="true" t="shared" si="112" ref="CC41:CN41">$B45-CC40</f>
        <v>63.53537023293915</v>
      </c>
      <c r="CD41" s="194">
        <f t="shared" si="112"/>
        <v>63.90599322596463</v>
      </c>
      <c r="CE41" s="194">
        <f t="shared" si="112"/>
        <v>64.27877818644941</v>
      </c>
      <c r="CF41" s="194">
        <f t="shared" si="112"/>
        <v>64.65373772587037</v>
      </c>
      <c r="CG41" s="194">
        <f t="shared" si="112"/>
        <v>65.03088452927129</v>
      </c>
      <c r="CH41" s="194">
        <f t="shared" si="112"/>
        <v>65.41023135569203</v>
      </c>
      <c r="CI41" s="194">
        <f t="shared" si="112"/>
        <v>65.79179103860024</v>
      </c>
      <c r="CJ41" s="194">
        <f t="shared" si="112"/>
        <v>66.17557648632541</v>
      </c>
      <c r="CK41" s="194">
        <f t="shared" si="112"/>
        <v>66.56160068249564</v>
      </c>
      <c r="CL41" s="194">
        <f t="shared" si="112"/>
        <v>66.94987668647687</v>
      </c>
      <c r="CM41" s="194">
        <f t="shared" si="112"/>
        <v>67.34041763381464</v>
      </c>
      <c r="CN41" s="194">
        <f t="shared" si="112"/>
        <v>67.73323673667856</v>
      </c>
      <c r="CO41" s="195">
        <f>SUM(CC41:CN41)</f>
        <v>787.3674945205781</v>
      </c>
      <c r="CP41" s="194">
        <f aca="true" t="shared" si="113" ref="CP41:CZ41">$B45-CP40</f>
        <v>68.12834728430919</v>
      </c>
      <c r="CQ41" s="194">
        <f t="shared" si="113"/>
        <v>68.52576264346766</v>
      </c>
      <c r="CR41" s="194">
        <f t="shared" si="113"/>
        <v>68.92549625888789</v>
      </c>
      <c r="CS41" s="194">
        <f t="shared" si="113"/>
        <v>69.3275616537314</v>
      </c>
      <c r="CT41" s="194">
        <f t="shared" si="113"/>
        <v>69.73197243004483</v>
      </c>
      <c r="CU41" s="194">
        <f t="shared" si="113"/>
        <v>70.13874226922009</v>
      </c>
      <c r="CV41" s="194">
        <f t="shared" si="113"/>
        <v>70.54788493245721</v>
      </c>
      <c r="CW41" s="194">
        <f t="shared" si="113"/>
        <v>70.95941426122988</v>
      </c>
      <c r="CX41" s="194">
        <f t="shared" si="113"/>
        <v>71.37334417775372</v>
      </c>
      <c r="CY41" s="194">
        <f t="shared" si="113"/>
        <v>71.78968868545728</v>
      </c>
      <c r="CZ41" s="194">
        <f t="shared" si="113"/>
        <v>72.20846186945579</v>
      </c>
      <c r="DA41" s="194"/>
      <c r="DB41" s="195">
        <f>SUM(CP41:DA41)</f>
        <v>771.6566764660149</v>
      </c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5">
        <f>SUM(DC41:DN41)</f>
        <v>0</v>
      </c>
    </row>
    <row r="42" spans="1:119" ht="12.75">
      <c r="A42" s="188" t="s">
        <v>15</v>
      </c>
      <c r="B42" s="193">
        <f>O42+AB42+AO42+BB42+BO42+CB42+CO42+DB42+DO42</f>
        <v>1122.520877309848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9"/>
      <c r="O42" s="195">
        <f>SUM(C42:N42)</f>
        <v>0</v>
      </c>
      <c r="P42" s="199"/>
      <c r="Q42" s="199"/>
      <c r="R42" s="199"/>
      <c r="S42" s="199"/>
      <c r="T42" s="199"/>
      <c r="U42" s="194">
        <f>U40</f>
        <v>25.676789444249994</v>
      </c>
      <c r="V42" s="194">
        <f aca="true" t="shared" si="114" ref="V42:AA42">V40</f>
        <v>25.676789444249994</v>
      </c>
      <c r="W42" s="194">
        <f t="shared" si="114"/>
        <v>25.676789444249994</v>
      </c>
      <c r="X42" s="194">
        <f t="shared" si="114"/>
        <v>25.676789444249994</v>
      </c>
      <c r="Y42" s="194">
        <f t="shared" si="114"/>
        <v>25.40289759494213</v>
      </c>
      <c r="Z42" s="194">
        <f t="shared" si="114"/>
        <v>25.12740804317996</v>
      </c>
      <c r="AA42" s="194">
        <f t="shared" si="114"/>
        <v>24.850311469032516</v>
      </c>
      <c r="AB42" s="195">
        <f>SUM(P42:AA42)</f>
        <v>178.08777488415458</v>
      </c>
      <c r="AC42" s="194">
        <f aca="true" t="shared" si="115" ref="AC42:AK42">AC40</f>
        <v>24.571598498202537</v>
      </c>
      <c r="AD42" s="194">
        <f t="shared" si="115"/>
        <v>24.29125970170939</v>
      </c>
      <c r="AE42" s="194">
        <f t="shared" si="115"/>
        <v>24.009285595570034</v>
      </c>
      <c r="AF42" s="194">
        <f t="shared" si="115"/>
        <v>23.7256666404782</v>
      </c>
      <c r="AG42" s="194">
        <f t="shared" si="115"/>
        <v>23.44039324148166</v>
      </c>
      <c r="AH42" s="194">
        <f t="shared" si="115"/>
        <v>23.15345574765764</v>
      </c>
      <c r="AI42" s="194">
        <f t="shared" si="115"/>
        <v>22.864844451786315</v>
      </c>
      <c r="AJ42" s="194">
        <f t="shared" si="115"/>
        <v>22.574549590022404</v>
      </c>
      <c r="AK42" s="194">
        <f t="shared" si="115"/>
        <v>22.282561341564875</v>
      </c>
      <c r="AL42" s="194">
        <f>AL40</f>
        <v>21.988869828324678</v>
      </c>
      <c r="AM42" s="194">
        <f>AM40</f>
        <v>21.693465114590577</v>
      </c>
      <c r="AN42" s="194">
        <f>AN40</f>
        <v>21.39633720669303</v>
      </c>
      <c r="AO42" s="195">
        <f>SUM(AC42:AN42)</f>
        <v>275.9922869580813</v>
      </c>
      <c r="AP42" s="194">
        <f aca="true" t="shared" si="116" ref="AP42:BA42">AP40</f>
        <v>21.097476052666075</v>
      </c>
      <c r="AQ42" s="194">
        <f t="shared" si="116"/>
        <v>20.796871541907297</v>
      </c>
      <c r="AR42" s="194">
        <f t="shared" si="116"/>
        <v>20.494513504835762</v>
      </c>
      <c r="AS42" s="194">
        <f t="shared" si="116"/>
        <v>20.190391712547974</v>
      </c>
      <c r="AT42" s="194">
        <f t="shared" si="116"/>
        <v>19.884495876471842</v>
      </c>
      <c r="AU42" s="194">
        <f t="shared" si="116"/>
        <v>19.5768156480186</v>
      </c>
      <c r="AV42" s="194">
        <f t="shared" si="116"/>
        <v>19.267340618232712</v>
      </c>
      <c r="AW42" s="194">
        <f t="shared" si="116"/>
        <v>18.95606031743974</v>
      </c>
      <c r="AX42" s="194">
        <f t="shared" si="116"/>
        <v>18.642964214892142</v>
      </c>
      <c r="AY42" s="194">
        <f t="shared" si="116"/>
        <v>18.328041718413022</v>
      </c>
      <c r="AZ42" s="194">
        <f t="shared" si="116"/>
        <v>18.011282174037767</v>
      </c>
      <c r="BA42" s="194">
        <f t="shared" si="116"/>
        <v>17.692674865653657</v>
      </c>
      <c r="BB42" s="195">
        <f>SUM(AP42:BA42)</f>
        <v>232.93892824511664</v>
      </c>
      <c r="BC42" s="194">
        <f aca="true" t="shared" si="117" ref="BC42:BN42">BC40</f>
        <v>17.37220901463731</v>
      </c>
      <c r="BD42" s="194">
        <f t="shared" si="117"/>
        <v>17.049873779490035</v>
      </c>
      <c r="BE42" s="194">
        <f t="shared" si="117"/>
        <v>16.725658255471064</v>
      </c>
      <c r="BF42" s="194">
        <f t="shared" si="117"/>
        <v>16.39955147422865</v>
      </c>
      <c r="BG42" s="194">
        <f t="shared" si="117"/>
        <v>16.07154240342899</v>
      </c>
      <c r="BH42" s="194">
        <f t="shared" si="117"/>
        <v>15.741619946382997</v>
      </c>
      <c r="BI42" s="194">
        <f t="shared" si="117"/>
        <v>15.409772941670902</v>
      </c>
      <c r="BJ42" s="194">
        <f t="shared" si="117"/>
        <v>15.075990162764652</v>
      </c>
      <c r="BK42" s="194">
        <f t="shared" si="117"/>
        <v>14.740260317648117</v>
      </c>
      <c r="BL42" s="194">
        <f t="shared" si="117"/>
        <v>14.40257204843507</v>
      </c>
      <c r="BM42" s="194">
        <f t="shared" si="117"/>
        <v>14.062913930984948</v>
      </c>
      <c r="BN42" s="194">
        <f t="shared" si="117"/>
        <v>13.721274474516365</v>
      </c>
      <c r="BO42" s="195">
        <f>SUM(BC42:BN42)</f>
        <v>186.7732387496591</v>
      </c>
      <c r="BP42" s="194">
        <f aca="true" t="shared" si="118" ref="BP42:CA42">BP40</f>
        <v>13.377642121218384</v>
      </c>
      <c r="BQ42" s="194">
        <f t="shared" si="118"/>
        <v>13.032005245859496</v>
      </c>
      <c r="BR42" s="194">
        <f t="shared" si="118"/>
        <v>12.684352155394349</v>
      </c>
      <c r="BS42" s="194">
        <f t="shared" si="118"/>
        <v>12.334671088568152</v>
      </c>
      <c r="BT42" s="194">
        <f t="shared" si="118"/>
        <v>11.982950215518805</v>
      </c>
      <c r="BU42" s="194">
        <f t="shared" si="118"/>
        <v>11.629177637376669</v>
      </c>
      <c r="BV42" s="194">
        <f t="shared" si="118"/>
        <v>11.273341385862038</v>
      </c>
      <c r="BW42" s="194">
        <f t="shared" si="118"/>
        <v>10.915429422880239</v>
      </c>
      <c r="BX42" s="194">
        <f t="shared" si="118"/>
        <v>10.555429640114378</v>
      </c>
      <c r="BY42" s="194">
        <f t="shared" si="118"/>
        <v>10.193329858615717</v>
      </c>
      <c r="BZ42" s="194">
        <f t="shared" si="118"/>
        <v>9.829117828391647</v>
      </c>
      <c r="CA42" s="194">
        <f t="shared" si="118"/>
        <v>9.46278122799127</v>
      </c>
      <c r="CB42" s="195">
        <f>SUM(BP42:CA42)</f>
        <v>137.27022782779113</v>
      </c>
      <c r="CC42" s="194">
        <f aca="true" t="shared" si="119" ref="CC42:CN42">CC40</f>
        <v>9.094307664088555</v>
      </c>
      <c r="CD42" s="194">
        <f t="shared" si="119"/>
        <v>8.723684671063078</v>
      </c>
      <c r="CE42" s="194">
        <f t="shared" si="119"/>
        <v>8.350899710578284</v>
      </c>
      <c r="CF42" s="194">
        <f t="shared" si="119"/>
        <v>7.975940171157329</v>
      </c>
      <c r="CG42" s="194">
        <f t="shared" si="119"/>
        <v>7.598793367756418</v>
      </c>
      <c r="CH42" s="194">
        <f t="shared" si="119"/>
        <v>7.219446541335668</v>
      </c>
      <c r="CI42" s="194">
        <f t="shared" si="119"/>
        <v>6.837886858427464</v>
      </c>
      <c r="CJ42" s="194">
        <f t="shared" si="119"/>
        <v>6.454101410702297</v>
      </c>
      <c r="CK42" s="194">
        <f t="shared" si="119"/>
        <v>6.0680772145320665</v>
      </c>
      <c r="CL42" s="194">
        <f t="shared" si="119"/>
        <v>5.679801210550841</v>
      </c>
      <c r="CM42" s="194">
        <f t="shared" si="119"/>
        <v>5.28926026321306</v>
      </c>
      <c r="CN42" s="194">
        <f t="shared" si="119"/>
        <v>4.8964411603491405</v>
      </c>
      <c r="CO42" s="195">
        <f>SUM(CC42:CN42)</f>
        <v>84.18864024375421</v>
      </c>
      <c r="CP42" s="194">
        <f aca="true" t="shared" si="120" ref="CP42:DA42">CP40</f>
        <v>4.501330612718515</v>
      </c>
      <c r="CQ42" s="194">
        <f t="shared" si="120"/>
        <v>4.103915253560046</v>
      </c>
      <c r="CR42" s="194">
        <f t="shared" si="120"/>
        <v>3.704181638139817</v>
      </c>
      <c r="CS42" s="194">
        <f t="shared" si="120"/>
        <v>3.3021162432963043</v>
      </c>
      <c r="CT42" s="194">
        <f t="shared" si="120"/>
        <v>2.8977054669828717</v>
      </c>
      <c r="CU42" s="194">
        <f t="shared" si="120"/>
        <v>2.4909356278076102</v>
      </c>
      <c r="CV42" s="194">
        <f t="shared" si="120"/>
        <v>2.081792964570493</v>
      </c>
      <c r="CW42" s="194">
        <f t="shared" si="120"/>
        <v>1.670263635797826</v>
      </c>
      <c r="CX42" s="194">
        <f t="shared" si="120"/>
        <v>1.256333719273985</v>
      </c>
      <c r="CY42" s="194">
        <f t="shared" si="120"/>
        <v>0.8399892115704216</v>
      </c>
      <c r="CZ42" s="194">
        <f t="shared" si="120"/>
        <v>0.4212160275719207</v>
      </c>
      <c r="DA42" s="194">
        <f t="shared" si="120"/>
        <v>9.524825372864144E-14</v>
      </c>
      <c r="DB42" s="195">
        <f>SUM(CP42:DA42)</f>
        <v>27.269780401289907</v>
      </c>
      <c r="DC42" s="194">
        <f aca="true" t="shared" si="121" ref="DC42:DN42">DC40</f>
        <v>9.524825372864144E-14</v>
      </c>
      <c r="DD42" s="194">
        <f t="shared" si="121"/>
        <v>9.524825372864144E-14</v>
      </c>
      <c r="DE42" s="194">
        <f t="shared" si="121"/>
        <v>9.524825372864144E-14</v>
      </c>
      <c r="DF42" s="194">
        <f t="shared" si="121"/>
        <v>9.524825372864144E-14</v>
      </c>
      <c r="DG42" s="194">
        <f t="shared" si="121"/>
        <v>9.524825372864144E-14</v>
      </c>
      <c r="DH42" s="194">
        <f t="shared" si="121"/>
        <v>9.524825372864144E-14</v>
      </c>
      <c r="DI42" s="194">
        <f t="shared" si="121"/>
        <v>9.524825372864144E-14</v>
      </c>
      <c r="DJ42" s="194">
        <f t="shared" si="121"/>
        <v>9.524825372864144E-14</v>
      </c>
      <c r="DK42" s="194">
        <f t="shared" si="121"/>
        <v>9.524825372864144E-14</v>
      </c>
      <c r="DL42" s="194">
        <f t="shared" si="121"/>
        <v>9.524825372864144E-14</v>
      </c>
      <c r="DM42" s="194">
        <f t="shared" si="121"/>
        <v>9.524825372864144E-14</v>
      </c>
      <c r="DN42" s="194">
        <f t="shared" si="121"/>
        <v>9.524825372864144E-14</v>
      </c>
      <c r="DO42" s="195">
        <f>SUM(DC42:DN42)</f>
        <v>1.1429790447436973E-12</v>
      </c>
    </row>
    <row r="43" spans="1:119" ht="12.75">
      <c r="A43" s="188" t="s">
        <v>16</v>
      </c>
      <c r="B43" s="193">
        <f>DO43</f>
        <v>1.6328272067767102E-11</v>
      </c>
      <c r="C43" s="194">
        <f>C38</f>
        <v>0</v>
      </c>
      <c r="D43" s="194">
        <f aca="true" t="shared" si="122" ref="D43:N43">C43+D38-D41+D39</f>
        <v>0</v>
      </c>
      <c r="E43" s="194">
        <f t="shared" si="122"/>
        <v>0</v>
      </c>
      <c r="F43" s="194">
        <f t="shared" si="122"/>
        <v>0</v>
      </c>
      <c r="G43" s="194">
        <f t="shared" si="122"/>
        <v>0</v>
      </c>
      <c r="H43" s="194">
        <f t="shared" si="122"/>
        <v>0</v>
      </c>
      <c r="I43" s="194">
        <f t="shared" si="122"/>
        <v>0</v>
      </c>
      <c r="J43" s="194">
        <f t="shared" si="122"/>
        <v>0</v>
      </c>
      <c r="K43" s="194">
        <f t="shared" si="122"/>
        <v>0</v>
      </c>
      <c r="L43" s="194">
        <f t="shared" si="122"/>
        <v>0</v>
      </c>
      <c r="M43" s="194">
        <f t="shared" si="122"/>
        <v>4252.8843799999995</v>
      </c>
      <c r="N43" s="194">
        <f t="shared" si="122"/>
        <v>4252.8843799999995</v>
      </c>
      <c r="O43" s="195">
        <f>N43</f>
        <v>4252.8843799999995</v>
      </c>
      <c r="P43" s="194">
        <f aca="true" t="shared" si="123" ref="P43:AA43">O43+P38-P41+P39</f>
        <v>4252.8843799999995</v>
      </c>
      <c r="Q43" s="194">
        <f t="shared" si="123"/>
        <v>4252.8843799999995</v>
      </c>
      <c r="R43" s="194">
        <f t="shared" si="123"/>
        <v>4252.8843799999995</v>
      </c>
      <c r="S43" s="194">
        <f t="shared" si="123"/>
        <v>4252.8843799999995</v>
      </c>
      <c r="T43" s="194">
        <f t="shared" si="123"/>
        <v>4401.735333299999</v>
      </c>
      <c r="U43" s="194">
        <f t="shared" si="123"/>
        <v>4401.735333299999</v>
      </c>
      <c r="V43" s="194">
        <f t="shared" si="123"/>
        <v>4401.735333299999</v>
      </c>
      <c r="W43" s="194">
        <f t="shared" si="123"/>
        <v>4401.735333299999</v>
      </c>
      <c r="X43" s="194">
        <f t="shared" si="123"/>
        <v>4354.782444847221</v>
      </c>
      <c r="Y43" s="194">
        <f t="shared" si="123"/>
        <v>4307.555664545135</v>
      </c>
      <c r="Z43" s="194">
        <f t="shared" si="123"/>
        <v>4260.053394691287</v>
      </c>
      <c r="AA43" s="194">
        <f t="shared" si="123"/>
        <v>4212.274028263292</v>
      </c>
      <c r="AB43" s="195">
        <f>AA43</f>
        <v>4212.274028263292</v>
      </c>
      <c r="AC43" s="194">
        <f aca="true" t="shared" si="124" ref="AC43:AN43">AB43+AC38-AC41+AC39</f>
        <v>4164.215948864467</v>
      </c>
      <c r="AD43" s="194">
        <f t="shared" si="124"/>
        <v>4115.877530669149</v>
      </c>
      <c r="AE43" s="194">
        <f t="shared" si="124"/>
        <v>4067.257138367691</v>
      </c>
      <c r="AF43" s="194">
        <f t="shared" si="124"/>
        <v>4018.3531271111415</v>
      </c>
      <c r="AG43" s="194">
        <f t="shared" si="124"/>
        <v>3969.1638424555954</v>
      </c>
      <c r="AH43" s="194">
        <f t="shared" si="124"/>
        <v>3919.687620306225</v>
      </c>
      <c r="AI43" s="194">
        <f t="shared" si="124"/>
        <v>3869.9227868609837</v>
      </c>
      <c r="AJ43" s="194">
        <f t="shared" si="124"/>
        <v>3819.8676585539783</v>
      </c>
      <c r="AK43" s="194">
        <f t="shared" si="124"/>
        <v>3769.5205419985155</v>
      </c>
      <c r="AL43" s="194">
        <f t="shared" si="124"/>
        <v>3718.8797339298126</v>
      </c>
      <c r="AM43" s="194">
        <f t="shared" si="124"/>
        <v>3667.9435211473756</v>
      </c>
      <c r="AN43" s="194">
        <f t="shared" si="124"/>
        <v>3616.710180457041</v>
      </c>
      <c r="AO43" s="195">
        <f>AN43</f>
        <v>3616.710180457041</v>
      </c>
      <c r="AP43" s="194">
        <f aca="true" t="shared" si="125" ref="AP43:BA43">AO43+AP38-AP41+AP39</f>
        <v>3565.1779786126795</v>
      </c>
      <c r="AQ43" s="194">
        <f t="shared" si="125"/>
        <v>3513.345172257559</v>
      </c>
      <c r="AR43" s="194">
        <f t="shared" si="125"/>
        <v>3461.210007865367</v>
      </c>
      <c r="AS43" s="194">
        <f t="shared" si="125"/>
        <v>3408.770721680887</v>
      </c>
      <c r="AT43" s="194">
        <f t="shared" si="125"/>
        <v>3356.025539660331</v>
      </c>
      <c r="AU43" s="194">
        <f t="shared" si="125"/>
        <v>3302.972677411322</v>
      </c>
      <c r="AV43" s="194">
        <f t="shared" si="125"/>
        <v>3249.6103401325267</v>
      </c>
      <c r="AW43" s="194">
        <f t="shared" si="125"/>
        <v>3195.9367225529386</v>
      </c>
      <c r="AX43" s="194">
        <f t="shared" si="125"/>
        <v>3141.9500088708032</v>
      </c>
      <c r="AY43" s="194">
        <f t="shared" si="125"/>
        <v>3087.6483726921883</v>
      </c>
      <c r="AZ43" s="194">
        <f t="shared" si="125"/>
        <v>3033.0299769691983</v>
      </c>
      <c r="BA43" s="194">
        <f t="shared" si="125"/>
        <v>2978.0929739378244</v>
      </c>
      <c r="BB43" s="195">
        <f>BA43</f>
        <v>2978.0929739378244</v>
      </c>
      <c r="BC43" s="194">
        <f aca="true" t="shared" si="126" ref="BC43:BN43">BB43+BC38-BC41+BC39</f>
        <v>2922.835505055434</v>
      </c>
      <c r="BD43" s="194">
        <f t="shared" si="126"/>
        <v>2867.2557009378966</v>
      </c>
      <c r="BE43" s="194">
        <f t="shared" si="126"/>
        <v>2811.35168129634</v>
      </c>
      <c r="BF43" s="194">
        <f t="shared" si="126"/>
        <v>2755.121554873541</v>
      </c>
      <c r="BG43" s="194">
        <f t="shared" si="126"/>
        <v>2698.563419379942</v>
      </c>
      <c r="BH43" s="194">
        <f t="shared" si="126"/>
        <v>2641.675361429297</v>
      </c>
      <c r="BI43" s="194">
        <f t="shared" si="126"/>
        <v>2584.45545647394</v>
      </c>
      <c r="BJ43" s="194">
        <f t="shared" si="126"/>
        <v>2526.901768739677</v>
      </c>
      <c r="BK43" s="194">
        <f t="shared" si="126"/>
        <v>2469.012351160298</v>
      </c>
      <c r="BL43" s="194">
        <f t="shared" si="126"/>
        <v>2410.7852453117052</v>
      </c>
      <c r="BM43" s="194">
        <f t="shared" si="126"/>
        <v>2352.2184813456624</v>
      </c>
      <c r="BN43" s="194">
        <f t="shared" si="126"/>
        <v>2293.3100779231513</v>
      </c>
      <c r="BO43" s="195">
        <f>BN43</f>
        <v>2293.3100779231513</v>
      </c>
      <c r="BP43" s="194">
        <f aca="true" t="shared" si="127" ref="BP43:CA43">BO43+BP38-BP41+BP39</f>
        <v>2234.058042147342</v>
      </c>
      <c r="BQ43" s="194">
        <f t="shared" si="127"/>
        <v>2174.460369496174</v>
      </c>
      <c r="BR43" s="194">
        <f t="shared" si="127"/>
        <v>2114.5150437545403</v>
      </c>
      <c r="BS43" s="194">
        <f t="shared" si="127"/>
        <v>2054.2200369460807</v>
      </c>
      <c r="BT43" s="194">
        <f t="shared" si="127"/>
        <v>1993.5733092645717</v>
      </c>
      <c r="BU43" s="194">
        <f t="shared" si="127"/>
        <v>1932.5728090049206</v>
      </c>
      <c r="BV43" s="194">
        <f t="shared" si="127"/>
        <v>1871.216472493755</v>
      </c>
      <c r="BW43" s="194">
        <f t="shared" si="127"/>
        <v>1809.5022240196074</v>
      </c>
      <c r="BX43" s="194">
        <f t="shared" si="127"/>
        <v>1747.4279757626941</v>
      </c>
      <c r="BY43" s="194">
        <f t="shared" si="127"/>
        <v>1684.9916277242821</v>
      </c>
      <c r="BZ43" s="194">
        <f t="shared" si="127"/>
        <v>1622.191067655646</v>
      </c>
      <c r="CA43" s="194">
        <f t="shared" si="127"/>
        <v>1559.0241709866095</v>
      </c>
      <c r="CB43" s="195">
        <f>CA43</f>
        <v>1559.0241709866095</v>
      </c>
      <c r="CC43" s="194">
        <f aca="true" t="shared" si="128" ref="CC43:CN43">CB43+CC38-CC41+CC39</f>
        <v>1495.4888007536704</v>
      </c>
      <c r="CD43" s="194">
        <f t="shared" si="128"/>
        <v>1431.5828075277057</v>
      </c>
      <c r="CE43" s="194">
        <f t="shared" si="128"/>
        <v>1367.3040293412562</v>
      </c>
      <c r="CF43" s="194">
        <f t="shared" si="128"/>
        <v>1302.6502916153859</v>
      </c>
      <c r="CG43" s="194">
        <f t="shared" si="128"/>
        <v>1237.6194070861145</v>
      </c>
      <c r="CH43" s="194">
        <f t="shared" si="128"/>
        <v>1172.2091757304224</v>
      </c>
      <c r="CI43" s="194">
        <f t="shared" si="128"/>
        <v>1106.4173846918222</v>
      </c>
      <c r="CJ43" s="194">
        <f t="shared" si="128"/>
        <v>1040.241808205497</v>
      </c>
      <c r="CK43" s="194">
        <f t="shared" si="128"/>
        <v>973.6802075230013</v>
      </c>
      <c r="CL43" s="194">
        <f t="shared" si="128"/>
        <v>906.7303308365244</v>
      </c>
      <c r="CM43" s="194">
        <f t="shared" si="128"/>
        <v>839.3899132027097</v>
      </c>
      <c r="CN43" s="194">
        <f t="shared" si="128"/>
        <v>771.6566764660312</v>
      </c>
      <c r="CO43" s="195">
        <f>CN43</f>
        <v>771.6566764660312</v>
      </c>
      <c r="CP43" s="194">
        <f aca="true" t="shared" si="129" ref="CP43:DA43">CO43+CP38-CP41+CP39</f>
        <v>703.528329181722</v>
      </c>
      <c r="CQ43" s="194">
        <f t="shared" si="129"/>
        <v>635.0025665382543</v>
      </c>
      <c r="CR43" s="194">
        <f t="shared" si="129"/>
        <v>566.0770702793665</v>
      </c>
      <c r="CS43" s="194">
        <f t="shared" si="129"/>
        <v>496.7495086256351</v>
      </c>
      <c r="CT43" s="194">
        <f t="shared" si="129"/>
        <v>427.01753619559025</v>
      </c>
      <c r="CU43" s="194">
        <f t="shared" si="129"/>
        <v>356.8787939263702</v>
      </c>
      <c r="CV43" s="194">
        <f t="shared" si="129"/>
        <v>286.330908993913</v>
      </c>
      <c r="CW43" s="194">
        <f t="shared" si="129"/>
        <v>215.37149473268312</v>
      </c>
      <c r="CX43" s="194">
        <f t="shared" si="129"/>
        <v>143.9981505549294</v>
      </c>
      <c r="CY43" s="194">
        <f t="shared" si="129"/>
        <v>72.20846186947212</v>
      </c>
      <c r="CZ43" s="194">
        <f t="shared" si="129"/>
        <v>1.6328272067767102E-11</v>
      </c>
      <c r="DA43" s="194">
        <f t="shared" si="129"/>
        <v>1.6328272067767102E-11</v>
      </c>
      <c r="DB43" s="195">
        <f>DA43</f>
        <v>1.6328272067767102E-11</v>
      </c>
      <c r="DC43" s="194">
        <f aca="true" t="shared" si="130" ref="DC43:DN43">DB43+DC38-DC41+DC39</f>
        <v>1.6328272067767102E-11</v>
      </c>
      <c r="DD43" s="194">
        <f t="shared" si="130"/>
        <v>1.6328272067767102E-11</v>
      </c>
      <c r="DE43" s="194">
        <f t="shared" si="130"/>
        <v>1.6328272067767102E-11</v>
      </c>
      <c r="DF43" s="194">
        <f t="shared" si="130"/>
        <v>1.6328272067767102E-11</v>
      </c>
      <c r="DG43" s="194">
        <f t="shared" si="130"/>
        <v>1.6328272067767102E-11</v>
      </c>
      <c r="DH43" s="194">
        <f t="shared" si="130"/>
        <v>1.6328272067767102E-11</v>
      </c>
      <c r="DI43" s="194">
        <f t="shared" si="130"/>
        <v>1.6328272067767102E-11</v>
      </c>
      <c r="DJ43" s="194">
        <f t="shared" si="130"/>
        <v>1.6328272067767102E-11</v>
      </c>
      <c r="DK43" s="194">
        <f t="shared" si="130"/>
        <v>1.6328272067767102E-11</v>
      </c>
      <c r="DL43" s="194">
        <f t="shared" si="130"/>
        <v>1.6328272067767102E-11</v>
      </c>
      <c r="DM43" s="194">
        <f t="shared" si="130"/>
        <v>1.6328272067767102E-11</v>
      </c>
      <c r="DN43" s="194">
        <f t="shared" si="130"/>
        <v>1.6328272067767102E-11</v>
      </c>
      <c r="DO43" s="195">
        <f>DN43</f>
        <v>1.6328272067767102E-11</v>
      </c>
    </row>
    <row r="44" spans="1:119" ht="12.75">
      <c r="A44" s="177" t="s">
        <v>78</v>
      </c>
      <c r="B44" s="282">
        <f>Исх!$C$37*12-Исх!$C$38</f>
        <v>75</v>
      </c>
      <c r="CP44" s="180"/>
      <c r="DB44" s="177"/>
      <c r="DO44" s="177"/>
    </row>
    <row r="45" spans="1:119" ht="12.75">
      <c r="A45" s="285" t="s">
        <v>247</v>
      </c>
      <c r="B45" s="286">
        <f>$T$43*$B$20/12/((1-(1+$B$20/12)^-$B44))</f>
        <v>72.6296778970277</v>
      </c>
      <c r="DB45" s="177"/>
      <c r="DO45" s="177"/>
    </row>
    <row r="46" spans="1:119" ht="6" customHeight="1">
      <c r="A46" s="283"/>
      <c r="B46" s="280"/>
      <c r="DB46" s="177"/>
      <c r="DO46" s="177"/>
    </row>
    <row r="47" spans="1:119" ht="12.75">
      <c r="A47" s="268" t="s">
        <v>238</v>
      </c>
      <c r="DB47" s="177"/>
      <c r="DO47" s="177"/>
    </row>
    <row r="48" spans="1:119" ht="12.75" hidden="1" outlineLevel="1">
      <c r="A48" s="269">
        <f>B38+B39-B41</f>
        <v>1.8189894035458565E-11</v>
      </c>
      <c r="DB48" s="177"/>
      <c r="DO48" s="177"/>
    </row>
    <row r="49" spans="1:119" ht="12.75" hidden="1" outlineLevel="1">
      <c r="A49" s="269">
        <f>B40-B39-B42</f>
        <v>0</v>
      </c>
      <c r="DB49" s="177"/>
      <c r="DO49" s="177"/>
    </row>
    <row r="50" ht="12.75" collapsed="1"/>
    <row r="51" spans="1:119" ht="12.75">
      <c r="A51" s="291" t="s">
        <v>262</v>
      </c>
      <c r="B51" s="292"/>
      <c r="DB51" s="177"/>
      <c r="DO51" s="177"/>
    </row>
    <row r="52" spans="1:119" ht="15.75" customHeight="1">
      <c r="A52" s="186" t="s">
        <v>11</v>
      </c>
      <c r="B52" s="284">
        <f>Исх!$C$36</f>
        <v>0.07</v>
      </c>
      <c r="C52" s="360">
        <v>2013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>
        <v>2014</v>
      </c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>
        <v>2015</v>
      </c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>
        <v>2016</v>
      </c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>
        <v>2017</v>
      </c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>
        <v>2018</v>
      </c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>
        <v>2019</v>
      </c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>
        <v>2020</v>
      </c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>
        <v>2021</v>
      </c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</row>
    <row r="53" spans="1:119" s="192" customFormat="1" ht="15" customHeight="1">
      <c r="A53" s="188" t="s">
        <v>9</v>
      </c>
      <c r="B53" s="189" t="s">
        <v>89</v>
      </c>
      <c r="C53" s="190">
        <v>1</v>
      </c>
      <c r="D53" s="190">
        <v>2</v>
      </c>
      <c r="E53" s="190">
        <f aca="true" t="shared" si="131" ref="E53:N53">D53+1</f>
        <v>3</v>
      </c>
      <c r="F53" s="190">
        <f t="shared" si="131"/>
        <v>4</v>
      </c>
      <c r="G53" s="190">
        <f t="shared" si="131"/>
        <v>5</v>
      </c>
      <c r="H53" s="190">
        <f t="shared" si="131"/>
        <v>6</v>
      </c>
      <c r="I53" s="190">
        <f t="shared" si="131"/>
        <v>7</v>
      </c>
      <c r="J53" s="190">
        <f t="shared" si="131"/>
        <v>8</v>
      </c>
      <c r="K53" s="190">
        <f t="shared" si="131"/>
        <v>9</v>
      </c>
      <c r="L53" s="190">
        <f t="shared" si="131"/>
        <v>10</v>
      </c>
      <c r="M53" s="190">
        <f t="shared" si="131"/>
        <v>11</v>
      </c>
      <c r="N53" s="190">
        <f t="shared" si="131"/>
        <v>12</v>
      </c>
      <c r="O53" s="191" t="str">
        <f>O37</f>
        <v>Итого</v>
      </c>
      <c r="P53" s="190">
        <v>1</v>
      </c>
      <c r="Q53" s="190">
        <v>2</v>
      </c>
      <c r="R53" s="190">
        <f aca="true" t="shared" si="132" ref="R53:AA53">Q53+1</f>
        <v>3</v>
      </c>
      <c r="S53" s="190">
        <f t="shared" si="132"/>
        <v>4</v>
      </c>
      <c r="T53" s="190">
        <f t="shared" si="132"/>
        <v>5</v>
      </c>
      <c r="U53" s="190">
        <f t="shared" si="132"/>
        <v>6</v>
      </c>
      <c r="V53" s="190">
        <f t="shared" si="132"/>
        <v>7</v>
      </c>
      <c r="W53" s="190">
        <f t="shared" si="132"/>
        <v>8</v>
      </c>
      <c r="X53" s="190">
        <f t="shared" si="132"/>
        <v>9</v>
      </c>
      <c r="Y53" s="190">
        <f t="shared" si="132"/>
        <v>10</v>
      </c>
      <c r="Z53" s="190">
        <f t="shared" si="132"/>
        <v>11</v>
      </c>
      <c r="AA53" s="190">
        <f t="shared" si="132"/>
        <v>12</v>
      </c>
      <c r="AB53" s="191" t="str">
        <f>AB37</f>
        <v>Итого</v>
      </c>
      <c r="AC53" s="190">
        <v>1</v>
      </c>
      <c r="AD53" s="190">
        <v>2</v>
      </c>
      <c r="AE53" s="190">
        <f aca="true" t="shared" si="133" ref="AE53:AN53">AD53+1</f>
        <v>3</v>
      </c>
      <c r="AF53" s="190">
        <f t="shared" si="133"/>
        <v>4</v>
      </c>
      <c r="AG53" s="190">
        <f t="shared" si="133"/>
        <v>5</v>
      </c>
      <c r="AH53" s="190">
        <f t="shared" si="133"/>
        <v>6</v>
      </c>
      <c r="AI53" s="190">
        <f t="shared" si="133"/>
        <v>7</v>
      </c>
      <c r="AJ53" s="190">
        <f t="shared" si="133"/>
        <v>8</v>
      </c>
      <c r="AK53" s="190">
        <f t="shared" si="133"/>
        <v>9</v>
      </c>
      <c r="AL53" s="190">
        <f t="shared" si="133"/>
        <v>10</v>
      </c>
      <c r="AM53" s="190">
        <f t="shared" si="133"/>
        <v>11</v>
      </c>
      <c r="AN53" s="190">
        <f t="shared" si="133"/>
        <v>12</v>
      </c>
      <c r="AO53" s="191" t="str">
        <f>AO37</f>
        <v>Итого</v>
      </c>
      <c r="AP53" s="190">
        <v>1</v>
      </c>
      <c r="AQ53" s="190">
        <v>2</v>
      </c>
      <c r="AR53" s="190">
        <f aca="true" t="shared" si="134" ref="AR53:BA53">AQ53+1</f>
        <v>3</v>
      </c>
      <c r="AS53" s="190">
        <f t="shared" si="134"/>
        <v>4</v>
      </c>
      <c r="AT53" s="190">
        <f t="shared" si="134"/>
        <v>5</v>
      </c>
      <c r="AU53" s="190">
        <f t="shared" si="134"/>
        <v>6</v>
      </c>
      <c r="AV53" s="190">
        <f t="shared" si="134"/>
        <v>7</v>
      </c>
      <c r="AW53" s="190">
        <f t="shared" si="134"/>
        <v>8</v>
      </c>
      <c r="AX53" s="190">
        <f t="shared" si="134"/>
        <v>9</v>
      </c>
      <c r="AY53" s="190">
        <f t="shared" si="134"/>
        <v>10</v>
      </c>
      <c r="AZ53" s="190">
        <f t="shared" si="134"/>
        <v>11</v>
      </c>
      <c r="BA53" s="190">
        <f t="shared" si="134"/>
        <v>12</v>
      </c>
      <c r="BB53" s="191" t="str">
        <f>BB37</f>
        <v>Итого</v>
      </c>
      <c r="BC53" s="190">
        <v>1</v>
      </c>
      <c r="BD53" s="190">
        <v>2</v>
      </c>
      <c r="BE53" s="190">
        <f aca="true" t="shared" si="135" ref="BE53:BN53">BD53+1</f>
        <v>3</v>
      </c>
      <c r="BF53" s="190">
        <f t="shared" si="135"/>
        <v>4</v>
      </c>
      <c r="BG53" s="190">
        <f t="shared" si="135"/>
        <v>5</v>
      </c>
      <c r="BH53" s="190">
        <f t="shared" si="135"/>
        <v>6</v>
      </c>
      <c r="BI53" s="190">
        <f t="shared" si="135"/>
        <v>7</v>
      </c>
      <c r="BJ53" s="190">
        <f t="shared" si="135"/>
        <v>8</v>
      </c>
      <c r="BK53" s="190">
        <f t="shared" si="135"/>
        <v>9</v>
      </c>
      <c r="BL53" s="190">
        <f t="shared" si="135"/>
        <v>10</v>
      </c>
      <c r="BM53" s="190">
        <f t="shared" si="135"/>
        <v>11</v>
      </c>
      <c r="BN53" s="190">
        <f t="shared" si="135"/>
        <v>12</v>
      </c>
      <c r="BO53" s="191" t="str">
        <f>BO37</f>
        <v>Итого</v>
      </c>
      <c r="BP53" s="190">
        <v>1</v>
      </c>
      <c r="BQ53" s="190">
        <v>2</v>
      </c>
      <c r="BR53" s="190">
        <f aca="true" t="shared" si="136" ref="BR53:CA53">BQ53+1</f>
        <v>3</v>
      </c>
      <c r="BS53" s="190">
        <f t="shared" si="136"/>
        <v>4</v>
      </c>
      <c r="BT53" s="190">
        <f t="shared" si="136"/>
        <v>5</v>
      </c>
      <c r="BU53" s="190">
        <f t="shared" si="136"/>
        <v>6</v>
      </c>
      <c r="BV53" s="190">
        <f t="shared" si="136"/>
        <v>7</v>
      </c>
      <c r="BW53" s="190">
        <f t="shared" si="136"/>
        <v>8</v>
      </c>
      <c r="BX53" s="190">
        <f t="shared" si="136"/>
        <v>9</v>
      </c>
      <c r="BY53" s="190">
        <f t="shared" si="136"/>
        <v>10</v>
      </c>
      <c r="BZ53" s="190">
        <f t="shared" si="136"/>
        <v>11</v>
      </c>
      <c r="CA53" s="190">
        <f t="shared" si="136"/>
        <v>12</v>
      </c>
      <c r="CB53" s="191" t="str">
        <f>CB37</f>
        <v>Итого</v>
      </c>
      <c r="CC53" s="190">
        <v>1</v>
      </c>
      <c r="CD53" s="190">
        <v>2</v>
      </c>
      <c r="CE53" s="190">
        <f aca="true" t="shared" si="137" ref="CE53:CN53">CD53+1</f>
        <v>3</v>
      </c>
      <c r="CF53" s="190">
        <f t="shared" si="137"/>
        <v>4</v>
      </c>
      <c r="CG53" s="190">
        <f t="shared" si="137"/>
        <v>5</v>
      </c>
      <c r="CH53" s="190">
        <f t="shared" si="137"/>
        <v>6</v>
      </c>
      <c r="CI53" s="190">
        <f t="shared" si="137"/>
        <v>7</v>
      </c>
      <c r="CJ53" s="190">
        <f t="shared" si="137"/>
        <v>8</v>
      </c>
      <c r="CK53" s="190">
        <f t="shared" si="137"/>
        <v>9</v>
      </c>
      <c r="CL53" s="190">
        <f t="shared" si="137"/>
        <v>10</v>
      </c>
      <c r="CM53" s="190">
        <f t="shared" si="137"/>
        <v>11</v>
      </c>
      <c r="CN53" s="190">
        <f t="shared" si="137"/>
        <v>12</v>
      </c>
      <c r="CO53" s="191" t="str">
        <f>CO37</f>
        <v>Итого</v>
      </c>
      <c r="CP53" s="190">
        <v>1</v>
      </c>
      <c r="CQ53" s="190">
        <f aca="true" t="shared" si="138" ref="CQ53:DA53">CP53+1</f>
        <v>2</v>
      </c>
      <c r="CR53" s="190">
        <f t="shared" si="138"/>
        <v>3</v>
      </c>
      <c r="CS53" s="190">
        <f t="shared" si="138"/>
        <v>4</v>
      </c>
      <c r="CT53" s="190">
        <f t="shared" si="138"/>
        <v>5</v>
      </c>
      <c r="CU53" s="190">
        <f t="shared" si="138"/>
        <v>6</v>
      </c>
      <c r="CV53" s="190">
        <f t="shared" si="138"/>
        <v>7</v>
      </c>
      <c r="CW53" s="190">
        <f t="shared" si="138"/>
        <v>8</v>
      </c>
      <c r="CX53" s="190">
        <f t="shared" si="138"/>
        <v>9</v>
      </c>
      <c r="CY53" s="190">
        <f t="shared" si="138"/>
        <v>10</v>
      </c>
      <c r="CZ53" s="190">
        <f t="shared" si="138"/>
        <v>11</v>
      </c>
      <c r="DA53" s="190">
        <f t="shared" si="138"/>
        <v>12</v>
      </c>
      <c r="DB53" s="191" t="str">
        <f>DB37</f>
        <v>Итого</v>
      </c>
      <c r="DC53" s="190">
        <v>1</v>
      </c>
      <c r="DD53" s="190">
        <f aca="true" t="shared" si="139" ref="DD53:DN53">DC53+1</f>
        <v>2</v>
      </c>
      <c r="DE53" s="190">
        <f t="shared" si="139"/>
        <v>3</v>
      </c>
      <c r="DF53" s="190">
        <f t="shared" si="139"/>
        <v>4</v>
      </c>
      <c r="DG53" s="190">
        <f t="shared" si="139"/>
        <v>5</v>
      </c>
      <c r="DH53" s="190">
        <f t="shared" si="139"/>
        <v>6</v>
      </c>
      <c r="DI53" s="190">
        <f t="shared" si="139"/>
        <v>7</v>
      </c>
      <c r="DJ53" s="190">
        <f t="shared" si="139"/>
        <v>8</v>
      </c>
      <c r="DK53" s="190">
        <f t="shared" si="139"/>
        <v>9</v>
      </c>
      <c r="DL53" s="190">
        <f t="shared" si="139"/>
        <v>10</v>
      </c>
      <c r="DM53" s="190">
        <f t="shared" si="139"/>
        <v>11</v>
      </c>
      <c r="DN53" s="190">
        <f t="shared" si="139"/>
        <v>12</v>
      </c>
      <c r="DO53" s="191" t="s">
        <v>0</v>
      </c>
    </row>
    <row r="54" spans="1:119" ht="12.75">
      <c r="A54" s="188" t="s">
        <v>105</v>
      </c>
      <c r="B54" s="193">
        <f>O54+AB54+AO54+BB54+BO54+CB54+CO54+DB54+DO54</f>
        <v>0</v>
      </c>
      <c r="C54" s="194"/>
      <c r="D54" s="194"/>
      <c r="E54" s="194"/>
      <c r="F54" s="194"/>
      <c r="G54" s="194"/>
      <c r="H54" s="194"/>
      <c r="I54" s="194"/>
      <c r="J54" s="194"/>
      <c r="K54" s="194">
        <f>'1-Ф3'!L$29</f>
        <v>0</v>
      </c>
      <c r="L54" s="194"/>
      <c r="M54" s="194"/>
      <c r="N54" s="194"/>
      <c r="O54" s="195">
        <f>SUM(C54:N54)</f>
        <v>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>
        <f>SUM(P54:AA54)</f>
        <v>0</v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>
        <f>SUM(AC54:AN54)</f>
        <v>0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</row>
    <row r="55" spans="1:119" s="197" customFormat="1" ht="20.25" customHeight="1">
      <c r="A55" s="188" t="s">
        <v>31</v>
      </c>
      <c r="B55" s="193">
        <f>O55+AB55+AO55+BB55+BO55+CB55+CO55+DB55+DO55</f>
        <v>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>
        <f>SUM(C55:N55)</f>
        <v>0</v>
      </c>
      <c r="P55" s="194"/>
      <c r="Q55" s="194"/>
      <c r="R55" s="194"/>
      <c r="S55" s="194"/>
      <c r="T55" s="194"/>
      <c r="U55" s="194">
        <f>SUM(O56:U56)</f>
        <v>0</v>
      </c>
      <c r="V55" s="194"/>
      <c r="W55" s="194"/>
      <c r="X55" s="194"/>
      <c r="Y55" s="194"/>
      <c r="Z55" s="194"/>
      <c r="AA55" s="194"/>
      <c r="AB55" s="195">
        <f>SUM(P55:AA55)</f>
        <v>0</v>
      </c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>
        <f>SUM(AC55:AN55)</f>
        <v>0</v>
      </c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5">
        <f>SUM(AP55:BA55)</f>
        <v>0</v>
      </c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5">
        <f>SUM(BC55:BN55)</f>
        <v>0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>
        <f>SUM(BP55:CA55)</f>
        <v>0</v>
      </c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5">
        <f>SUM(CC55:CN55)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5">
        <f>SUM(CP55:DA55)</f>
        <v>0</v>
      </c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5">
        <f>SUM(DC55:DN55)</f>
        <v>0</v>
      </c>
    </row>
    <row r="56" spans="1:119" s="197" customFormat="1" ht="12.75">
      <c r="A56" s="198" t="s">
        <v>13</v>
      </c>
      <c r="B56" s="193">
        <f>O56+AB56+AO56+BB56+BO56+CB56+CO56+DB56+DO56</f>
        <v>0</v>
      </c>
      <c r="C56" s="194"/>
      <c r="D56" s="194">
        <f aca="true" t="shared" si="140" ref="D56:N56">C59*$B52/12</f>
        <v>0</v>
      </c>
      <c r="E56" s="194">
        <f t="shared" si="140"/>
        <v>0</v>
      </c>
      <c r="F56" s="194">
        <f t="shared" si="140"/>
        <v>0</v>
      </c>
      <c r="G56" s="194">
        <f t="shared" si="140"/>
        <v>0</v>
      </c>
      <c r="H56" s="194">
        <f t="shared" si="140"/>
        <v>0</v>
      </c>
      <c r="I56" s="194">
        <f t="shared" si="140"/>
        <v>0</v>
      </c>
      <c r="J56" s="194">
        <f t="shared" si="140"/>
        <v>0</v>
      </c>
      <c r="K56" s="194">
        <f t="shared" si="140"/>
        <v>0</v>
      </c>
      <c r="L56" s="194">
        <f t="shared" si="140"/>
        <v>0</v>
      </c>
      <c r="M56" s="194">
        <f t="shared" si="140"/>
        <v>0</v>
      </c>
      <c r="N56" s="194">
        <f t="shared" si="140"/>
        <v>0</v>
      </c>
      <c r="O56" s="195">
        <f>SUM(C56:N56)</f>
        <v>0</v>
      </c>
      <c r="P56" s="194">
        <f aca="true" t="shared" si="141" ref="P56:AA56">O59*$B52/12</f>
        <v>0</v>
      </c>
      <c r="Q56" s="194">
        <f t="shared" si="141"/>
        <v>0</v>
      </c>
      <c r="R56" s="194">
        <f t="shared" si="141"/>
        <v>0</v>
      </c>
      <c r="S56" s="194">
        <f t="shared" si="141"/>
        <v>0</v>
      </c>
      <c r="T56" s="194">
        <f t="shared" si="141"/>
        <v>0</v>
      </c>
      <c r="U56" s="194">
        <f t="shared" si="141"/>
        <v>0</v>
      </c>
      <c r="V56" s="194">
        <f t="shared" si="141"/>
        <v>0</v>
      </c>
      <c r="W56" s="194">
        <f t="shared" si="141"/>
        <v>0</v>
      </c>
      <c r="X56" s="194">
        <f t="shared" si="141"/>
        <v>0</v>
      </c>
      <c r="Y56" s="194">
        <f t="shared" si="141"/>
        <v>0</v>
      </c>
      <c r="Z56" s="194">
        <f t="shared" si="141"/>
        <v>0</v>
      </c>
      <c r="AA56" s="194">
        <f t="shared" si="141"/>
        <v>0</v>
      </c>
      <c r="AB56" s="195">
        <f>SUM(P56:AA56)</f>
        <v>0</v>
      </c>
      <c r="AC56" s="194">
        <f aca="true" t="shared" si="142" ref="AC56:AN56">AB59*$B52/12</f>
        <v>0</v>
      </c>
      <c r="AD56" s="194">
        <f t="shared" si="142"/>
        <v>0</v>
      </c>
      <c r="AE56" s="194">
        <f t="shared" si="142"/>
        <v>0</v>
      </c>
      <c r="AF56" s="194">
        <f t="shared" si="142"/>
        <v>0</v>
      </c>
      <c r="AG56" s="194">
        <f t="shared" si="142"/>
        <v>0</v>
      </c>
      <c r="AH56" s="194">
        <f t="shared" si="142"/>
        <v>0</v>
      </c>
      <c r="AI56" s="194">
        <f t="shared" si="142"/>
        <v>0</v>
      </c>
      <c r="AJ56" s="194">
        <f t="shared" si="142"/>
        <v>0</v>
      </c>
      <c r="AK56" s="194">
        <f t="shared" si="142"/>
        <v>0</v>
      </c>
      <c r="AL56" s="194">
        <f t="shared" si="142"/>
        <v>0</v>
      </c>
      <c r="AM56" s="194">
        <f t="shared" si="142"/>
        <v>0</v>
      </c>
      <c r="AN56" s="194">
        <f t="shared" si="142"/>
        <v>0</v>
      </c>
      <c r="AO56" s="195">
        <f>SUM(AC56:AN56)</f>
        <v>0</v>
      </c>
      <c r="AP56" s="194">
        <f aca="true" t="shared" si="143" ref="AP56:BA56">AO59*$B52/12</f>
        <v>0</v>
      </c>
      <c r="AQ56" s="194">
        <f t="shared" si="143"/>
        <v>0</v>
      </c>
      <c r="AR56" s="194">
        <f t="shared" si="143"/>
        <v>0</v>
      </c>
      <c r="AS56" s="194">
        <f t="shared" si="143"/>
        <v>0</v>
      </c>
      <c r="AT56" s="194">
        <f t="shared" si="143"/>
        <v>0</v>
      </c>
      <c r="AU56" s="194">
        <f t="shared" si="143"/>
        <v>0</v>
      </c>
      <c r="AV56" s="194">
        <f t="shared" si="143"/>
        <v>0</v>
      </c>
      <c r="AW56" s="194">
        <f t="shared" si="143"/>
        <v>0</v>
      </c>
      <c r="AX56" s="194">
        <f t="shared" si="143"/>
        <v>0</v>
      </c>
      <c r="AY56" s="194">
        <f t="shared" si="143"/>
        <v>0</v>
      </c>
      <c r="AZ56" s="194">
        <f t="shared" si="143"/>
        <v>0</v>
      </c>
      <c r="BA56" s="194">
        <f t="shared" si="143"/>
        <v>0</v>
      </c>
      <c r="BB56" s="195">
        <f>SUM(AP56:BA56)</f>
        <v>0</v>
      </c>
      <c r="BC56" s="194">
        <f aca="true" t="shared" si="144" ref="BC56:BN56">BB59*$B52/12</f>
        <v>0</v>
      </c>
      <c r="BD56" s="194">
        <f t="shared" si="144"/>
        <v>0</v>
      </c>
      <c r="BE56" s="194">
        <f t="shared" si="144"/>
        <v>0</v>
      </c>
      <c r="BF56" s="194">
        <f t="shared" si="144"/>
        <v>0</v>
      </c>
      <c r="BG56" s="194">
        <f t="shared" si="144"/>
        <v>0</v>
      </c>
      <c r="BH56" s="194">
        <f t="shared" si="144"/>
        <v>0</v>
      </c>
      <c r="BI56" s="194">
        <f t="shared" si="144"/>
        <v>0</v>
      </c>
      <c r="BJ56" s="194">
        <f t="shared" si="144"/>
        <v>0</v>
      </c>
      <c r="BK56" s="194">
        <f t="shared" si="144"/>
        <v>0</v>
      </c>
      <c r="BL56" s="194">
        <f t="shared" si="144"/>
        <v>0</v>
      </c>
      <c r="BM56" s="194">
        <f t="shared" si="144"/>
        <v>0</v>
      </c>
      <c r="BN56" s="194">
        <f t="shared" si="144"/>
        <v>0</v>
      </c>
      <c r="BO56" s="195">
        <f>SUM(BC56:BN56)</f>
        <v>0</v>
      </c>
      <c r="BP56" s="194">
        <f aca="true" t="shared" si="145" ref="BP56:CA56">BO59*$B52/12</f>
        <v>0</v>
      </c>
      <c r="BQ56" s="194">
        <f t="shared" si="145"/>
        <v>0</v>
      </c>
      <c r="BR56" s="194">
        <f t="shared" si="145"/>
        <v>0</v>
      </c>
      <c r="BS56" s="194">
        <f t="shared" si="145"/>
        <v>0</v>
      </c>
      <c r="BT56" s="194">
        <f t="shared" si="145"/>
        <v>0</v>
      </c>
      <c r="BU56" s="194">
        <f t="shared" si="145"/>
        <v>0</v>
      </c>
      <c r="BV56" s="194">
        <f t="shared" si="145"/>
        <v>0</v>
      </c>
      <c r="BW56" s="194">
        <f t="shared" si="145"/>
        <v>0</v>
      </c>
      <c r="BX56" s="194">
        <f t="shared" si="145"/>
        <v>0</v>
      </c>
      <c r="BY56" s="194">
        <f t="shared" si="145"/>
        <v>0</v>
      </c>
      <c r="BZ56" s="194">
        <f t="shared" si="145"/>
        <v>0</v>
      </c>
      <c r="CA56" s="194">
        <f t="shared" si="145"/>
        <v>0</v>
      </c>
      <c r="CB56" s="195">
        <f>SUM(BP56:CA56)</f>
        <v>0</v>
      </c>
      <c r="CC56" s="194">
        <f aca="true" t="shared" si="146" ref="CC56:CN56">CB59*$B52/12</f>
        <v>0</v>
      </c>
      <c r="CD56" s="194">
        <f t="shared" si="146"/>
        <v>0</v>
      </c>
      <c r="CE56" s="194">
        <f t="shared" si="146"/>
        <v>0</v>
      </c>
      <c r="CF56" s="194">
        <f t="shared" si="146"/>
        <v>0</v>
      </c>
      <c r="CG56" s="194">
        <f t="shared" si="146"/>
        <v>0</v>
      </c>
      <c r="CH56" s="194">
        <f t="shared" si="146"/>
        <v>0</v>
      </c>
      <c r="CI56" s="194">
        <f t="shared" si="146"/>
        <v>0</v>
      </c>
      <c r="CJ56" s="194">
        <f t="shared" si="146"/>
        <v>0</v>
      </c>
      <c r="CK56" s="194">
        <f t="shared" si="146"/>
        <v>0</v>
      </c>
      <c r="CL56" s="194">
        <f t="shared" si="146"/>
        <v>0</v>
      </c>
      <c r="CM56" s="194">
        <f t="shared" si="146"/>
        <v>0</v>
      </c>
      <c r="CN56" s="194">
        <f t="shared" si="146"/>
        <v>0</v>
      </c>
      <c r="CO56" s="195">
        <f>SUM(CC56:CN56)</f>
        <v>0</v>
      </c>
      <c r="CP56" s="194">
        <f aca="true" t="shared" si="147" ref="CP56:DA56">CO59*$B52/12</f>
        <v>0</v>
      </c>
      <c r="CQ56" s="194">
        <f t="shared" si="147"/>
        <v>0</v>
      </c>
      <c r="CR56" s="194">
        <f t="shared" si="147"/>
        <v>0</v>
      </c>
      <c r="CS56" s="194">
        <f t="shared" si="147"/>
        <v>0</v>
      </c>
      <c r="CT56" s="194">
        <f t="shared" si="147"/>
        <v>0</v>
      </c>
      <c r="CU56" s="194">
        <f t="shared" si="147"/>
        <v>0</v>
      </c>
      <c r="CV56" s="194">
        <f t="shared" si="147"/>
        <v>0</v>
      </c>
      <c r="CW56" s="194">
        <f t="shared" si="147"/>
        <v>0</v>
      </c>
      <c r="CX56" s="194">
        <f t="shared" si="147"/>
        <v>0</v>
      </c>
      <c r="CY56" s="194">
        <f t="shared" si="147"/>
        <v>0</v>
      </c>
      <c r="CZ56" s="194">
        <f t="shared" si="147"/>
        <v>0</v>
      </c>
      <c r="DA56" s="194">
        <f t="shared" si="147"/>
        <v>0</v>
      </c>
      <c r="DB56" s="195">
        <f>SUM(CP56:DA56)</f>
        <v>0</v>
      </c>
      <c r="DC56" s="194">
        <f aca="true" t="shared" si="148" ref="DC56:DN56">DB59*$B52/12</f>
        <v>0</v>
      </c>
      <c r="DD56" s="194">
        <f t="shared" si="148"/>
        <v>0</v>
      </c>
      <c r="DE56" s="194">
        <f t="shared" si="148"/>
        <v>0</v>
      </c>
      <c r="DF56" s="194">
        <f t="shared" si="148"/>
        <v>0</v>
      </c>
      <c r="DG56" s="194">
        <f t="shared" si="148"/>
        <v>0</v>
      </c>
      <c r="DH56" s="194">
        <f t="shared" si="148"/>
        <v>0</v>
      </c>
      <c r="DI56" s="194">
        <f t="shared" si="148"/>
        <v>0</v>
      </c>
      <c r="DJ56" s="194">
        <f t="shared" si="148"/>
        <v>0</v>
      </c>
      <c r="DK56" s="194">
        <f t="shared" si="148"/>
        <v>0</v>
      </c>
      <c r="DL56" s="194">
        <f t="shared" si="148"/>
        <v>0</v>
      </c>
      <c r="DM56" s="194">
        <f t="shared" si="148"/>
        <v>0</v>
      </c>
      <c r="DN56" s="194">
        <f t="shared" si="148"/>
        <v>0</v>
      </c>
      <c r="DO56" s="195">
        <f>SUM(DC56:DN56)</f>
        <v>0</v>
      </c>
    </row>
    <row r="57" spans="1:119" ht="12.75">
      <c r="A57" s="188" t="s">
        <v>14</v>
      </c>
      <c r="B57" s="193">
        <f>O57+AB57+AO57+BB57+BO57+CB57+CO57+DB57+DO57</f>
        <v>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9"/>
      <c r="M57" s="199"/>
      <c r="N57" s="199"/>
      <c r="O57" s="195">
        <f>SUM(C57:N57)</f>
        <v>0</v>
      </c>
      <c r="P57" s="199"/>
      <c r="Q57" s="199"/>
      <c r="R57" s="199"/>
      <c r="S57" s="199"/>
      <c r="T57" s="199"/>
      <c r="U57" s="199"/>
      <c r="V57" s="194">
        <f aca="true" t="shared" si="149" ref="V57:AA57">$B61-V56</f>
        <v>0</v>
      </c>
      <c r="W57" s="194">
        <f t="shared" si="149"/>
        <v>0</v>
      </c>
      <c r="X57" s="194">
        <f t="shared" si="149"/>
        <v>0</v>
      </c>
      <c r="Y57" s="194">
        <f t="shared" si="149"/>
        <v>0</v>
      </c>
      <c r="Z57" s="194">
        <f t="shared" si="149"/>
        <v>0</v>
      </c>
      <c r="AA57" s="194">
        <f t="shared" si="149"/>
        <v>0</v>
      </c>
      <c r="AB57" s="195">
        <f>SUM(P57:AA57)</f>
        <v>0</v>
      </c>
      <c r="AC57" s="194">
        <f aca="true" t="shared" si="150" ref="AC57:AN57">$B61-AC56</f>
        <v>0</v>
      </c>
      <c r="AD57" s="194">
        <f t="shared" si="150"/>
        <v>0</v>
      </c>
      <c r="AE57" s="194">
        <f t="shared" si="150"/>
        <v>0</v>
      </c>
      <c r="AF57" s="194">
        <f t="shared" si="150"/>
        <v>0</v>
      </c>
      <c r="AG57" s="194">
        <f t="shared" si="150"/>
        <v>0</v>
      </c>
      <c r="AH57" s="194">
        <f t="shared" si="150"/>
        <v>0</v>
      </c>
      <c r="AI57" s="194">
        <f t="shared" si="150"/>
        <v>0</v>
      </c>
      <c r="AJ57" s="194">
        <f t="shared" si="150"/>
        <v>0</v>
      </c>
      <c r="AK57" s="194">
        <f t="shared" si="150"/>
        <v>0</v>
      </c>
      <c r="AL57" s="194">
        <f t="shared" si="150"/>
        <v>0</v>
      </c>
      <c r="AM57" s="194">
        <f t="shared" si="150"/>
        <v>0</v>
      </c>
      <c r="AN57" s="194">
        <f t="shared" si="150"/>
        <v>0</v>
      </c>
      <c r="AO57" s="195">
        <f>SUM(AC57:AN57)</f>
        <v>0</v>
      </c>
      <c r="AP57" s="194">
        <f aca="true" t="shared" si="151" ref="AP57:BA57">$B61-AP56</f>
        <v>0</v>
      </c>
      <c r="AQ57" s="194">
        <f t="shared" si="151"/>
        <v>0</v>
      </c>
      <c r="AR57" s="194">
        <f t="shared" si="151"/>
        <v>0</v>
      </c>
      <c r="AS57" s="194">
        <f t="shared" si="151"/>
        <v>0</v>
      </c>
      <c r="AT57" s="194">
        <f t="shared" si="151"/>
        <v>0</v>
      </c>
      <c r="AU57" s="194">
        <f t="shared" si="151"/>
        <v>0</v>
      </c>
      <c r="AV57" s="194">
        <f t="shared" si="151"/>
        <v>0</v>
      </c>
      <c r="AW57" s="194">
        <f t="shared" si="151"/>
        <v>0</v>
      </c>
      <c r="AX57" s="194">
        <f t="shared" si="151"/>
        <v>0</v>
      </c>
      <c r="AY57" s="194">
        <f t="shared" si="151"/>
        <v>0</v>
      </c>
      <c r="AZ57" s="194">
        <f t="shared" si="151"/>
        <v>0</v>
      </c>
      <c r="BA57" s="194">
        <f t="shared" si="151"/>
        <v>0</v>
      </c>
      <c r="BB57" s="195">
        <f>SUM(AP57:BA57)</f>
        <v>0</v>
      </c>
      <c r="BC57" s="194">
        <f aca="true" t="shared" si="152" ref="BC57:BN57">$B61-BC56</f>
        <v>0</v>
      </c>
      <c r="BD57" s="194">
        <f t="shared" si="152"/>
        <v>0</v>
      </c>
      <c r="BE57" s="194">
        <f t="shared" si="152"/>
        <v>0</v>
      </c>
      <c r="BF57" s="194">
        <f t="shared" si="152"/>
        <v>0</v>
      </c>
      <c r="BG57" s="194">
        <f t="shared" si="152"/>
        <v>0</v>
      </c>
      <c r="BH57" s="194">
        <f t="shared" si="152"/>
        <v>0</v>
      </c>
      <c r="BI57" s="194">
        <f t="shared" si="152"/>
        <v>0</v>
      </c>
      <c r="BJ57" s="194">
        <f t="shared" si="152"/>
        <v>0</v>
      </c>
      <c r="BK57" s="194">
        <f t="shared" si="152"/>
        <v>0</v>
      </c>
      <c r="BL57" s="194">
        <f t="shared" si="152"/>
        <v>0</v>
      </c>
      <c r="BM57" s="194">
        <f t="shared" si="152"/>
        <v>0</v>
      </c>
      <c r="BN57" s="194">
        <f t="shared" si="152"/>
        <v>0</v>
      </c>
      <c r="BO57" s="195">
        <f>SUM(BC57:BN57)</f>
        <v>0</v>
      </c>
      <c r="BP57" s="194">
        <f aca="true" t="shared" si="153" ref="BP57:CA57">$B61-BP56</f>
        <v>0</v>
      </c>
      <c r="BQ57" s="194">
        <f t="shared" si="153"/>
        <v>0</v>
      </c>
      <c r="BR57" s="194">
        <f t="shared" si="153"/>
        <v>0</v>
      </c>
      <c r="BS57" s="194">
        <f t="shared" si="153"/>
        <v>0</v>
      </c>
      <c r="BT57" s="194">
        <f t="shared" si="153"/>
        <v>0</v>
      </c>
      <c r="BU57" s="194">
        <f t="shared" si="153"/>
        <v>0</v>
      </c>
      <c r="BV57" s="194">
        <f t="shared" si="153"/>
        <v>0</v>
      </c>
      <c r="BW57" s="194">
        <f t="shared" si="153"/>
        <v>0</v>
      </c>
      <c r="BX57" s="194">
        <f t="shared" si="153"/>
        <v>0</v>
      </c>
      <c r="BY57" s="194">
        <f t="shared" si="153"/>
        <v>0</v>
      </c>
      <c r="BZ57" s="194">
        <f t="shared" si="153"/>
        <v>0</v>
      </c>
      <c r="CA57" s="194">
        <f t="shared" si="153"/>
        <v>0</v>
      </c>
      <c r="CB57" s="195">
        <f>SUM(BP57:CA57)</f>
        <v>0</v>
      </c>
      <c r="CC57" s="194">
        <f aca="true" t="shared" si="154" ref="CC57:CN57">$B61-CC56</f>
        <v>0</v>
      </c>
      <c r="CD57" s="194">
        <f t="shared" si="154"/>
        <v>0</v>
      </c>
      <c r="CE57" s="194">
        <f t="shared" si="154"/>
        <v>0</v>
      </c>
      <c r="CF57" s="194">
        <f t="shared" si="154"/>
        <v>0</v>
      </c>
      <c r="CG57" s="194">
        <f t="shared" si="154"/>
        <v>0</v>
      </c>
      <c r="CH57" s="194">
        <f t="shared" si="154"/>
        <v>0</v>
      </c>
      <c r="CI57" s="194">
        <f t="shared" si="154"/>
        <v>0</v>
      </c>
      <c r="CJ57" s="194">
        <f t="shared" si="154"/>
        <v>0</v>
      </c>
      <c r="CK57" s="194">
        <f t="shared" si="154"/>
        <v>0</v>
      </c>
      <c r="CL57" s="194">
        <f t="shared" si="154"/>
        <v>0</v>
      </c>
      <c r="CM57" s="194">
        <f t="shared" si="154"/>
        <v>0</v>
      </c>
      <c r="CN57" s="194">
        <f t="shared" si="154"/>
        <v>0</v>
      </c>
      <c r="CO57" s="195">
        <f>SUM(CC57:CN57)</f>
        <v>0</v>
      </c>
      <c r="CP57" s="194">
        <f aca="true" t="shared" si="155" ref="CP57:CX57">$B61-CP56</f>
        <v>0</v>
      </c>
      <c r="CQ57" s="194">
        <f t="shared" si="155"/>
        <v>0</v>
      </c>
      <c r="CR57" s="194">
        <f t="shared" si="155"/>
        <v>0</v>
      </c>
      <c r="CS57" s="194">
        <f t="shared" si="155"/>
        <v>0</v>
      </c>
      <c r="CT57" s="194">
        <f t="shared" si="155"/>
        <v>0</v>
      </c>
      <c r="CU57" s="194">
        <f t="shared" si="155"/>
        <v>0</v>
      </c>
      <c r="CV57" s="194">
        <f t="shared" si="155"/>
        <v>0</v>
      </c>
      <c r="CW57" s="194">
        <f t="shared" si="155"/>
        <v>0</v>
      </c>
      <c r="CX57" s="194">
        <f t="shared" si="155"/>
        <v>0</v>
      </c>
      <c r="CY57" s="194"/>
      <c r="CZ57" s="194"/>
      <c r="DA57" s="194"/>
      <c r="DB57" s="195">
        <f>SUM(CP57:DA57)</f>
        <v>0</v>
      </c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5">
        <f>SUM(DC57:DN57)</f>
        <v>0</v>
      </c>
    </row>
    <row r="58" spans="1:119" ht="12.75">
      <c r="A58" s="188" t="s">
        <v>15</v>
      </c>
      <c r="B58" s="193">
        <f>O58+AB58+AO58+BB58+BO58+CB58+CO58+DB58+DO58</f>
        <v>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9"/>
      <c r="M58" s="199"/>
      <c r="N58" s="199"/>
      <c r="O58" s="195">
        <f>SUM(C58:N58)</f>
        <v>0</v>
      </c>
      <c r="P58" s="199"/>
      <c r="Q58" s="199"/>
      <c r="R58" s="199"/>
      <c r="S58" s="199"/>
      <c r="T58" s="199"/>
      <c r="U58" s="199"/>
      <c r="V58" s="194">
        <f aca="true" t="shared" si="156" ref="V58:AA58">V56</f>
        <v>0</v>
      </c>
      <c r="W58" s="194">
        <f t="shared" si="156"/>
        <v>0</v>
      </c>
      <c r="X58" s="194">
        <f t="shared" si="156"/>
        <v>0</v>
      </c>
      <c r="Y58" s="194">
        <f t="shared" si="156"/>
        <v>0</v>
      </c>
      <c r="Z58" s="194">
        <f t="shared" si="156"/>
        <v>0</v>
      </c>
      <c r="AA58" s="194">
        <f t="shared" si="156"/>
        <v>0</v>
      </c>
      <c r="AB58" s="195">
        <f>SUM(P58:AA58)</f>
        <v>0</v>
      </c>
      <c r="AC58" s="194">
        <f aca="true" t="shared" si="157" ref="AC58:AK58">AC56</f>
        <v>0</v>
      </c>
      <c r="AD58" s="194">
        <f t="shared" si="157"/>
        <v>0</v>
      </c>
      <c r="AE58" s="194">
        <f t="shared" si="157"/>
        <v>0</v>
      </c>
      <c r="AF58" s="194">
        <f t="shared" si="157"/>
        <v>0</v>
      </c>
      <c r="AG58" s="194">
        <f t="shared" si="157"/>
        <v>0</v>
      </c>
      <c r="AH58" s="194">
        <f t="shared" si="157"/>
        <v>0</v>
      </c>
      <c r="AI58" s="194">
        <f t="shared" si="157"/>
        <v>0</v>
      </c>
      <c r="AJ58" s="194">
        <f t="shared" si="157"/>
        <v>0</v>
      </c>
      <c r="AK58" s="194">
        <f t="shared" si="157"/>
        <v>0</v>
      </c>
      <c r="AL58" s="194">
        <f>AL56</f>
        <v>0</v>
      </c>
      <c r="AM58" s="194">
        <f>AM56</f>
        <v>0</v>
      </c>
      <c r="AN58" s="194">
        <f>AN56</f>
        <v>0</v>
      </c>
      <c r="AO58" s="195">
        <f>SUM(AC58:AN58)</f>
        <v>0</v>
      </c>
      <c r="AP58" s="194">
        <f aca="true" t="shared" si="158" ref="AP58:BA58">AP56</f>
        <v>0</v>
      </c>
      <c r="AQ58" s="194">
        <f t="shared" si="158"/>
        <v>0</v>
      </c>
      <c r="AR58" s="194">
        <f t="shared" si="158"/>
        <v>0</v>
      </c>
      <c r="AS58" s="194">
        <f t="shared" si="158"/>
        <v>0</v>
      </c>
      <c r="AT58" s="194">
        <f t="shared" si="158"/>
        <v>0</v>
      </c>
      <c r="AU58" s="194">
        <f t="shared" si="158"/>
        <v>0</v>
      </c>
      <c r="AV58" s="194">
        <f t="shared" si="158"/>
        <v>0</v>
      </c>
      <c r="AW58" s="194">
        <f t="shared" si="158"/>
        <v>0</v>
      </c>
      <c r="AX58" s="194">
        <f t="shared" si="158"/>
        <v>0</v>
      </c>
      <c r="AY58" s="194">
        <f t="shared" si="158"/>
        <v>0</v>
      </c>
      <c r="AZ58" s="194">
        <f t="shared" si="158"/>
        <v>0</v>
      </c>
      <c r="BA58" s="194">
        <f t="shared" si="158"/>
        <v>0</v>
      </c>
      <c r="BB58" s="195">
        <f>SUM(AP58:BA58)</f>
        <v>0</v>
      </c>
      <c r="BC58" s="194">
        <f aca="true" t="shared" si="159" ref="BC58:BN58">BC56</f>
        <v>0</v>
      </c>
      <c r="BD58" s="194">
        <f t="shared" si="159"/>
        <v>0</v>
      </c>
      <c r="BE58" s="194">
        <f t="shared" si="159"/>
        <v>0</v>
      </c>
      <c r="BF58" s="194">
        <f t="shared" si="159"/>
        <v>0</v>
      </c>
      <c r="BG58" s="194">
        <f t="shared" si="159"/>
        <v>0</v>
      </c>
      <c r="BH58" s="194">
        <f t="shared" si="159"/>
        <v>0</v>
      </c>
      <c r="BI58" s="194">
        <f t="shared" si="159"/>
        <v>0</v>
      </c>
      <c r="BJ58" s="194">
        <f t="shared" si="159"/>
        <v>0</v>
      </c>
      <c r="BK58" s="194">
        <f t="shared" si="159"/>
        <v>0</v>
      </c>
      <c r="BL58" s="194">
        <f t="shared" si="159"/>
        <v>0</v>
      </c>
      <c r="BM58" s="194">
        <f t="shared" si="159"/>
        <v>0</v>
      </c>
      <c r="BN58" s="194">
        <f t="shared" si="159"/>
        <v>0</v>
      </c>
      <c r="BO58" s="195">
        <f>SUM(BC58:BN58)</f>
        <v>0</v>
      </c>
      <c r="BP58" s="194">
        <f aca="true" t="shared" si="160" ref="BP58:CA58">BP56</f>
        <v>0</v>
      </c>
      <c r="BQ58" s="194">
        <f t="shared" si="160"/>
        <v>0</v>
      </c>
      <c r="BR58" s="194">
        <f t="shared" si="160"/>
        <v>0</v>
      </c>
      <c r="BS58" s="194">
        <f t="shared" si="160"/>
        <v>0</v>
      </c>
      <c r="BT58" s="194">
        <f t="shared" si="160"/>
        <v>0</v>
      </c>
      <c r="BU58" s="194">
        <f t="shared" si="160"/>
        <v>0</v>
      </c>
      <c r="BV58" s="194">
        <f t="shared" si="160"/>
        <v>0</v>
      </c>
      <c r="BW58" s="194">
        <f t="shared" si="160"/>
        <v>0</v>
      </c>
      <c r="BX58" s="194">
        <f t="shared" si="160"/>
        <v>0</v>
      </c>
      <c r="BY58" s="194">
        <f t="shared" si="160"/>
        <v>0</v>
      </c>
      <c r="BZ58" s="194">
        <f t="shared" si="160"/>
        <v>0</v>
      </c>
      <c r="CA58" s="194">
        <f t="shared" si="160"/>
        <v>0</v>
      </c>
      <c r="CB58" s="195">
        <f>SUM(BP58:CA58)</f>
        <v>0</v>
      </c>
      <c r="CC58" s="194">
        <f aca="true" t="shared" si="161" ref="CC58:CN58">CC56</f>
        <v>0</v>
      </c>
      <c r="CD58" s="194">
        <f t="shared" si="161"/>
        <v>0</v>
      </c>
      <c r="CE58" s="194">
        <f t="shared" si="161"/>
        <v>0</v>
      </c>
      <c r="CF58" s="194">
        <f t="shared" si="161"/>
        <v>0</v>
      </c>
      <c r="CG58" s="194">
        <f t="shared" si="161"/>
        <v>0</v>
      </c>
      <c r="CH58" s="194">
        <f t="shared" si="161"/>
        <v>0</v>
      </c>
      <c r="CI58" s="194">
        <f t="shared" si="161"/>
        <v>0</v>
      </c>
      <c r="CJ58" s="194">
        <f t="shared" si="161"/>
        <v>0</v>
      </c>
      <c r="CK58" s="194">
        <f t="shared" si="161"/>
        <v>0</v>
      </c>
      <c r="CL58" s="194">
        <f t="shared" si="161"/>
        <v>0</v>
      </c>
      <c r="CM58" s="194">
        <f t="shared" si="161"/>
        <v>0</v>
      </c>
      <c r="CN58" s="194">
        <f t="shared" si="161"/>
        <v>0</v>
      </c>
      <c r="CO58" s="195">
        <f>SUM(CC58:CN58)</f>
        <v>0</v>
      </c>
      <c r="CP58" s="194">
        <f aca="true" t="shared" si="162" ref="CP58:DA58">CP56</f>
        <v>0</v>
      </c>
      <c r="CQ58" s="194">
        <f t="shared" si="162"/>
        <v>0</v>
      </c>
      <c r="CR58" s="194">
        <f t="shared" si="162"/>
        <v>0</v>
      </c>
      <c r="CS58" s="194">
        <f t="shared" si="162"/>
        <v>0</v>
      </c>
      <c r="CT58" s="194">
        <f t="shared" si="162"/>
        <v>0</v>
      </c>
      <c r="CU58" s="194">
        <f t="shared" si="162"/>
        <v>0</v>
      </c>
      <c r="CV58" s="194">
        <f t="shared" si="162"/>
        <v>0</v>
      </c>
      <c r="CW58" s="194">
        <f t="shared" si="162"/>
        <v>0</v>
      </c>
      <c r="CX58" s="194">
        <f t="shared" si="162"/>
        <v>0</v>
      </c>
      <c r="CY58" s="194">
        <f t="shared" si="162"/>
        <v>0</v>
      </c>
      <c r="CZ58" s="194">
        <f t="shared" si="162"/>
        <v>0</v>
      </c>
      <c r="DA58" s="194">
        <f t="shared" si="162"/>
        <v>0</v>
      </c>
      <c r="DB58" s="195">
        <f>SUM(CP58:DA58)</f>
        <v>0</v>
      </c>
      <c r="DC58" s="194">
        <f aca="true" t="shared" si="163" ref="DC58:DN58">DC56</f>
        <v>0</v>
      </c>
      <c r="DD58" s="194">
        <f t="shared" si="163"/>
        <v>0</v>
      </c>
      <c r="DE58" s="194">
        <f t="shared" si="163"/>
        <v>0</v>
      </c>
      <c r="DF58" s="194">
        <f t="shared" si="163"/>
        <v>0</v>
      </c>
      <c r="DG58" s="194">
        <f t="shared" si="163"/>
        <v>0</v>
      </c>
      <c r="DH58" s="194">
        <f t="shared" si="163"/>
        <v>0</v>
      </c>
      <c r="DI58" s="194">
        <f t="shared" si="163"/>
        <v>0</v>
      </c>
      <c r="DJ58" s="194">
        <f t="shared" si="163"/>
        <v>0</v>
      </c>
      <c r="DK58" s="194">
        <f t="shared" si="163"/>
        <v>0</v>
      </c>
      <c r="DL58" s="194">
        <f t="shared" si="163"/>
        <v>0</v>
      </c>
      <c r="DM58" s="194">
        <f t="shared" si="163"/>
        <v>0</v>
      </c>
      <c r="DN58" s="194">
        <f t="shared" si="163"/>
        <v>0</v>
      </c>
      <c r="DO58" s="195">
        <f>SUM(DC58:DN58)</f>
        <v>0</v>
      </c>
    </row>
    <row r="59" spans="1:119" ht="12.75">
      <c r="A59" s="188" t="s">
        <v>16</v>
      </c>
      <c r="B59" s="193">
        <f>DO59</f>
        <v>0</v>
      </c>
      <c r="C59" s="194">
        <f>C54</f>
        <v>0</v>
      </c>
      <c r="D59" s="194">
        <f aca="true" t="shared" si="164" ref="D59:N59">C59+D54-D57+D55</f>
        <v>0</v>
      </c>
      <c r="E59" s="194">
        <f t="shared" si="164"/>
        <v>0</v>
      </c>
      <c r="F59" s="194">
        <f t="shared" si="164"/>
        <v>0</v>
      </c>
      <c r="G59" s="194">
        <f t="shared" si="164"/>
        <v>0</v>
      </c>
      <c r="H59" s="194">
        <f t="shared" si="164"/>
        <v>0</v>
      </c>
      <c r="I59" s="194">
        <f t="shared" si="164"/>
        <v>0</v>
      </c>
      <c r="J59" s="194">
        <f t="shared" si="164"/>
        <v>0</v>
      </c>
      <c r="K59" s="194">
        <f t="shared" si="164"/>
        <v>0</v>
      </c>
      <c r="L59" s="194">
        <f t="shared" si="164"/>
        <v>0</v>
      </c>
      <c r="M59" s="194">
        <f t="shared" si="164"/>
        <v>0</v>
      </c>
      <c r="N59" s="194">
        <f t="shared" si="164"/>
        <v>0</v>
      </c>
      <c r="O59" s="195">
        <f>N59</f>
        <v>0</v>
      </c>
      <c r="P59" s="194">
        <f aca="true" t="shared" si="165" ref="P59:AA59">O59+P54-P57+P55</f>
        <v>0</v>
      </c>
      <c r="Q59" s="194">
        <f t="shared" si="165"/>
        <v>0</v>
      </c>
      <c r="R59" s="194">
        <f t="shared" si="165"/>
        <v>0</v>
      </c>
      <c r="S59" s="194">
        <f t="shared" si="165"/>
        <v>0</v>
      </c>
      <c r="T59" s="194">
        <f t="shared" si="165"/>
        <v>0</v>
      </c>
      <c r="U59" s="194">
        <f t="shared" si="165"/>
        <v>0</v>
      </c>
      <c r="V59" s="194">
        <f t="shared" si="165"/>
        <v>0</v>
      </c>
      <c r="W59" s="194">
        <f t="shared" si="165"/>
        <v>0</v>
      </c>
      <c r="X59" s="194">
        <f t="shared" si="165"/>
        <v>0</v>
      </c>
      <c r="Y59" s="194">
        <f t="shared" si="165"/>
        <v>0</v>
      </c>
      <c r="Z59" s="194">
        <f t="shared" si="165"/>
        <v>0</v>
      </c>
      <c r="AA59" s="194">
        <f t="shared" si="165"/>
        <v>0</v>
      </c>
      <c r="AB59" s="195">
        <f>AA59</f>
        <v>0</v>
      </c>
      <c r="AC59" s="194">
        <f aca="true" t="shared" si="166" ref="AC59:AN59">AB59+AC54-AC57+AC55</f>
        <v>0</v>
      </c>
      <c r="AD59" s="194">
        <f t="shared" si="166"/>
        <v>0</v>
      </c>
      <c r="AE59" s="194">
        <f t="shared" si="166"/>
        <v>0</v>
      </c>
      <c r="AF59" s="194">
        <f t="shared" si="166"/>
        <v>0</v>
      </c>
      <c r="AG59" s="194">
        <f t="shared" si="166"/>
        <v>0</v>
      </c>
      <c r="AH59" s="194">
        <f t="shared" si="166"/>
        <v>0</v>
      </c>
      <c r="AI59" s="194">
        <f t="shared" si="166"/>
        <v>0</v>
      </c>
      <c r="AJ59" s="194">
        <f t="shared" si="166"/>
        <v>0</v>
      </c>
      <c r="AK59" s="194">
        <f t="shared" si="166"/>
        <v>0</v>
      </c>
      <c r="AL59" s="194">
        <f t="shared" si="166"/>
        <v>0</v>
      </c>
      <c r="AM59" s="194">
        <f t="shared" si="166"/>
        <v>0</v>
      </c>
      <c r="AN59" s="194">
        <f t="shared" si="166"/>
        <v>0</v>
      </c>
      <c r="AO59" s="195">
        <f>AN59</f>
        <v>0</v>
      </c>
      <c r="AP59" s="194">
        <f aca="true" t="shared" si="167" ref="AP59:BA59">AO59+AP54-AP57+AP55</f>
        <v>0</v>
      </c>
      <c r="AQ59" s="194">
        <f t="shared" si="167"/>
        <v>0</v>
      </c>
      <c r="AR59" s="194">
        <f t="shared" si="167"/>
        <v>0</v>
      </c>
      <c r="AS59" s="194">
        <f t="shared" si="167"/>
        <v>0</v>
      </c>
      <c r="AT59" s="194">
        <f t="shared" si="167"/>
        <v>0</v>
      </c>
      <c r="AU59" s="194">
        <f t="shared" si="167"/>
        <v>0</v>
      </c>
      <c r="AV59" s="194">
        <f t="shared" si="167"/>
        <v>0</v>
      </c>
      <c r="AW59" s="194">
        <f t="shared" si="167"/>
        <v>0</v>
      </c>
      <c r="AX59" s="194">
        <f t="shared" si="167"/>
        <v>0</v>
      </c>
      <c r="AY59" s="194">
        <f t="shared" si="167"/>
        <v>0</v>
      </c>
      <c r="AZ59" s="194">
        <f t="shared" si="167"/>
        <v>0</v>
      </c>
      <c r="BA59" s="194">
        <f t="shared" si="167"/>
        <v>0</v>
      </c>
      <c r="BB59" s="195">
        <f>BA59</f>
        <v>0</v>
      </c>
      <c r="BC59" s="194">
        <f aca="true" t="shared" si="168" ref="BC59:BN59">BB59+BC54-BC57+BC55</f>
        <v>0</v>
      </c>
      <c r="BD59" s="194">
        <f t="shared" si="168"/>
        <v>0</v>
      </c>
      <c r="BE59" s="194">
        <f t="shared" si="168"/>
        <v>0</v>
      </c>
      <c r="BF59" s="194">
        <f t="shared" si="168"/>
        <v>0</v>
      </c>
      <c r="BG59" s="194">
        <f t="shared" si="168"/>
        <v>0</v>
      </c>
      <c r="BH59" s="194">
        <f t="shared" si="168"/>
        <v>0</v>
      </c>
      <c r="BI59" s="194">
        <f t="shared" si="168"/>
        <v>0</v>
      </c>
      <c r="BJ59" s="194">
        <f t="shared" si="168"/>
        <v>0</v>
      </c>
      <c r="BK59" s="194">
        <f t="shared" si="168"/>
        <v>0</v>
      </c>
      <c r="BL59" s="194">
        <f t="shared" si="168"/>
        <v>0</v>
      </c>
      <c r="BM59" s="194">
        <f t="shared" si="168"/>
        <v>0</v>
      </c>
      <c r="BN59" s="194">
        <f t="shared" si="168"/>
        <v>0</v>
      </c>
      <c r="BO59" s="195">
        <f>BN59</f>
        <v>0</v>
      </c>
      <c r="BP59" s="194">
        <f aca="true" t="shared" si="169" ref="BP59:CA59">BO59+BP54-BP57+BP55</f>
        <v>0</v>
      </c>
      <c r="BQ59" s="194">
        <f t="shared" si="169"/>
        <v>0</v>
      </c>
      <c r="BR59" s="194">
        <f t="shared" si="169"/>
        <v>0</v>
      </c>
      <c r="BS59" s="194">
        <f t="shared" si="169"/>
        <v>0</v>
      </c>
      <c r="BT59" s="194">
        <f t="shared" si="169"/>
        <v>0</v>
      </c>
      <c r="BU59" s="194">
        <f t="shared" si="169"/>
        <v>0</v>
      </c>
      <c r="BV59" s="194">
        <f t="shared" si="169"/>
        <v>0</v>
      </c>
      <c r="BW59" s="194">
        <f t="shared" si="169"/>
        <v>0</v>
      </c>
      <c r="BX59" s="194">
        <f t="shared" si="169"/>
        <v>0</v>
      </c>
      <c r="BY59" s="194">
        <f t="shared" si="169"/>
        <v>0</v>
      </c>
      <c r="BZ59" s="194">
        <f t="shared" si="169"/>
        <v>0</v>
      </c>
      <c r="CA59" s="194">
        <f t="shared" si="169"/>
        <v>0</v>
      </c>
      <c r="CB59" s="195">
        <f>CA59</f>
        <v>0</v>
      </c>
      <c r="CC59" s="194">
        <f aca="true" t="shared" si="170" ref="CC59:CN59">CB59+CC54-CC57+CC55</f>
        <v>0</v>
      </c>
      <c r="CD59" s="194">
        <f t="shared" si="170"/>
        <v>0</v>
      </c>
      <c r="CE59" s="194">
        <f t="shared" si="170"/>
        <v>0</v>
      </c>
      <c r="CF59" s="194">
        <f t="shared" si="170"/>
        <v>0</v>
      </c>
      <c r="CG59" s="194">
        <f t="shared" si="170"/>
        <v>0</v>
      </c>
      <c r="CH59" s="194">
        <f t="shared" si="170"/>
        <v>0</v>
      </c>
      <c r="CI59" s="194">
        <f t="shared" si="170"/>
        <v>0</v>
      </c>
      <c r="CJ59" s="194">
        <f t="shared" si="170"/>
        <v>0</v>
      </c>
      <c r="CK59" s="194">
        <f t="shared" si="170"/>
        <v>0</v>
      </c>
      <c r="CL59" s="194">
        <f t="shared" si="170"/>
        <v>0</v>
      </c>
      <c r="CM59" s="194">
        <f t="shared" si="170"/>
        <v>0</v>
      </c>
      <c r="CN59" s="194">
        <f t="shared" si="170"/>
        <v>0</v>
      </c>
      <c r="CO59" s="195">
        <f>CN59</f>
        <v>0</v>
      </c>
      <c r="CP59" s="194">
        <f aca="true" t="shared" si="171" ref="CP59:DA59">CO59+CP54-CP57+CP55</f>
        <v>0</v>
      </c>
      <c r="CQ59" s="194">
        <f t="shared" si="171"/>
        <v>0</v>
      </c>
      <c r="CR59" s="194">
        <f t="shared" si="171"/>
        <v>0</v>
      </c>
      <c r="CS59" s="194">
        <f t="shared" si="171"/>
        <v>0</v>
      </c>
      <c r="CT59" s="194">
        <f t="shared" si="171"/>
        <v>0</v>
      </c>
      <c r="CU59" s="194">
        <f t="shared" si="171"/>
        <v>0</v>
      </c>
      <c r="CV59" s="194">
        <f t="shared" si="171"/>
        <v>0</v>
      </c>
      <c r="CW59" s="194">
        <f t="shared" si="171"/>
        <v>0</v>
      </c>
      <c r="CX59" s="194">
        <f t="shared" si="171"/>
        <v>0</v>
      </c>
      <c r="CY59" s="194">
        <f t="shared" si="171"/>
        <v>0</v>
      </c>
      <c r="CZ59" s="194">
        <f t="shared" si="171"/>
        <v>0</v>
      </c>
      <c r="DA59" s="194">
        <f t="shared" si="171"/>
        <v>0</v>
      </c>
      <c r="DB59" s="195">
        <f>DA59</f>
        <v>0</v>
      </c>
      <c r="DC59" s="194">
        <f aca="true" t="shared" si="172" ref="DC59:DN59">DB59+DC54-DC57+DC55</f>
        <v>0</v>
      </c>
      <c r="DD59" s="194">
        <f t="shared" si="172"/>
        <v>0</v>
      </c>
      <c r="DE59" s="194">
        <f t="shared" si="172"/>
        <v>0</v>
      </c>
      <c r="DF59" s="194">
        <f t="shared" si="172"/>
        <v>0</v>
      </c>
      <c r="DG59" s="194">
        <f t="shared" si="172"/>
        <v>0</v>
      </c>
      <c r="DH59" s="194">
        <f t="shared" si="172"/>
        <v>0</v>
      </c>
      <c r="DI59" s="194">
        <f t="shared" si="172"/>
        <v>0</v>
      </c>
      <c r="DJ59" s="194">
        <f t="shared" si="172"/>
        <v>0</v>
      </c>
      <c r="DK59" s="194">
        <f t="shared" si="172"/>
        <v>0</v>
      </c>
      <c r="DL59" s="194">
        <f t="shared" si="172"/>
        <v>0</v>
      </c>
      <c r="DM59" s="194">
        <f t="shared" si="172"/>
        <v>0</v>
      </c>
      <c r="DN59" s="194">
        <f t="shared" si="172"/>
        <v>0</v>
      </c>
      <c r="DO59" s="195">
        <f>DN59</f>
        <v>0</v>
      </c>
    </row>
    <row r="60" spans="1:119" ht="12.75">
      <c r="A60" s="177" t="s">
        <v>78</v>
      </c>
      <c r="B60" s="282">
        <f>Исх!$C$37*12-Исх!$C$38</f>
        <v>75</v>
      </c>
      <c r="CP60" s="180"/>
      <c r="DB60" s="177"/>
      <c r="DO60" s="177"/>
    </row>
    <row r="61" spans="1:119" ht="12.75">
      <c r="A61" s="285" t="s">
        <v>247</v>
      </c>
      <c r="B61" s="286">
        <f>$U$59*$B$20/12/((1-(1+$B$20/12)^-$B60))</f>
        <v>0</v>
      </c>
      <c r="DB61" s="177"/>
      <c r="DO61" s="177"/>
    </row>
    <row r="62" spans="1:119" ht="6" customHeight="1">
      <c r="A62" s="283"/>
      <c r="B62" s="280"/>
      <c r="DB62" s="177"/>
      <c r="DO62" s="177"/>
    </row>
    <row r="63" spans="1:119" ht="12.75">
      <c r="A63" s="268" t="s">
        <v>238</v>
      </c>
      <c r="DB63" s="177"/>
      <c r="DO63" s="177"/>
    </row>
    <row r="64" spans="1:119" ht="12.75" hidden="1" outlineLevel="1">
      <c r="A64" s="269">
        <f>B54+B55-B57</f>
        <v>0</v>
      </c>
      <c r="DB64" s="177"/>
      <c r="DO64" s="177"/>
    </row>
    <row r="65" spans="1:119" ht="12.75" hidden="1" outlineLevel="1">
      <c r="A65" s="269">
        <f>B56-B55-B58</f>
        <v>0</v>
      </c>
      <c r="DB65" s="177"/>
      <c r="DO65" s="177"/>
    </row>
    <row r="66" ht="12.75" collapsed="1"/>
    <row r="67" spans="1:119" ht="12.75">
      <c r="A67" s="291" t="s">
        <v>263</v>
      </c>
      <c r="B67" s="292"/>
      <c r="DB67" s="177"/>
      <c r="DO67" s="177"/>
    </row>
    <row r="68" spans="1:119" ht="15.75" customHeight="1">
      <c r="A68" s="186" t="s">
        <v>11</v>
      </c>
      <c r="B68" s="284">
        <f>Исх!$C$36</f>
        <v>0.07</v>
      </c>
      <c r="C68" s="360">
        <v>2013</v>
      </c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>
        <v>2014</v>
      </c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>
        <v>2015</v>
      </c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>
        <v>2016</v>
      </c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>
        <v>2017</v>
      </c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>
        <v>2018</v>
      </c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>
        <v>2019</v>
      </c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>
        <v>2020</v>
      </c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>
        <v>2021</v>
      </c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</row>
    <row r="69" spans="1:119" s="192" customFormat="1" ht="15" customHeight="1">
      <c r="A69" s="188" t="s">
        <v>9</v>
      </c>
      <c r="B69" s="189" t="s">
        <v>89</v>
      </c>
      <c r="C69" s="190">
        <v>1</v>
      </c>
      <c r="D69" s="190">
        <v>2</v>
      </c>
      <c r="E69" s="190">
        <f aca="true" t="shared" si="173" ref="E69:N69">D69+1</f>
        <v>3</v>
      </c>
      <c r="F69" s="190">
        <f t="shared" si="173"/>
        <v>4</v>
      </c>
      <c r="G69" s="190">
        <f t="shared" si="173"/>
        <v>5</v>
      </c>
      <c r="H69" s="190">
        <f t="shared" si="173"/>
        <v>6</v>
      </c>
      <c r="I69" s="190">
        <f t="shared" si="173"/>
        <v>7</v>
      </c>
      <c r="J69" s="190">
        <f t="shared" si="173"/>
        <v>8</v>
      </c>
      <c r="K69" s="190">
        <f t="shared" si="173"/>
        <v>9</v>
      </c>
      <c r="L69" s="190">
        <f t="shared" si="173"/>
        <v>10</v>
      </c>
      <c r="M69" s="190">
        <f t="shared" si="173"/>
        <v>11</v>
      </c>
      <c r="N69" s="190">
        <f t="shared" si="173"/>
        <v>12</v>
      </c>
      <c r="O69" s="191" t="str">
        <f>O53</f>
        <v>Итого</v>
      </c>
      <c r="P69" s="190">
        <v>1</v>
      </c>
      <c r="Q69" s="190">
        <v>2</v>
      </c>
      <c r="R69" s="190">
        <f aca="true" t="shared" si="174" ref="R69:AA69">Q69+1</f>
        <v>3</v>
      </c>
      <c r="S69" s="190">
        <f t="shared" si="174"/>
        <v>4</v>
      </c>
      <c r="T69" s="190">
        <f t="shared" si="174"/>
        <v>5</v>
      </c>
      <c r="U69" s="190">
        <f t="shared" si="174"/>
        <v>6</v>
      </c>
      <c r="V69" s="190">
        <f t="shared" si="174"/>
        <v>7</v>
      </c>
      <c r="W69" s="190">
        <f t="shared" si="174"/>
        <v>8</v>
      </c>
      <c r="X69" s="190">
        <f t="shared" si="174"/>
        <v>9</v>
      </c>
      <c r="Y69" s="190">
        <f t="shared" si="174"/>
        <v>10</v>
      </c>
      <c r="Z69" s="190">
        <f t="shared" si="174"/>
        <v>11</v>
      </c>
      <c r="AA69" s="190">
        <f t="shared" si="174"/>
        <v>12</v>
      </c>
      <c r="AB69" s="191" t="str">
        <f>AB53</f>
        <v>Итого</v>
      </c>
      <c r="AC69" s="190">
        <v>1</v>
      </c>
      <c r="AD69" s="190">
        <v>2</v>
      </c>
      <c r="AE69" s="190">
        <f aca="true" t="shared" si="175" ref="AE69:AN69">AD69+1</f>
        <v>3</v>
      </c>
      <c r="AF69" s="190">
        <f t="shared" si="175"/>
        <v>4</v>
      </c>
      <c r="AG69" s="190">
        <f t="shared" si="175"/>
        <v>5</v>
      </c>
      <c r="AH69" s="190">
        <f t="shared" si="175"/>
        <v>6</v>
      </c>
      <c r="AI69" s="190">
        <f t="shared" si="175"/>
        <v>7</v>
      </c>
      <c r="AJ69" s="190">
        <f t="shared" si="175"/>
        <v>8</v>
      </c>
      <c r="AK69" s="190">
        <f t="shared" si="175"/>
        <v>9</v>
      </c>
      <c r="AL69" s="190">
        <f t="shared" si="175"/>
        <v>10</v>
      </c>
      <c r="AM69" s="190">
        <f t="shared" si="175"/>
        <v>11</v>
      </c>
      <c r="AN69" s="190">
        <f t="shared" si="175"/>
        <v>12</v>
      </c>
      <c r="AO69" s="191" t="str">
        <f>AO53</f>
        <v>Итого</v>
      </c>
      <c r="AP69" s="190">
        <v>1</v>
      </c>
      <c r="AQ69" s="190">
        <v>2</v>
      </c>
      <c r="AR69" s="190">
        <f aca="true" t="shared" si="176" ref="AR69:BA69">AQ69+1</f>
        <v>3</v>
      </c>
      <c r="AS69" s="190">
        <f t="shared" si="176"/>
        <v>4</v>
      </c>
      <c r="AT69" s="190">
        <f t="shared" si="176"/>
        <v>5</v>
      </c>
      <c r="AU69" s="190">
        <f t="shared" si="176"/>
        <v>6</v>
      </c>
      <c r="AV69" s="190">
        <f t="shared" si="176"/>
        <v>7</v>
      </c>
      <c r="AW69" s="190">
        <f t="shared" si="176"/>
        <v>8</v>
      </c>
      <c r="AX69" s="190">
        <f t="shared" si="176"/>
        <v>9</v>
      </c>
      <c r="AY69" s="190">
        <f t="shared" si="176"/>
        <v>10</v>
      </c>
      <c r="AZ69" s="190">
        <f t="shared" si="176"/>
        <v>11</v>
      </c>
      <c r="BA69" s="190">
        <f t="shared" si="176"/>
        <v>12</v>
      </c>
      <c r="BB69" s="191" t="str">
        <f>BB53</f>
        <v>Итого</v>
      </c>
      <c r="BC69" s="190">
        <v>1</v>
      </c>
      <c r="BD69" s="190">
        <v>2</v>
      </c>
      <c r="BE69" s="190">
        <f aca="true" t="shared" si="177" ref="BE69:BN69">BD69+1</f>
        <v>3</v>
      </c>
      <c r="BF69" s="190">
        <f t="shared" si="177"/>
        <v>4</v>
      </c>
      <c r="BG69" s="190">
        <f t="shared" si="177"/>
        <v>5</v>
      </c>
      <c r="BH69" s="190">
        <f t="shared" si="177"/>
        <v>6</v>
      </c>
      <c r="BI69" s="190">
        <f t="shared" si="177"/>
        <v>7</v>
      </c>
      <c r="BJ69" s="190">
        <f t="shared" si="177"/>
        <v>8</v>
      </c>
      <c r="BK69" s="190">
        <f t="shared" si="177"/>
        <v>9</v>
      </c>
      <c r="BL69" s="190">
        <f t="shared" si="177"/>
        <v>10</v>
      </c>
      <c r="BM69" s="190">
        <f t="shared" si="177"/>
        <v>11</v>
      </c>
      <c r="BN69" s="190">
        <f t="shared" si="177"/>
        <v>12</v>
      </c>
      <c r="BO69" s="191" t="str">
        <f>BO53</f>
        <v>Итого</v>
      </c>
      <c r="BP69" s="190">
        <v>1</v>
      </c>
      <c r="BQ69" s="190">
        <v>2</v>
      </c>
      <c r="BR69" s="190">
        <f aca="true" t="shared" si="178" ref="BR69:CA69">BQ69+1</f>
        <v>3</v>
      </c>
      <c r="BS69" s="190">
        <f t="shared" si="178"/>
        <v>4</v>
      </c>
      <c r="BT69" s="190">
        <f t="shared" si="178"/>
        <v>5</v>
      </c>
      <c r="BU69" s="190">
        <f t="shared" si="178"/>
        <v>6</v>
      </c>
      <c r="BV69" s="190">
        <f t="shared" si="178"/>
        <v>7</v>
      </c>
      <c r="BW69" s="190">
        <f t="shared" si="178"/>
        <v>8</v>
      </c>
      <c r="BX69" s="190">
        <f t="shared" si="178"/>
        <v>9</v>
      </c>
      <c r="BY69" s="190">
        <f t="shared" si="178"/>
        <v>10</v>
      </c>
      <c r="BZ69" s="190">
        <f t="shared" si="178"/>
        <v>11</v>
      </c>
      <c r="CA69" s="190">
        <f t="shared" si="178"/>
        <v>12</v>
      </c>
      <c r="CB69" s="191" t="str">
        <f>CB53</f>
        <v>Итого</v>
      </c>
      <c r="CC69" s="190">
        <v>1</v>
      </c>
      <c r="CD69" s="190">
        <v>2</v>
      </c>
      <c r="CE69" s="190">
        <f aca="true" t="shared" si="179" ref="CE69:CN69">CD69+1</f>
        <v>3</v>
      </c>
      <c r="CF69" s="190">
        <f t="shared" si="179"/>
        <v>4</v>
      </c>
      <c r="CG69" s="190">
        <f t="shared" si="179"/>
        <v>5</v>
      </c>
      <c r="CH69" s="190">
        <f t="shared" si="179"/>
        <v>6</v>
      </c>
      <c r="CI69" s="190">
        <f t="shared" si="179"/>
        <v>7</v>
      </c>
      <c r="CJ69" s="190">
        <f t="shared" si="179"/>
        <v>8</v>
      </c>
      <c r="CK69" s="190">
        <f t="shared" si="179"/>
        <v>9</v>
      </c>
      <c r="CL69" s="190">
        <f t="shared" si="179"/>
        <v>10</v>
      </c>
      <c r="CM69" s="190">
        <f t="shared" si="179"/>
        <v>11</v>
      </c>
      <c r="CN69" s="190">
        <f t="shared" si="179"/>
        <v>12</v>
      </c>
      <c r="CO69" s="191" t="str">
        <f>CO53</f>
        <v>Итого</v>
      </c>
      <c r="CP69" s="190">
        <v>1</v>
      </c>
      <c r="CQ69" s="190">
        <f aca="true" t="shared" si="180" ref="CQ69:DA69">CP69+1</f>
        <v>2</v>
      </c>
      <c r="CR69" s="190">
        <f t="shared" si="180"/>
        <v>3</v>
      </c>
      <c r="CS69" s="190">
        <f t="shared" si="180"/>
        <v>4</v>
      </c>
      <c r="CT69" s="190">
        <f t="shared" si="180"/>
        <v>5</v>
      </c>
      <c r="CU69" s="190">
        <f t="shared" si="180"/>
        <v>6</v>
      </c>
      <c r="CV69" s="190">
        <f t="shared" si="180"/>
        <v>7</v>
      </c>
      <c r="CW69" s="190">
        <f t="shared" si="180"/>
        <v>8</v>
      </c>
      <c r="CX69" s="190">
        <f t="shared" si="180"/>
        <v>9</v>
      </c>
      <c r="CY69" s="190">
        <f t="shared" si="180"/>
        <v>10</v>
      </c>
      <c r="CZ69" s="190">
        <f t="shared" si="180"/>
        <v>11</v>
      </c>
      <c r="DA69" s="190">
        <f t="shared" si="180"/>
        <v>12</v>
      </c>
      <c r="DB69" s="191" t="str">
        <f>DB53</f>
        <v>Итого</v>
      </c>
      <c r="DC69" s="190">
        <v>1</v>
      </c>
      <c r="DD69" s="190">
        <f aca="true" t="shared" si="181" ref="DD69:DN69">DC69+1</f>
        <v>2</v>
      </c>
      <c r="DE69" s="190">
        <f t="shared" si="181"/>
        <v>3</v>
      </c>
      <c r="DF69" s="190">
        <f t="shared" si="181"/>
        <v>4</v>
      </c>
      <c r="DG69" s="190">
        <f t="shared" si="181"/>
        <v>5</v>
      </c>
      <c r="DH69" s="190">
        <f t="shared" si="181"/>
        <v>6</v>
      </c>
      <c r="DI69" s="190">
        <f t="shared" si="181"/>
        <v>7</v>
      </c>
      <c r="DJ69" s="190">
        <f t="shared" si="181"/>
        <v>8</v>
      </c>
      <c r="DK69" s="190">
        <f t="shared" si="181"/>
        <v>9</v>
      </c>
      <c r="DL69" s="190">
        <f t="shared" si="181"/>
        <v>10</v>
      </c>
      <c r="DM69" s="190">
        <f t="shared" si="181"/>
        <v>11</v>
      </c>
      <c r="DN69" s="190">
        <f t="shared" si="181"/>
        <v>12</v>
      </c>
      <c r="DO69" s="191" t="s">
        <v>0</v>
      </c>
    </row>
    <row r="70" spans="1:119" ht="12.75">
      <c r="A70" s="188" t="s">
        <v>105</v>
      </c>
      <c r="B70" s="193">
        <f>O70+AB70+AO70+BB70+BO70+CB70+CO70+DB70+DO70</f>
        <v>0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>
        <f>'1-Ф3'!M$29</f>
        <v>0</v>
      </c>
      <c r="M70" s="194"/>
      <c r="N70" s="194"/>
      <c r="O70" s="195">
        <f>SUM(C70:N70)</f>
        <v>0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>
        <f>SUM(P70:AA70)</f>
        <v>0</v>
      </c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>
        <f>SUM(AC70:AN70)</f>
        <v>0</v>
      </c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</row>
    <row r="71" spans="1:119" s="197" customFormat="1" ht="20.25" customHeight="1">
      <c r="A71" s="188" t="s">
        <v>31</v>
      </c>
      <c r="B71" s="193">
        <f>O71+AB71+AO71+BB71+BO71+CB71+CO71+DB71+DO71</f>
        <v>0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>
        <f>SUM(C71:N71)</f>
        <v>0</v>
      </c>
      <c r="P71" s="194"/>
      <c r="Q71" s="194"/>
      <c r="R71" s="194"/>
      <c r="S71" s="194"/>
      <c r="T71" s="194"/>
      <c r="U71" s="194"/>
      <c r="V71" s="194">
        <f>SUM(O72:V72)</f>
        <v>0</v>
      </c>
      <c r="W71" s="194"/>
      <c r="X71" s="194"/>
      <c r="Y71" s="194"/>
      <c r="Z71" s="194"/>
      <c r="AA71" s="194"/>
      <c r="AB71" s="195">
        <f>SUM(P71:AA71)</f>
        <v>0</v>
      </c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5">
        <f>SUM(AC71:AN71)</f>
        <v>0</v>
      </c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>
        <f>SUM(AP71:BA71)</f>
        <v>0</v>
      </c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5">
        <f>SUM(BC71:BN71)</f>
        <v>0</v>
      </c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>
        <f>SUM(BP71:CA71)</f>
        <v>0</v>
      </c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5">
        <f>SUM(CC71:CN71)</f>
        <v>0</v>
      </c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5">
        <f>SUM(CP71:DA71)</f>
        <v>0</v>
      </c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5">
        <f>SUM(DC71:DN71)</f>
        <v>0</v>
      </c>
    </row>
    <row r="72" spans="1:119" s="197" customFormat="1" ht="12.75">
      <c r="A72" s="198" t="s">
        <v>13</v>
      </c>
      <c r="B72" s="193">
        <f>O72+AB72+AO72+BB72+BO72+CB72+CO72+DB72+DO72</f>
        <v>0</v>
      </c>
      <c r="C72" s="194"/>
      <c r="D72" s="194">
        <f aca="true" t="shared" si="182" ref="D72:N72">C75*$B68/12</f>
        <v>0</v>
      </c>
      <c r="E72" s="194">
        <f t="shared" si="182"/>
        <v>0</v>
      </c>
      <c r="F72" s="194">
        <f t="shared" si="182"/>
        <v>0</v>
      </c>
      <c r="G72" s="194">
        <f t="shared" si="182"/>
        <v>0</v>
      </c>
      <c r="H72" s="194">
        <f t="shared" si="182"/>
        <v>0</v>
      </c>
      <c r="I72" s="194">
        <f t="shared" si="182"/>
        <v>0</v>
      </c>
      <c r="J72" s="194">
        <f t="shared" si="182"/>
        <v>0</v>
      </c>
      <c r="K72" s="194">
        <f t="shared" si="182"/>
        <v>0</v>
      </c>
      <c r="L72" s="194">
        <f t="shared" si="182"/>
        <v>0</v>
      </c>
      <c r="M72" s="194">
        <f t="shared" si="182"/>
        <v>0</v>
      </c>
      <c r="N72" s="194">
        <f t="shared" si="182"/>
        <v>0</v>
      </c>
      <c r="O72" s="195">
        <f>SUM(C72:N72)</f>
        <v>0</v>
      </c>
      <c r="P72" s="194">
        <f aca="true" t="shared" si="183" ref="P72:AA72">O75*$B68/12</f>
        <v>0</v>
      </c>
      <c r="Q72" s="194">
        <f t="shared" si="183"/>
        <v>0</v>
      </c>
      <c r="R72" s="194">
        <f t="shared" si="183"/>
        <v>0</v>
      </c>
      <c r="S72" s="194">
        <f t="shared" si="183"/>
        <v>0</v>
      </c>
      <c r="T72" s="194">
        <f t="shared" si="183"/>
        <v>0</v>
      </c>
      <c r="U72" s="194">
        <f t="shared" si="183"/>
        <v>0</v>
      </c>
      <c r="V72" s="194">
        <f t="shared" si="183"/>
        <v>0</v>
      </c>
      <c r="W72" s="194">
        <f t="shared" si="183"/>
        <v>0</v>
      </c>
      <c r="X72" s="194">
        <f t="shared" si="183"/>
        <v>0</v>
      </c>
      <c r="Y72" s="194">
        <f t="shared" si="183"/>
        <v>0</v>
      </c>
      <c r="Z72" s="194">
        <f t="shared" si="183"/>
        <v>0</v>
      </c>
      <c r="AA72" s="194">
        <f t="shared" si="183"/>
        <v>0</v>
      </c>
      <c r="AB72" s="195">
        <f>SUM(P72:AA72)</f>
        <v>0</v>
      </c>
      <c r="AC72" s="194">
        <f aca="true" t="shared" si="184" ref="AC72:AN72">AB75*$B68/12</f>
        <v>0</v>
      </c>
      <c r="AD72" s="194">
        <f t="shared" si="184"/>
        <v>0</v>
      </c>
      <c r="AE72" s="194">
        <f t="shared" si="184"/>
        <v>0</v>
      </c>
      <c r="AF72" s="194">
        <f t="shared" si="184"/>
        <v>0</v>
      </c>
      <c r="AG72" s="194">
        <f t="shared" si="184"/>
        <v>0</v>
      </c>
      <c r="AH72" s="194">
        <f t="shared" si="184"/>
        <v>0</v>
      </c>
      <c r="AI72" s="194">
        <f t="shared" si="184"/>
        <v>0</v>
      </c>
      <c r="AJ72" s="194">
        <f t="shared" si="184"/>
        <v>0</v>
      </c>
      <c r="AK72" s="194">
        <f t="shared" si="184"/>
        <v>0</v>
      </c>
      <c r="AL72" s="194">
        <f t="shared" si="184"/>
        <v>0</v>
      </c>
      <c r="AM72" s="194">
        <f t="shared" si="184"/>
        <v>0</v>
      </c>
      <c r="AN72" s="194">
        <f t="shared" si="184"/>
        <v>0</v>
      </c>
      <c r="AO72" s="195">
        <f>SUM(AC72:AN72)</f>
        <v>0</v>
      </c>
      <c r="AP72" s="194">
        <f aca="true" t="shared" si="185" ref="AP72:BA72">AO75*$B68/12</f>
        <v>0</v>
      </c>
      <c r="AQ72" s="194">
        <f t="shared" si="185"/>
        <v>0</v>
      </c>
      <c r="AR72" s="194">
        <f t="shared" si="185"/>
        <v>0</v>
      </c>
      <c r="AS72" s="194">
        <f t="shared" si="185"/>
        <v>0</v>
      </c>
      <c r="AT72" s="194">
        <f t="shared" si="185"/>
        <v>0</v>
      </c>
      <c r="AU72" s="194">
        <f t="shared" si="185"/>
        <v>0</v>
      </c>
      <c r="AV72" s="194">
        <f t="shared" si="185"/>
        <v>0</v>
      </c>
      <c r="AW72" s="194">
        <f t="shared" si="185"/>
        <v>0</v>
      </c>
      <c r="AX72" s="194">
        <f t="shared" si="185"/>
        <v>0</v>
      </c>
      <c r="AY72" s="194">
        <f t="shared" si="185"/>
        <v>0</v>
      </c>
      <c r="AZ72" s="194">
        <f t="shared" si="185"/>
        <v>0</v>
      </c>
      <c r="BA72" s="194">
        <f t="shared" si="185"/>
        <v>0</v>
      </c>
      <c r="BB72" s="195">
        <f>SUM(AP72:BA72)</f>
        <v>0</v>
      </c>
      <c r="BC72" s="194">
        <f aca="true" t="shared" si="186" ref="BC72:BN72">BB75*$B68/12</f>
        <v>0</v>
      </c>
      <c r="BD72" s="194">
        <f t="shared" si="186"/>
        <v>0</v>
      </c>
      <c r="BE72" s="194">
        <f t="shared" si="186"/>
        <v>0</v>
      </c>
      <c r="BF72" s="194">
        <f t="shared" si="186"/>
        <v>0</v>
      </c>
      <c r="BG72" s="194">
        <f t="shared" si="186"/>
        <v>0</v>
      </c>
      <c r="BH72" s="194">
        <f t="shared" si="186"/>
        <v>0</v>
      </c>
      <c r="BI72" s="194">
        <f t="shared" si="186"/>
        <v>0</v>
      </c>
      <c r="BJ72" s="194">
        <f t="shared" si="186"/>
        <v>0</v>
      </c>
      <c r="BK72" s="194">
        <f t="shared" si="186"/>
        <v>0</v>
      </c>
      <c r="BL72" s="194">
        <f t="shared" si="186"/>
        <v>0</v>
      </c>
      <c r="BM72" s="194">
        <f t="shared" si="186"/>
        <v>0</v>
      </c>
      <c r="BN72" s="194">
        <f t="shared" si="186"/>
        <v>0</v>
      </c>
      <c r="BO72" s="195">
        <f>SUM(BC72:BN72)</f>
        <v>0</v>
      </c>
      <c r="BP72" s="194">
        <f aca="true" t="shared" si="187" ref="BP72:CA72">BO75*$B68/12</f>
        <v>0</v>
      </c>
      <c r="BQ72" s="194">
        <f t="shared" si="187"/>
        <v>0</v>
      </c>
      <c r="BR72" s="194">
        <f t="shared" si="187"/>
        <v>0</v>
      </c>
      <c r="BS72" s="194">
        <f t="shared" si="187"/>
        <v>0</v>
      </c>
      <c r="BT72" s="194">
        <f t="shared" si="187"/>
        <v>0</v>
      </c>
      <c r="BU72" s="194">
        <f t="shared" si="187"/>
        <v>0</v>
      </c>
      <c r="BV72" s="194">
        <f t="shared" si="187"/>
        <v>0</v>
      </c>
      <c r="BW72" s="194">
        <f t="shared" si="187"/>
        <v>0</v>
      </c>
      <c r="BX72" s="194">
        <f t="shared" si="187"/>
        <v>0</v>
      </c>
      <c r="BY72" s="194">
        <f t="shared" si="187"/>
        <v>0</v>
      </c>
      <c r="BZ72" s="194">
        <f t="shared" si="187"/>
        <v>0</v>
      </c>
      <c r="CA72" s="194">
        <f t="shared" si="187"/>
        <v>0</v>
      </c>
      <c r="CB72" s="195">
        <f>SUM(BP72:CA72)</f>
        <v>0</v>
      </c>
      <c r="CC72" s="194">
        <f aca="true" t="shared" si="188" ref="CC72:CN72">CB75*$B68/12</f>
        <v>0</v>
      </c>
      <c r="CD72" s="194">
        <f t="shared" si="188"/>
        <v>0</v>
      </c>
      <c r="CE72" s="194">
        <f t="shared" si="188"/>
        <v>0</v>
      </c>
      <c r="CF72" s="194">
        <f t="shared" si="188"/>
        <v>0</v>
      </c>
      <c r="CG72" s="194">
        <f t="shared" si="188"/>
        <v>0</v>
      </c>
      <c r="CH72" s="194">
        <f t="shared" si="188"/>
        <v>0</v>
      </c>
      <c r="CI72" s="194">
        <f t="shared" si="188"/>
        <v>0</v>
      </c>
      <c r="CJ72" s="194">
        <f t="shared" si="188"/>
        <v>0</v>
      </c>
      <c r="CK72" s="194">
        <f t="shared" si="188"/>
        <v>0</v>
      </c>
      <c r="CL72" s="194">
        <f t="shared" si="188"/>
        <v>0</v>
      </c>
      <c r="CM72" s="194">
        <f t="shared" si="188"/>
        <v>0</v>
      </c>
      <c r="CN72" s="194">
        <f t="shared" si="188"/>
        <v>0</v>
      </c>
      <c r="CO72" s="195">
        <f>SUM(CC72:CN72)</f>
        <v>0</v>
      </c>
      <c r="CP72" s="194">
        <f aca="true" t="shared" si="189" ref="CP72:DA72">CO75*$B68/12</f>
        <v>0</v>
      </c>
      <c r="CQ72" s="194">
        <f t="shared" si="189"/>
        <v>0</v>
      </c>
      <c r="CR72" s="194">
        <f t="shared" si="189"/>
        <v>0</v>
      </c>
      <c r="CS72" s="194">
        <f t="shared" si="189"/>
        <v>0</v>
      </c>
      <c r="CT72" s="194">
        <f t="shared" si="189"/>
        <v>0</v>
      </c>
      <c r="CU72" s="194">
        <f t="shared" si="189"/>
        <v>0</v>
      </c>
      <c r="CV72" s="194">
        <f t="shared" si="189"/>
        <v>0</v>
      </c>
      <c r="CW72" s="194">
        <f t="shared" si="189"/>
        <v>0</v>
      </c>
      <c r="CX72" s="194">
        <f t="shared" si="189"/>
        <v>0</v>
      </c>
      <c r="CY72" s="194">
        <f t="shared" si="189"/>
        <v>0</v>
      </c>
      <c r="CZ72" s="194">
        <f t="shared" si="189"/>
        <v>0</v>
      </c>
      <c r="DA72" s="194">
        <f t="shared" si="189"/>
        <v>0</v>
      </c>
      <c r="DB72" s="195">
        <f>SUM(CP72:DA72)</f>
        <v>0</v>
      </c>
      <c r="DC72" s="194">
        <f aca="true" t="shared" si="190" ref="DC72:DN72">DB75*$B68/12</f>
        <v>0</v>
      </c>
      <c r="DD72" s="194">
        <f t="shared" si="190"/>
        <v>0</v>
      </c>
      <c r="DE72" s="194">
        <f t="shared" si="190"/>
        <v>0</v>
      </c>
      <c r="DF72" s="194">
        <f t="shared" si="190"/>
        <v>0</v>
      </c>
      <c r="DG72" s="194">
        <f t="shared" si="190"/>
        <v>0</v>
      </c>
      <c r="DH72" s="194">
        <f t="shared" si="190"/>
        <v>0</v>
      </c>
      <c r="DI72" s="194">
        <f t="shared" si="190"/>
        <v>0</v>
      </c>
      <c r="DJ72" s="194">
        <f t="shared" si="190"/>
        <v>0</v>
      </c>
      <c r="DK72" s="194">
        <f t="shared" si="190"/>
        <v>0</v>
      </c>
      <c r="DL72" s="194">
        <f t="shared" si="190"/>
        <v>0</v>
      </c>
      <c r="DM72" s="194">
        <f t="shared" si="190"/>
        <v>0</v>
      </c>
      <c r="DN72" s="194">
        <f t="shared" si="190"/>
        <v>0</v>
      </c>
      <c r="DO72" s="195">
        <f>SUM(DC72:DN72)</f>
        <v>0</v>
      </c>
    </row>
    <row r="73" spans="1:119" ht="12.75">
      <c r="A73" s="188" t="s">
        <v>14</v>
      </c>
      <c r="B73" s="193">
        <f>O73+AB73+AO73+BB73+BO73+CB73+CO73+DB73+DO73</f>
        <v>0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9"/>
      <c r="N73" s="199"/>
      <c r="O73" s="195">
        <f>SUM(C73:N73)</f>
        <v>0</v>
      </c>
      <c r="P73" s="199"/>
      <c r="Q73" s="199"/>
      <c r="R73" s="199"/>
      <c r="S73" s="199"/>
      <c r="T73" s="199"/>
      <c r="U73" s="199"/>
      <c r="V73" s="199"/>
      <c r="W73" s="194">
        <f>$B77-W72</f>
        <v>0</v>
      </c>
      <c r="X73" s="194">
        <f>$B77-X72</f>
        <v>0</v>
      </c>
      <c r="Y73" s="194">
        <f>$B77-Y72</f>
        <v>0</v>
      </c>
      <c r="Z73" s="194">
        <f>$B77-Z72</f>
        <v>0</v>
      </c>
      <c r="AA73" s="194">
        <f>$B77-AA72</f>
        <v>0</v>
      </c>
      <c r="AB73" s="195">
        <f>SUM(P73:AA73)</f>
        <v>0</v>
      </c>
      <c r="AC73" s="194">
        <f aca="true" t="shared" si="191" ref="AC73:AN73">$B77-AC72</f>
        <v>0</v>
      </c>
      <c r="AD73" s="194">
        <f t="shared" si="191"/>
        <v>0</v>
      </c>
      <c r="AE73" s="194">
        <f t="shared" si="191"/>
        <v>0</v>
      </c>
      <c r="AF73" s="194">
        <f t="shared" si="191"/>
        <v>0</v>
      </c>
      <c r="AG73" s="194">
        <f t="shared" si="191"/>
        <v>0</v>
      </c>
      <c r="AH73" s="194">
        <f t="shared" si="191"/>
        <v>0</v>
      </c>
      <c r="AI73" s="194">
        <f t="shared" si="191"/>
        <v>0</v>
      </c>
      <c r="AJ73" s="194">
        <f t="shared" si="191"/>
        <v>0</v>
      </c>
      <c r="AK73" s="194">
        <f t="shared" si="191"/>
        <v>0</v>
      </c>
      <c r="AL73" s="194">
        <f t="shared" si="191"/>
        <v>0</v>
      </c>
      <c r="AM73" s="194">
        <f t="shared" si="191"/>
        <v>0</v>
      </c>
      <c r="AN73" s="194">
        <f t="shared" si="191"/>
        <v>0</v>
      </c>
      <c r="AO73" s="195">
        <f>SUM(AC73:AN73)</f>
        <v>0</v>
      </c>
      <c r="AP73" s="194">
        <f aca="true" t="shared" si="192" ref="AP73:BA73">$B77-AP72</f>
        <v>0</v>
      </c>
      <c r="AQ73" s="194">
        <f t="shared" si="192"/>
        <v>0</v>
      </c>
      <c r="AR73" s="194">
        <f t="shared" si="192"/>
        <v>0</v>
      </c>
      <c r="AS73" s="194">
        <f t="shared" si="192"/>
        <v>0</v>
      </c>
      <c r="AT73" s="194">
        <f t="shared" si="192"/>
        <v>0</v>
      </c>
      <c r="AU73" s="194">
        <f t="shared" si="192"/>
        <v>0</v>
      </c>
      <c r="AV73" s="194">
        <f t="shared" si="192"/>
        <v>0</v>
      </c>
      <c r="AW73" s="194">
        <f t="shared" si="192"/>
        <v>0</v>
      </c>
      <c r="AX73" s="194">
        <f t="shared" si="192"/>
        <v>0</v>
      </c>
      <c r="AY73" s="194">
        <f t="shared" si="192"/>
        <v>0</v>
      </c>
      <c r="AZ73" s="194">
        <f t="shared" si="192"/>
        <v>0</v>
      </c>
      <c r="BA73" s="194">
        <f t="shared" si="192"/>
        <v>0</v>
      </c>
      <c r="BB73" s="195">
        <f>SUM(AP73:BA73)</f>
        <v>0</v>
      </c>
      <c r="BC73" s="194">
        <f aca="true" t="shared" si="193" ref="BC73:BN73">$B77-BC72</f>
        <v>0</v>
      </c>
      <c r="BD73" s="194">
        <f t="shared" si="193"/>
        <v>0</v>
      </c>
      <c r="BE73" s="194">
        <f t="shared" si="193"/>
        <v>0</v>
      </c>
      <c r="BF73" s="194">
        <f t="shared" si="193"/>
        <v>0</v>
      </c>
      <c r="BG73" s="194">
        <f t="shared" si="193"/>
        <v>0</v>
      </c>
      <c r="BH73" s="194">
        <f t="shared" si="193"/>
        <v>0</v>
      </c>
      <c r="BI73" s="194">
        <f t="shared" si="193"/>
        <v>0</v>
      </c>
      <c r="BJ73" s="194">
        <f t="shared" si="193"/>
        <v>0</v>
      </c>
      <c r="BK73" s="194">
        <f t="shared" si="193"/>
        <v>0</v>
      </c>
      <c r="BL73" s="194">
        <f t="shared" si="193"/>
        <v>0</v>
      </c>
      <c r="BM73" s="194">
        <f t="shared" si="193"/>
        <v>0</v>
      </c>
      <c r="BN73" s="194">
        <f t="shared" si="193"/>
        <v>0</v>
      </c>
      <c r="BO73" s="195">
        <f>SUM(BC73:BN73)</f>
        <v>0</v>
      </c>
      <c r="BP73" s="194">
        <f aca="true" t="shared" si="194" ref="BP73:CA73">$B77-BP72</f>
        <v>0</v>
      </c>
      <c r="BQ73" s="194">
        <f t="shared" si="194"/>
        <v>0</v>
      </c>
      <c r="BR73" s="194">
        <f t="shared" si="194"/>
        <v>0</v>
      </c>
      <c r="BS73" s="194">
        <f t="shared" si="194"/>
        <v>0</v>
      </c>
      <c r="BT73" s="194">
        <f t="shared" si="194"/>
        <v>0</v>
      </c>
      <c r="BU73" s="194">
        <f t="shared" si="194"/>
        <v>0</v>
      </c>
      <c r="BV73" s="194">
        <f t="shared" si="194"/>
        <v>0</v>
      </c>
      <c r="BW73" s="194">
        <f t="shared" si="194"/>
        <v>0</v>
      </c>
      <c r="BX73" s="194">
        <f t="shared" si="194"/>
        <v>0</v>
      </c>
      <c r="BY73" s="194">
        <f t="shared" si="194"/>
        <v>0</v>
      </c>
      <c r="BZ73" s="194">
        <f t="shared" si="194"/>
        <v>0</v>
      </c>
      <c r="CA73" s="194">
        <f t="shared" si="194"/>
        <v>0</v>
      </c>
      <c r="CB73" s="195">
        <f>SUM(BP73:CA73)</f>
        <v>0</v>
      </c>
      <c r="CC73" s="194">
        <f aca="true" t="shared" si="195" ref="CC73:CN73">$B77-CC72</f>
        <v>0</v>
      </c>
      <c r="CD73" s="194">
        <f t="shared" si="195"/>
        <v>0</v>
      </c>
      <c r="CE73" s="194">
        <f t="shared" si="195"/>
        <v>0</v>
      </c>
      <c r="CF73" s="194">
        <f t="shared" si="195"/>
        <v>0</v>
      </c>
      <c r="CG73" s="194">
        <f t="shared" si="195"/>
        <v>0</v>
      </c>
      <c r="CH73" s="194">
        <f t="shared" si="195"/>
        <v>0</v>
      </c>
      <c r="CI73" s="194">
        <f t="shared" si="195"/>
        <v>0</v>
      </c>
      <c r="CJ73" s="194">
        <f t="shared" si="195"/>
        <v>0</v>
      </c>
      <c r="CK73" s="194">
        <f t="shared" si="195"/>
        <v>0</v>
      </c>
      <c r="CL73" s="194">
        <f t="shared" si="195"/>
        <v>0</v>
      </c>
      <c r="CM73" s="194">
        <f t="shared" si="195"/>
        <v>0</v>
      </c>
      <c r="CN73" s="194">
        <f t="shared" si="195"/>
        <v>0</v>
      </c>
      <c r="CO73" s="195">
        <f>SUM(CC73:CN73)</f>
        <v>0</v>
      </c>
      <c r="CP73" s="194">
        <f aca="true" t="shared" si="196" ref="CP73:CY73">$B77-CP72</f>
        <v>0</v>
      </c>
      <c r="CQ73" s="194">
        <f t="shared" si="196"/>
        <v>0</v>
      </c>
      <c r="CR73" s="194">
        <f t="shared" si="196"/>
        <v>0</v>
      </c>
      <c r="CS73" s="194">
        <f t="shared" si="196"/>
        <v>0</v>
      </c>
      <c r="CT73" s="194">
        <f t="shared" si="196"/>
        <v>0</v>
      </c>
      <c r="CU73" s="194">
        <f t="shared" si="196"/>
        <v>0</v>
      </c>
      <c r="CV73" s="194">
        <f t="shared" si="196"/>
        <v>0</v>
      </c>
      <c r="CW73" s="194">
        <f t="shared" si="196"/>
        <v>0</v>
      </c>
      <c r="CX73" s="194">
        <f t="shared" si="196"/>
        <v>0</v>
      </c>
      <c r="CY73" s="194">
        <f t="shared" si="196"/>
        <v>0</v>
      </c>
      <c r="CZ73" s="194"/>
      <c r="DA73" s="194"/>
      <c r="DB73" s="195">
        <f>SUM(CP73:DA73)</f>
        <v>0</v>
      </c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5">
        <f>SUM(DC73:DN73)</f>
        <v>0</v>
      </c>
    </row>
    <row r="74" spans="1:119" ht="12.75">
      <c r="A74" s="188" t="s">
        <v>15</v>
      </c>
      <c r="B74" s="193">
        <f>O74+AB74+AO74+BB74+BO74+CB74+CO74+DB74+DO74</f>
        <v>0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9"/>
      <c r="N74" s="199"/>
      <c r="O74" s="195">
        <f>SUM(C74:N74)</f>
        <v>0</v>
      </c>
      <c r="P74" s="199"/>
      <c r="Q74" s="199"/>
      <c r="R74" s="199"/>
      <c r="S74" s="199"/>
      <c r="T74" s="199"/>
      <c r="U74" s="199"/>
      <c r="V74" s="199"/>
      <c r="W74" s="194">
        <f>W72</f>
        <v>0</v>
      </c>
      <c r="X74" s="194">
        <f>X72</f>
        <v>0</v>
      </c>
      <c r="Y74" s="194">
        <f>Y72</f>
        <v>0</v>
      </c>
      <c r="Z74" s="194">
        <f>Z72</f>
        <v>0</v>
      </c>
      <c r="AA74" s="194">
        <f>AA72</f>
        <v>0</v>
      </c>
      <c r="AB74" s="195">
        <f>SUM(P74:AA74)</f>
        <v>0</v>
      </c>
      <c r="AC74" s="194">
        <f aca="true" t="shared" si="197" ref="AC74:AK74">AC72</f>
        <v>0</v>
      </c>
      <c r="AD74" s="194">
        <f t="shared" si="197"/>
        <v>0</v>
      </c>
      <c r="AE74" s="194">
        <f t="shared" si="197"/>
        <v>0</v>
      </c>
      <c r="AF74" s="194">
        <f t="shared" si="197"/>
        <v>0</v>
      </c>
      <c r="AG74" s="194">
        <f t="shared" si="197"/>
        <v>0</v>
      </c>
      <c r="AH74" s="194">
        <f t="shared" si="197"/>
        <v>0</v>
      </c>
      <c r="AI74" s="194">
        <f t="shared" si="197"/>
        <v>0</v>
      </c>
      <c r="AJ74" s="194">
        <f t="shared" si="197"/>
        <v>0</v>
      </c>
      <c r="AK74" s="194">
        <f t="shared" si="197"/>
        <v>0</v>
      </c>
      <c r="AL74" s="194">
        <f>AL72</f>
        <v>0</v>
      </c>
      <c r="AM74" s="194">
        <f>AM72</f>
        <v>0</v>
      </c>
      <c r="AN74" s="194">
        <f>AN72</f>
        <v>0</v>
      </c>
      <c r="AO74" s="195">
        <f>SUM(AC74:AN74)</f>
        <v>0</v>
      </c>
      <c r="AP74" s="194">
        <f aca="true" t="shared" si="198" ref="AP74:BA74">AP72</f>
        <v>0</v>
      </c>
      <c r="AQ74" s="194">
        <f t="shared" si="198"/>
        <v>0</v>
      </c>
      <c r="AR74" s="194">
        <f t="shared" si="198"/>
        <v>0</v>
      </c>
      <c r="AS74" s="194">
        <f t="shared" si="198"/>
        <v>0</v>
      </c>
      <c r="AT74" s="194">
        <f t="shared" si="198"/>
        <v>0</v>
      </c>
      <c r="AU74" s="194">
        <f t="shared" si="198"/>
        <v>0</v>
      </c>
      <c r="AV74" s="194">
        <f t="shared" si="198"/>
        <v>0</v>
      </c>
      <c r="AW74" s="194">
        <f t="shared" si="198"/>
        <v>0</v>
      </c>
      <c r="AX74" s="194">
        <f t="shared" si="198"/>
        <v>0</v>
      </c>
      <c r="AY74" s="194">
        <f t="shared" si="198"/>
        <v>0</v>
      </c>
      <c r="AZ74" s="194">
        <f t="shared" si="198"/>
        <v>0</v>
      </c>
      <c r="BA74" s="194">
        <f t="shared" si="198"/>
        <v>0</v>
      </c>
      <c r="BB74" s="195">
        <f>SUM(AP74:BA74)</f>
        <v>0</v>
      </c>
      <c r="BC74" s="194">
        <f aca="true" t="shared" si="199" ref="BC74:BN74">BC72</f>
        <v>0</v>
      </c>
      <c r="BD74" s="194">
        <f t="shared" si="199"/>
        <v>0</v>
      </c>
      <c r="BE74" s="194">
        <f t="shared" si="199"/>
        <v>0</v>
      </c>
      <c r="BF74" s="194">
        <f t="shared" si="199"/>
        <v>0</v>
      </c>
      <c r="BG74" s="194">
        <f t="shared" si="199"/>
        <v>0</v>
      </c>
      <c r="BH74" s="194">
        <f t="shared" si="199"/>
        <v>0</v>
      </c>
      <c r="BI74" s="194">
        <f t="shared" si="199"/>
        <v>0</v>
      </c>
      <c r="BJ74" s="194">
        <f t="shared" si="199"/>
        <v>0</v>
      </c>
      <c r="BK74" s="194">
        <f t="shared" si="199"/>
        <v>0</v>
      </c>
      <c r="BL74" s="194">
        <f t="shared" si="199"/>
        <v>0</v>
      </c>
      <c r="BM74" s="194">
        <f t="shared" si="199"/>
        <v>0</v>
      </c>
      <c r="BN74" s="194">
        <f t="shared" si="199"/>
        <v>0</v>
      </c>
      <c r="BO74" s="195">
        <f>SUM(BC74:BN74)</f>
        <v>0</v>
      </c>
      <c r="BP74" s="194">
        <f aca="true" t="shared" si="200" ref="BP74:CA74">BP72</f>
        <v>0</v>
      </c>
      <c r="BQ74" s="194">
        <f t="shared" si="200"/>
        <v>0</v>
      </c>
      <c r="BR74" s="194">
        <f t="shared" si="200"/>
        <v>0</v>
      </c>
      <c r="BS74" s="194">
        <f t="shared" si="200"/>
        <v>0</v>
      </c>
      <c r="BT74" s="194">
        <f t="shared" si="200"/>
        <v>0</v>
      </c>
      <c r="BU74" s="194">
        <f t="shared" si="200"/>
        <v>0</v>
      </c>
      <c r="BV74" s="194">
        <f t="shared" si="200"/>
        <v>0</v>
      </c>
      <c r="BW74" s="194">
        <f t="shared" si="200"/>
        <v>0</v>
      </c>
      <c r="BX74" s="194">
        <f t="shared" si="200"/>
        <v>0</v>
      </c>
      <c r="BY74" s="194">
        <f t="shared" si="200"/>
        <v>0</v>
      </c>
      <c r="BZ74" s="194">
        <f t="shared" si="200"/>
        <v>0</v>
      </c>
      <c r="CA74" s="194">
        <f t="shared" si="200"/>
        <v>0</v>
      </c>
      <c r="CB74" s="195">
        <f>SUM(BP74:CA74)</f>
        <v>0</v>
      </c>
      <c r="CC74" s="194">
        <f aca="true" t="shared" si="201" ref="CC74:CN74">CC72</f>
        <v>0</v>
      </c>
      <c r="CD74" s="194">
        <f t="shared" si="201"/>
        <v>0</v>
      </c>
      <c r="CE74" s="194">
        <f t="shared" si="201"/>
        <v>0</v>
      </c>
      <c r="CF74" s="194">
        <f t="shared" si="201"/>
        <v>0</v>
      </c>
      <c r="CG74" s="194">
        <f t="shared" si="201"/>
        <v>0</v>
      </c>
      <c r="CH74" s="194">
        <f t="shared" si="201"/>
        <v>0</v>
      </c>
      <c r="CI74" s="194">
        <f t="shared" si="201"/>
        <v>0</v>
      </c>
      <c r="CJ74" s="194">
        <f t="shared" si="201"/>
        <v>0</v>
      </c>
      <c r="CK74" s="194">
        <f t="shared" si="201"/>
        <v>0</v>
      </c>
      <c r="CL74" s="194">
        <f t="shared" si="201"/>
        <v>0</v>
      </c>
      <c r="CM74" s="194">
        <f t="shared" si="201"/>
        <v>0</v>
      </c>
      <c r="CN74" s="194">
        <f t="shared" si="201"/>
        <v>0</v>
      </c>
      <c r="CO74" s="195">
        <f>SUM(CC74:CN74)</f>
        <v>0</v>
      </c>
      <c r="CP74" s="194">
        <f aca="true" t="shared" si="202" ref="CP74:DA74">CP72</f>
        <v>0</v>
      </c>
      <c r="CQ74" s="194">
        <f t="shared" si="202"/>
        <v>0</v>
      </c>
      <c r="CR74" s="194">
        <f t="shared" si="202"/>
        <v>0</v>
      </c>
      <c r="CS74" s="194">
        <f t="shared" si="202"/>
        <v>0</v>
      </c>
      <c r="CT74" s="194">
        <f t="shared" si="202"/>
        <v>0</v>
      </c>
      <c r="CU74" s="194">
        <f t="shared" si="202"/>
        <v>0</v>
      </c>
      <c r="CV74" s="194">
        <f t="shared" si="202"/>
        <v>0</v>
      </c>
      <c r="CW74" s="194">
        <f t="shared" si="202"/>
        <v>0</v>
      </c>
      <c r="CX74" s="194">
        <f t="shared" si="202"/>
        <v>0</v>
      </c>
      <c r="CY74" s="194">
        <f t="shared" si="202"/>
        <v>0</v>
      </c>
      <c r="CZ74" s="194">
        <f t="shared" si="202"/>
        <v>0</v>
      </c>
      <c r="DA74" s="194">
        <f t="shared" si="202"/>
        <v>0</v>
      </c>
      <c r="DB74" s="195">
        <f>SUM(CP74:DA74)</f>
        <v>0</v>
      </c>
      <c r="DC74" s="194">
        <f aca="true" t="shared" si="203" ref="DC74:DN74">DC72</f>
        <v>0</v>
      </c>
      <c r="DD74" s="194">
        <f t="shared" si="203"/>
        <v>0</v>
      </c>
      <c r="DE74" s="194">
        <f t="shared" si="203"/>
        <v>0</v>
      </c>
      <c r="DF74" s="194">
        <f t="shared" si="203"/>
        <v>0</v>
      </c>
      <c r="DG74" s="194">
        <f t="shared" si="203"/>
        <v>0</v>
      </c>
      <c r="DH74" s="194">
        <f t="shared" si="203"/>
        <v>0</v>
      </c>
      <c r="DI74" s="194">
        <f t="shared" si="203"/>
        <v>0</v>
      </c>
      <c r="DJ74" s="194">
        <f t="shared" si="203"/>
        <v>0</v>
      </c>
      <c r="DK74" s="194">
        <f t="shared" si="203"/>
        <v>0</v>
      </c>
      <c r="DL74" s="194">
        <f t="shared" si="203"/>
        <v>0</v>
      </c>
      <c r="DM74" s="194">
        <f t="shared" si="203"/>
        <v>0</v>
      </c>
      <c r="DN74" s="194">
        <f t="shared" si="203"/>
        <v>0</v>
      </c>
      <c r="DO74" s="195">
        <f>SUM(DC74:DN74)</f>
        <v>0</v>
      </c>
    </row>
    <row r="75" spans="1:119" ht="12.75">
      <c r="A75" s="188" t="s">
        <v>16</v>
      </c>
      <c r="B75" s="193">
        <f>DO75</f>
        <v>0</v>
      </c>
      <c r="C75" s="194">
        <f>C70</f>
        <v>0</v>
      </c>
      <c r="D75" s="194">
        <f aca="true" t="shared" si="204" ref="D75:N75">C75+D70-D73+D71</f>
        <v>0</v>
      </c>
      <c r="E75" s="194">
        <f t="shared" si="204"/>
        <v>0</v>
      </c>
      <c r="F75" s="194">
        <f t="shared" si="204"/>
        <v>0</v>
      </c>
      <c r="G75" s="194">
        <f t="shared" si="204"/>
        <v>0</v>
      </c>
      <c r="H75" s="194">
        <f t="shared" si="204"/>
        <v>0</v>
      </c>
      <c r="I75" s="194">
        <f t="shared" si="204"/>
        <v>0</v>
      </c>
      <c r="J75" s="194">
        <f t="shared" si="204"/>
        <v>0</v>
      </c>
      <c r="K75" s="194">
        <f t="shared" si="204"/>
        <v>0</v>
      </c>
      <c r="L75" s="194">
        <f t="shared" si="204"/>
        <v>0</v>
      </c>
      <c r="M75" s="194">
        <f t="shared" si="204"/>
        <v>0</v>
      </c>
      <c r="N75" s="194">
        <f t="shared" si="204"/>
        <v>0</v>
      </c>
      <c r="O75" s="195">
        <f>N75</f>
        <v>0</v>
      </c>
      <c r="P75" s="194">
        <f aca="true" t="shared" si="205" ref="P75:AA75">O75+P70-P73+P71</f>
        <v>0</v>
      </c>
      <c r="Q75" s="194">
        <f t="shared" si="205"/>
        <v>0</v>
      </c>
      <c r="R75" s="194">
        <f t="shared" si="205"/>
        <v>0</v>
      </c>
      <c r="S75" s="194">
        <f t="shared" si="205"/>
        <v>0</v>
      </c>
      <c r="T75" s="194">
        <f t="shared" si="205"/>
        <v>0</v>
      </c>
      <c r="U75" s="194">
        <f t="shared" si="205"/>
        <v>0</v>
      </c>
      <c r="V75" s="194">
        <f t="shared" si="205"/>
        <v>0</v>
      </c>
      <c r="W75" s="194">
        <f t="shared" si="205"/>
        <v>0</v>
      </c>
      <c r="X75" s="194">
        <f t="shared" si="205"/>
        <v>0</v>
      </c>
      <c r="Y75" s="194">
        <f t="shared" si="205"/>
        <v>0</v>
      </c>
      <c r="Z75" s="194">
        <f t="shared" si="205"/>
        <v>0</v>
      </c>
      <c r="AA75" s="194">
        <f t="shared" si="205"/>
        <v>0</v>
      </c>
      <c r="AB75" s="195">
        <f>AA75</f>
        <v>0</v>
      </c>
      <c r="AC75" s="194">
        <f aca="true" t="shared" si="206" ref="AC75:AN75">AB75+AC70-AC73+AC71</f>
        <v>0</v>
      </c>
      <c r="AD75" s="194">
        <f t="shared" si="206"/>
        <v>0</v>
      </c>
      <c r="AE75" s="194">
        <f t="shared" si="206"/>
        <v>0</v>
      </c>
      <c r="AF75" s="194">
        <f t="shared" si="206"/>
        <v>0</v>
      </c>
      <c r="AG75" s="194">
        <f t="shared" si="206"/>
        <v>0</v>
      </c>
      <c r="AH75" s="194">
        <f t="shared" si="206"/>
        <v>0</v>
      </c>
      <c r="AI75" s="194">
        <f t="shared" si="206"/>
        <v>0</v>
      </c>
      <c r="AJ75" s="194">
        <f t="shared" si="206"/>
        <v>0</v>
      </c>
      <c r="AK75" s="194">
        <f t="shared" si="206"/>
        <v>0</v>
      </c>
      <c r="AL75" s="194">
        <f t="shared" si="206"/>
        <v>0</v>
      </c>
      <c r="AM75" s="194">
        <f t="shared" si="206"/>
        <v>0</v>
      </c>
      <c r="AN75" s="194">
        <f t="shared" si="206"/>
        <v>0</v>
      </c>
      <c r="AO75" s="195">
        <f>AN75</f>
        <v>0</v>
      </c>
      <c r="AP75" s="194">
        <f aca="true" t="shared" si="207" ref="AP75:BA75">AO75+AP70-AP73+AP71</f>
        <v>0</v>
      </c>
      <c r="AQ75" s="194">
        <f t="shared" si="207"/>
        <v>0</v>
      </c>
      <c r="AR75" s="194">
        <f t="shared" si="207"/>
        <v>0</v>
      </c>
      <c r="AS75" s="194">
        <f t="shared" si="207"/>
        <v>0</v>
      </c>
      <c r="AT75" s="194">
        <f t="shared" si="207"/>
        <v>0</v>
      </c>
      <c r="AU75" s="194">
        <f t="shared" si="207"/>
        <v>0</v>
      </c>
      <c r="AV75" s="194">
        <f t="shared" si="207"/>
        <v>0</v>
      </c>
      <c r="AW75" s="194">
        <f t="shared" si="207"/>
        <v>0</v>
      </c>
      <c r="AX75" s="194">
        <f t="shared" si="207"/>
        <v>0</v>
      </c>
      <c r="AY75" s="194">
        <f t="shared" si="207"/>
        <v>0</v>
      </c>
      <c r="AZ75" s="194">
        <f t="shared" si="207"/>
        <v>0</v>
      </c>
      <c r="BA75" s="194">
        <f t="shared" si="207"/>
        <v>0</v>
      </c>
      <c r="BB75" s="195">
        <f>BA75</f>
        <v>0</v>
      </c>
      <c r="BC75" s="194">
        <f aca="true" t="shared" si="208" ref="BC75:BN75">BB75+BC70-BC73+BC71</f>
        <v>0</v>
      </c>
      <c r="BD75" s="194">
        <f t="shared" si="208"/>
        <v>0</v>
      </c>
      <c r="BE75" s="194">
        <f t="shared" si="208"/>
        <v>0</v>
      </c>
      <c r="BF75" s="194">
        <f t="shared" si="208"/>
        <v>0</v>
      </c>
      <c r="BG75" s="194">
        <f t="shared" si="208"/>
        <v>0</v>
      </c>
      <c r="BH75" s="194">
        <f t="shared" si="208"/>
        <v>0</v>
      </c>
      <c r="BI75" s="194">
        <f t="shared" si="208"/>
        <v>0</v>
      </c>
      <c r="BJ75" s="194">
        <f t="shared" si="208"/>
        <v>0</v>
      </c>
      <c r="BK75" s="194">
        <f t="shared" si="208"/>
        <v>0</v>
      </c>
      <c r="BL75" s="194">
        <f t="shared" si="208"/>
        <v>0</v>
      </c>
      <c r="BM75" s="194">
        <f t="shared" si="208"/>
        <v>0</v>
      </c>
      <c r="BN75" s="194">
        <f t="shared" si="208"/>
        <v>0</v>
      </c>
      <c r="BO75" s="195">
        <f>BN75</f>
        <v>0</v>
      </c>
      <c r="BP75" s="194">
        <f aca="true" t="shared" si="209" ref="BP75:CA75">BO75+BP70-BP73+BP71</f>
        <v>0</v>
      </c>
      <c r="BQ75" s="194">
        <f t="shared" si="209"/>
        <v>0</v>
      </c>
      <c r="BR75" s="194">
        <f t="shared" si="209"/>
        <v>0</v>
      </c>
      <c r="BS75" s="194">
        <f t="shared" si="209"/>
        <v>0</v>
      </c>
      <c r="BT75" s="194">
        <f t="shared" si="209"/>
        <v>0</v>
      </c>
      <c r="BU75" s="194">
        <f t="shared" si="209"/>
        <v>0</v>
      </c>
      <c r="BV75" s="194">
        <f t="shared" si="209"/>
        <v>0</v>
      </c>
      <c r="BW75" s="194">
        <f t="shared" si="209"/>
        <v>0</v>
      </c>
      <c r="BX75" s="194">
        <f t="shared" si="209"/>
        <v>0</v>
      </c>
      <c r="BY75" s="194">
        <f t="shared" si="209"/>
        <v>0</v>
      </c>
      <c r="BZ75" s="194">
        <f t="shared" si="209"/>
        <v>0</v>
      </c>
      <c r="CA75" s="194">
        <f t="shared" si="209"/>
        <v>0</v>
      </c>
      <c r="CB75" s="195">
        <f>CA75</f>
        <v>0</v>
      </c>
      <c r="CC75" s="194">
        <f aca="true" t="shared" si="210" ref="CC75:CN75">CB75+CC70-CC73+CC71</f>
        <v>0</v>
      </c>
      <c r="CD75" s="194">
        <f t="shared" si="210"/>
        <v>0</v>
      </c>
      <c r="CE75" s="194">
        <f t="shared" si="210"/>
        <v>0</v>
      </c>
      <c r="CF75" s="194">
        <f t="shared" si="210"/>
        <v>0</v>
      </c>
      <c r="CG75" s="194">
        <f t="shared" si="210"/>
        <v>0</v>
      </c>
      <c r="CH75" s="194">
        <f t="shared" si="210"/>
        <v>0</v>
      </c>
      <c r="CI75" s="194">
        <f t="shared" si="210"/>
        <v>0</v>
      </c>
      <c r="CJ75" s="194">
        <f t="shared" si="210"/>
        <v>0</v>
      </c>
      <c r="CK75" s="194">
        <f t="shared" si="210"/>
        <v>0</v>
      </c>
      <c r="CL75" s="194">
        <f t="shared" si="210"/>
        <v>0</v>
      </c>
      <c r="CM75" s="194">
        <f t="shared" si="210"/>
        <v>0</v>
      </c>
      <c r="CN75" s="194">
        <f t="shared" si="210"/>
        <v>0</v>
      </c>
      <c r="CO75" s="195">
        <f>CN75</f>
        <v>0</v>
      </c>
      <c r="CP75" s="194">
        <f aca="true" t="shared" si="211" ref="CP75:DA75">CO75+CP70-CP73+CP71</f>
        <v>0</v>
      </c>
      <c r="CQ75" s="194">
        <f t="shared" si="211"/>
        <v>0</v>
      </c>
      <c r="CR75" s="194">
        <f t="shared" si="211"/>
        <v>0</v>
      </c>
      <c r="CS75" s="194">
        <f t="shared" si="211"/>
        <v>0</v>
      </c>
      <c r="CT75" s="194">
        <f t="shared" si="211"/>
        <v>0</v>
      </c>
      <c r="CU75" s="194">
        <f t="shared" si="211"/>
        <v>0</v>
      </c>
      <c r="CV75" s="194">
        <f t="shared" si="211"/>
        <v>0</v>
      </c>
      <c r="CW75" s="194">
        <f t="shared" si="211"/>
        <v>0</v>
      </c>
      <c r="CX75" s="194">
        <f t="shared" si="211"/>
        <v>0</v>
      </c>
      <c r="CY75" s="194">
        <f t="shared" si="211"/>
        <v>0</v>
      </c>
      <c r="CZ75" s="194">
        <f t="shared" si="211"/>
        <v>0</v>
      </c>
      <c r="DA75" s="194">
        <f t="shared" si="211"/>
        <v>0</v>
      </c>
      <c r="DB75" s="195">
        <f>DA75</f>
        <v>0</v>
      </c>
      <c r="DC75" s="194">
        <f aca="true" t="shared" si="212" ref="DC75:DN75">DB75+DC70-DC73+DC71</f>
        <v>0</v>
      </c>
      <c r="DD75" s="194">
        <f t="shared" si="212"/>
        <v>0</v>
      </c>
      <c r="DE75" s="194">
        <f t="shared" si="212"/>
        <v>0</v>
      </c>
      <c r="DF75" s="194">
        <f t="shared" si="212"/>
        <v>0</v>
      </c>
      <c r="DG75" s="194">
        <f t="shared" si="212"/>
        <v>0</v>
      </c>
      <c r="DH75" s="194">
        <f t="shared" si="212"/>
        <v>0</v>
      </c>
      <c r="DI75" s="194">
        <f t="shared" si="212"/>
        <v>0</v>
      </c>
      <c r="DJ75" s="194">
        <f t="shared" si="212"/>
        <v>0</v>
      </c>
      <c r="DK75" s="194">
        <f t="shared" si="212"/>
        <v>0</v>
      </c>
      <c r="DL75" s="194">
        <f t="shared" si="212"/>
        <v>0</v>
      </c>
      <c r="DM75" s="194">
        <f t="shared" si="212"/>
        <v>0</v>
      </c>
      <c r="DN75" s="194">
        <f t="shared" si="212"/>
        <v>0</v>
      </c>
      <c r="DO75" s="195">
        <f>DN75</f>
        <v>0</v>
      </c>
    </row>
    <row r="76" spans="1:119" ht="12.75">
      <c r="A76" s="177" t="s">
        <v>78</v>
      </c>
      <c r="B76" s="282">
        <f>Исх!$C$37*12-Исх!$C$38</f>
        <v>75</v>
      </c>
      <c r="CP76" s="180"/>
      <c r="DB76" s="177"/>
      <c r="DO76" s="177"/>
    </row>
    <row r="77" spans="1:119" ht="12.75">
      <c r="A77" s="285" t="s">
        <v>247</v>
      </c>
      <c r="B77" s="286">
        <f>$V$75*$B$20/12/((1-(1+$B$20/12)^-$B76))</f>
        <v>0</v>
      </c>
      <c r="DB77" s="177"/>
      <c r="DO77" s="177"/>
    </row>
    <row r="78" spans="1:119" ht="6" customHeight="1">
      <c r="A78" s="283"/>
      <c r="B78" s="280"/>
      <c r="DB78" s="177"/>
      <c r="DO78" s="177"/>
    </row>
    <row r="79" spans="1:119" ht="12.75">
      <c r="A79" s="268" t="s">
        <v>238</v>
      </c>
      <c r="DB79" s="177"/>
      <c r="DO79" s="177"/>
    </row>
    <row r="80" spans="1:119" ht="12.75" hidden="1" outlineLevel="1">
      <c r="A80" s="269">
        <f>B70+B71-B73</f>
        <v>0</v>
      </c>
      <c r="DB80" s="177"/>
      <c r="DO80" s="177"/>
    </row>
    <row r="81" spans="1:119" ht="12.75" hidden="1" outlineLevel="1">
      <c r="A81" s="269">
        <f>B72-B71-B74</f>
        <v>0</v>
      </c>
      <c r="DB81" s="177"/>
      <c r="DO81" s="177"/>
    </row>
    <row r="82" ht="12.75" collapsed="1"/>
    <row r="83" spans="1:119" ht="12.75">
      <c r="A83" s="291" t="s">
        <v>264</v>
      </c>
      <c r="B83" s="292"/>
      <c r="DB83" s="177"/>
      <c r="DO83" s="177"/>
    </row>
    <row r="84" spans="1:119" ht="15.75" customHeight="1">
      <c r="A84" s="186" t="s">
        <v>11</v>
      </c>
      <c r="B84" s="284">
        <f>Исх!$C$36</f>
        <v>0.07</v>
      </c>
      <c r="C84" s="360">
        <v>2013</v>
      </c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>
        <v>2014</v>
      </c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>
        <v>2015</v>
      </c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>
        <v>2016</v>
      </c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>
        <v>2017</v>
      </c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>
        <v>2018</v>
      </c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>
        <v>2019</v>
      </c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>
        <v>2020</v>
      </c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>
        <v>2021</v>
      </c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</row>
    <row r="85" spans="1:119" s="192" customFormat="1" ht="15" customHeight="1">
      <c r="A85" s="188" t="s">
        <v>9</v>
      </c>
      <c r="B85" s="189" t="s">
        <v>89</v>
      </c>
      <c r="C85" s="190">
        <v>1</v>
      </c>
      <c r="D85" s="190">
        <v>2</v>
      </c>
      <c r="E85" s="190">
        <f aca="true" t="shared" si="213" ref="E85:N85">D85+1</f>
        <v>3</v>
      </c>
      <c r="F85" s="190">
        <f t="shared" si="213"/>
        <v>4</v>
      </c>
      <c r="G85" s="190">
        <f t="shared" si="213"/>
        <v>5</v>
      </c>
      <c r="H85" s="190">
        <f t="shared" si="213"/>
        <v>6</v>
      </c>
      <c r="I85" s="190">
        <f t="shared" si="213"/>
        <v>7</v>
      </c>
      <c r="J85" s="190">
        <f t="shared" si="213"/>
        <v>8</v>
      </c>
      <c r="K85" s="190">
        <f t="shared" si="213"/>
        <v>9</v>
      </c>
      <c r="L85" s="190">
        <f t="shared" si="213"/>
        <v>10</v>
      </c>
      <c r="M85" s="190">
        <f t="shared" si="213"/>
        <v>11</v>
      </c>
      <c r="N85" s="190">
        <f t="shared" si="213"/>
        <v>12</v>
      </c>
      <c r="O85" s="191" t="str">
        <f>O69</f>
        <v>Итого</v>
      </c>
      <c r="P85" s="190">
        <v>1</v>
      </c>
      <c r="Q85" s="190">
        <v>2</v>
      </c>
      <c r="R85" s="190">
        <f aca="true" t="shared" si="214" ref="R85:AA85">Q85+1</f>
        <v>3</v>
      </c>
      <c r="S85" s="190">
        <f t="shared" si="214"/>
        <v>4</v>
      </c>
      <c r="T85" s="190">
        <f t="shared" si="214"/>
        <v>5</v>
      </c>
      <c r="U85" s="190">
        <f t="shared" si="214"/>
        <v>6</v>
      </c>
      <c r="V85" s="190">
        <f t="shared" si="214"/>
        <v>7</v>
      </c>
      <c r="W85" s="190">
        <f t="shared" si="214"/>
        <v>8</v>
      </c>
      <c r="X85" s="190">
        <f t="shared" si="214"/>
        <v>9</v>
      </c>
      <c r="Y85" s="190">
        <f t="shared" si="214"/>
        <v>10</v>
      </c>
      <c r="Z85" s="190">
        <f t="shared" si="214"/>
        <v>11</v>
      </c>
      <c r="AA85" s="190">
        <f t="shared" si="214"/>
        <v>12</v>
      </c>
      <c r="AB85" s="191" t="str">
        <f>AB69</f>
        <v>Итого</v>
      </c>
      <c r="AC85" s="190">
        <v>1</v>
      </c>
      <c r="AD85" s="190">
        <v>2</v>
      </c>
      <c r="AE85" s="190">
        <f aca="true" t="shared" si="215" ref="AE85:AN85">AD85+1</f>
        <v>3</v>
      </c>
      <c r="AF85" s="190">
        <f t="shared" si="215"/>
        <v>4</v>
      </c>
      <c r="AG85" s="190">
        <f t="shared" si="215"/>
        <v>5</v>
      </c>
      <c r="AH85" s="190">
        <f t="shared" si="215"/>
        <v>6</v>
      </c>
      <c r="AI85" s="190">
        <f t="shared" si="215"/>
        <v>7</v>
      </c>
      <c r="AJ85" s="190">
        <f t="shared" si="215"/>
        <v>8</v>
      </c>
      <c r="AK85" s="190">
        <f t="shared" si="215"/>
        <v>9</v>
      </c>
      <c r="AL85" s="190">
        <f t="shared" si="215"/>
        <v>10</v>
      </c>
      <c r="AM85" s="190">
        <f t="shared" si="215"/>
        <v>11</v>
      </c>
      <c r="AN85" s="190">
        <f t="shared" si="215"/>
        <v>12</v>
      </c>
      <c r="AO85" s="191" t="str">
        <f>AO69</f>
        <v>Итого</v>
      </c>
      <c r="AP85" s="190">
        <v>1</v>
      </c>
      <c r="AQ85" s="190">
        <v>2</v>
      </c>
      <c r="AR85" s="190">
        <f aca="true" t="shared" si="216" ref="AR85:BA85">AQ85+1</f>
        <v>3</v>
      </c>
      <c r="AS85" s="190">
        <f t="shared" si="216"/>
        <v>4</v>
      </c>
      <c r="AT85" s="190">
        <f t="shared" si="216"/>
        <v>5</v>
      </c>
      <c r="AU85" s="190">
        <f t="shared" si="216"/>
        <v>6</v>
      </c>
      <c r="AV85" s="190">
        <f t="shared" si="216"/>
        <v>7</v>
      </c>
      <c r="AW85" s="190">
        <f t="shared" si="216"/>
        <v>8</v>
      </c>
      <c r="AX85" s="190">
        <f t="shared" si="216"/>
        <v>9</v>
      </c>
      <c r="AY85" s="190">
        <f t="shared" si="216"/>
        <v>10</v>
      </c>
      <c r="AZ85" s="190">
        <f t="shared" si="216"/>
        <v>11</v>
      </c>
      <c r="BA85" s="190">
        <f t="shared" si="216"/>
        <v>12</v>
      </c>
      <c r="BB85" s="191" t="str">
        <f>BB69</f>
        <v>Итого</v>
      </c>
      <c r="BC85" s="190">
        <v>1</v>
      </c>
      <c r="BD85" s="190">
        <v>2</v>
      </c>
      <c r="BE85" s="190">
        <f aca="true" t="shared" si="217" ref="BE85:BN85">BD85+1</f>
        <v>3</v>
      </c>
      <c r="BF85" s="190">
        <f t="shared" si="217"/>
        <v>4</v>
      </c>
      <c r="BG85" s="190">
        <f t="shared" si="217"/>
        <v>5</v>
      </c>
      <c r="BH85" s="190">
        <f t="shared" si="217"/>
        <v>6</v>
      </c>
      <c r="BI85" s="190">
        <f t="shared" si="217"/>
        <v>7</v>
      </c>
      <c r="BJ85" s="190">
        <f t="shared" si="217"/>
        <v>8</v>
      </c>
      <c r="BK85" s="190">
        <f t="shared" si="217"/>
        <v>9</v>
      </c>
      <c r="BL85" s="190">
        <f t="shared" si="217"/>
        <v>10</v>
      </c>
      <c r="BM85" s="190">
        <f t="shared" si="217"/>
        <v>11</v>
      </c>
      <c r="BN85" s="190">
        <f t="shared" si="217"/>
        <v>12</v>
      </c>
      <c r="BO85" s="191" t="str">
        <f>BO69</f>
        <v>Итого</v>
      </c>
      <c r="BP85" s="190">
        <v>1</v>
      </c>
      <c r="BQ85" s="190">
        <v>2</v>
      </c>
      <c r="BR85" s="190">
        <f aca="true" t="shared" si="218" ref="BR85:CA85">BQ85+1</f>
        <v>3</v>
      </c>
      <c r="BS85" s="190">
        <f t="shared" si="218"/>
        <v>4</v>
      </c>
      <c r="BT85" s="190">
        <f t="shared" si="218"/>
        <v>5</v>
      </c>
      <c r="BU85" s="190">
        <f t="shared" si="218"/>
        <v>6</v>
      </c>
      <c r="BV85" s="190">
        <f t="shared" si="218"/>
        <v>7</v>
      </c>
      <c r="BW85" s="190">
        <f t="shared" si="218"/>
        <v>8</v>
      </c>
      <c r="BX85" s="190">
        <f t="shared" si="218"/>
        <v>9</v>
      </c>
      <c r="BY85" s="190">
        <f t="shared" si="218"/>
        <v>10</v>
      </c>
      <c r="BZ85" s="190">
        <f t="shared" si="218"/>
        <v>11</v>
      </c>
      <c r="CA85" s="190">
        <f t="shared" si="218"/>
        <v>12</v>
      </c>
      <c r="CB85" s="191" t="str">
        <f>CB69</f>
        <v>Итого</v>
      </c>
      <c r="CC85" s="190">
        <v>1</v>
      </c>
      <c r="CD85" s="190">
        <v>2</v>
      </c>
      <c r="CE85" s="190">
        <f aca="true" t="shared" si="219" ref="CE85:CN85">CD85+1</f>
        <v>3</v>
      </c>
      <c r="CF85" s="190">
        <f t="shared" si="219"/>
        <v>4</v>
      </c>
      <c r="CG85" s="190">
        <f t="shared" si="219"/>
        <v>5</v>
      </c>
      <c r="CH85" s="190">
        <f t="shared" si="219"/>
        <v>6</v>
      </c>
      <c r="CI85" s="190">
        <f t="shared" si="219"/>
        <v>7</v>
      </c>
      <c r="CJ85" s="190">
        <f t="shared" si="219"/>
        <v>8</v>
      </c>
      <c r="CK85" s="190">
        <f t="shared" si="219"/>
        <v>9</v>
      </c>
      <c r="CL85" s="190">
        <f t="shared" si="219"/>
        <v>10</v>
      </c>
      <c r="CM85" s="190">
        <f t="shared" si="219"/>
        <v>11</v>
      </c>
      <c r="CN85" s="190">
        <f t="shared" si="219"/>
        <v>12</v>
      </c>
      <c r="CO85" s="191" t="str">
        <f>CO69</f>
        <v>Итого</v>
      </c>
      <c r="CP85" s="190">
        <v>1</v>
      </c>
      <c r="CQ85" s="190">
        <f aca="true" t="shared" si="220" ref="CQ85:DA85">CP85+1</f>
        <v>2</v>
      </c>
      <c r="CR85" s="190">
        <f t="shared" si="220"/>
        <v>3</v>
      </c>
      <c r="CS85" s="190">
        <f t="shared" si="220"/>
        <v>4</v>
      </c>
      <c r="CT85" s="190">
        <f t="shared" si="220"/>
        <v>5</v>
      </c>
      <c r="CU85" s="190">
        <f t="shared" si="220"/>
        <v>6</v>
      </c>
      <c r="CV85" s="190">
        <f t="shared" si="220"/>
        <v>7</v>
      </c>
      <c r="CW85" s="190">
        <f t="shared" si="220"/>
        <v>8</v>
      </c>
      <c r="CX85" s="190">
        <f t="shared" si="220"/>
        <v>9</v>
      </c>
      <c r="CY85" s="190">
        <f t="shared" si="220"/>
        <v>10</v>
      </c>
      <c r="CZ85" s="190">
        <f t="shared" si="220"/>
        <v>11</v>
      </c>
      <c r="DA85" s="190">
        <f t="shared" si="220"/>
        <v>12</v>
      </c>
      <c r="DB85" s="191" t="str">
        <f>DB69</f>
        <v>Итого</v>
      </c>
      <c r="DC85" s="190">
        <v>1</v>
      </c>
      <c r="DD85" s="190">
        <f aca="true" t="shared" si="221" ref="DD85:DN85">DC85+1</f>
        <v>2</v>
      </c>
      <c r="DE85" s="190">
        <f t="shared" si="221"/>
        <v>3</v>
      </c>
      <c r="DF85" s="190">
        <f t="shared" si="221"/>
        <v>4</v>
      </c>
      <c r="DG85" s="190">
        <f t="shared" si="221"/>
        <v>5</v>
      </c>
      <c r="DH85" s="190">
        <f t="shared" si="221"/>
        <v>6</v>
      </c>
      <c r="DI85" s="190">
        <f t="shared" si="221"/>
        <v>7</v>
      </c>
      <c r="DJ85" s="190">
        <f t="shared" si="221"/>
        <v>8</v>
      </c>
      <c r="DK85" s="190">
        <f t="shared" si="221"/>
        <v>9</v>
      </c>
      <c r="DL85" s="190">
        <f t="shared" si="221"/>
        <v>10</v>
      </c>
      <c r="DM85" s="190">
        <f t="shared" si="221"/>
        <v>11</v>
      </c>
      <c r="DN85" s="190">
        <f t="shared" si="221"/>
        <v>12</v>
      </c>
      <c r="DO85" s="191" t="s">
        <v>0</v>
      </c>
    </row>
    <row r="86" spans="1:119" ht="12.75">
      <c r="A86" s="188" t="s">
        <v>105</v>
      </c>
      <c r="B86" s="193">
        <f>O86+AB86+AO86+BB86+BO86+CB86+CO86+DB86+DO86</f>
        <v>0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5">
        <f>SUM(C86:N86)</f>
        <v>0</v>
      </c>
      <c r="P86" s="194"/>
      <c r="Q86" s="194"/>
      <c r="R86" s="194">
        <f>'1-Ф3'!S$29</f>
        <v>0</v>
      </c>
      <c r="S86" s="194"/>
      <c r="T86" s="194"/>
      <c r="U86" s="194"/>
      <c r="V86" s="194"/>
      <c r="W86" s="194"/>
      <c r="X86" s="194"/>
      <c r="Y86" s="194"/>
      <c r="Z86" s="194"/>
      <c r="AA86" s="194"/>
      <c r="AB86" s="194">
        <f>SUM(P86:AA86)</f>
        <v>0</v>
      </c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>
        <f>SUM(AC86:AN86)</f>
        <v>0</v>
      </c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</row>
    <row r="87" spans="1:119" s="197" customFormat="1" ht="20.25" customHeight="1">
      <c r="A87" s="188" t="s">
        <v>31</v>
      </c>
      <c r="B87" s="193">
        <f>O87+AB87+AO87+BB87+BO87+CB87+CO87+DB87+DO87</f>
        <v>0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5">
        <f>SUM(C87:N87)</f>
        <v>0</v>
      </c>
      <c r="P87" s="194"/>
      <c r="Q87" s="194"/>
      <c r="R87" s="194"/>
      <c r="S87" s="194"/>
      <c r="T87" s="194"/>
      <c r="U87" s="194"/>
      <c r="V87" s="194"/>
      <c r="W87" s="194">
        <f>SUM(O88:W88)</f>
        <v>0</v>
      </c>
      <c r="X87" s="194"/>
      <c r="Y87" s="194"/>
      <c r="Z87" s="194"/>
      <c r="AA87" s="194"/>
      <c r="AB87" s="195">
        <f>SUM(P87:AA87)</f>
        <v>0</v>
      </c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5">
        <f>SUM(AC87:AN87)</f>
        <v>0</v>
      </c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5">
        <f>SUM(AP87:BA87)</f>
        <v>0</v>
      </c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5">
        <f>SUM(BC87:BN87)</f>
        <v>0</v>
      </c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5">
        <f>SUM(BP87:CA87)</f>
        <v>0</v>
      </c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5">
        <f>SUM(CC87:CN87)</f>
        <v>0</v>
      </c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5">
        <f>SUM(CP87:DA87)</f>
        <v>0</v>
      </c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5">
        <f>SUM(DC87:DN87)</f>
        <v>0</v>
      </c>
    </row>
    <row r="88" spans="1:119" s="197" customFormat="1" ht="12.75">
      <c r="A88" s="198" t="s">
        <v>13</v>
      </c>
      <c r="B88" s="193">
        <f>O88+AB88+AO88+BB88+BO88+CB88+CO88+DB88+DO88</f>
        <v>0</v>
      </c>
      <c r="C88" s="194"/>
      <c r="D88" s="194">
        <f aca="true" t="shared" si="222" ref="D88:N88">C91*$B84/12</f>
        <v>0</v>
      </c>
      <c r="E88" s="194">
        <f t="shared" si="222"/>
        <v>0</v>
      </c>
      <c r="F88" s="194">
        <f t="shared" si="222"/>
        <v>0</v>
      </c>
      <c r="G88" s="194">
        <f t="shared" si="222"/>
        <v>0</v>
      </c>
      <c r="H88" s="194">
        <f t="shared" si="222"/>
        <v>0</v>
      </c>
      <c r="I88" s="194">
        <f t="shared" si="222"/>
        <v>0</v>
      </c>
      <c r="J88" s="194">
        <f t="shared" si="222"/>
        <v>0</v>
      </c>
      <c r="K88" s="194">
        <f t="shared" si="222"/>
        <v>0</v>
      </c>
      <c r="L88" s="194">
        <f t="shared" si="222"/>
        <v>0</v>
      </c>
      <c r="M88" s="194">
        <f t="shared" si="222"/>
        <v>0</v>
      </c>
      <c r="N88" s="194">
        <f t="shared" si="222"/>
        <v>0</v>
      </c>
      <c r="O88" s="195">
        <f>SUM(C88:N88)</f>
        <v>0</v>
      </c>
      <c r="P88" s="194">
        <f aca="true" t="shared" si="223" ref="P88:AA88">O91*$B84/12</f>
        <v>0</v>
      </c>
      <c r="Q88" s="194">
        <f t="shared" si="223"/>
        <v>0</v>
      </c>
      <c r="R88" s="194">
        <f t="shared" si="223"/>
        <v>0</v>
      </c>
      <c r="S88" s="194">
        <f t="shared" si="223"/>
        <v>0</v>
      </c>
      <c r="T88" s="194">
        <f t="shared" si="223"/>
        <v>0</v>
      </c>
      <c r="U88" s="194">
        <f t="shared" si="223"/>
        <v>0</v>
      </c>
      <c r="V88" s="194">
        <f t="shared" si="223"/>
        <v>0</v>
      </c>
      <c r="W88" s="194">
        <f t="shared" si="223"/>
        <v>0</v>
      </c>
      <c r="X88" s="194">
        <f t="shared" si="223"/>
        <v>0</v>
      </c>
      <c r="Y88" s="194">
        <f t="shared" si="223"/>
        <v>0</v>
      </c>
      <c r="Z88" s="194">
        <f t="shared" si="223"/>
        <v>0</v>
      </c>
      <c r="AA88" s="194">
        <f t="shared" si="223"/>
        <v>0</v>
      </c>
      <c r="AB88" s="195">
        <f>SUM(P88:AA88)</f>
        <v>0</v>
      </c>
      <c r="AC88" s="194">
        <f aca="true" t="shared" si="224" ref="AC88:AN88">AB91*$B84/12</f>
        <v>0</v>
      </c>
      <c r="AD88" s="194">
        <f t="shared" si="224"/>
        <v>0</v>
      </c>
      <c r="AE88" s="194">
        <f t="shared" si="224"/>
        <v>0</v>
      </c>
      <c r="AF88" s="194">
        <f t="shared" si="224"/>
        <v>0</v>
      </c>
      <c r="AG88" s="194">
        <f t="shared" si="224"/>
        <v>0</v>
      </c>
      <c r="AH88" s="194">
        <f t="shared" si="224"/>
        <v>0</v>
      </c>
      <c r="AI88" s="194">
        <f t="shared" si="224"/>
        <v>0</v>
      </c>
      <c r="AJ88" s="194">
        <f t="shared" si="224"/>
        <v>0</v>
      </c>
      <c r="AK88" s="194">
        <f t="shared" si="224"/>
        <v>0</v>
      </c>
      <c r="AL88" s="194">
        <f t="shared" si="224"/>
        <v>0</v>
      </c>
      <c r="AM88" s="194">
        <f t="shared" si="224"/>
        <v>0</v>
      </c>
      <c r="AN88" s="194">
        <f t="shared" si="224"/>
        <v>0</v>
      </c>
      <c r="AO88" s="195">
        <f>SUM(AC88:AN88)</f>
        <v>0</v>
      </c>
      <c r="AP88" s="194">
        <f aca="true" t="shared" si="225" ref="AP88:BA88">AO91*$B84/12</f>
        <v>0</v>
      </c>
      <c r="AQ88" s="194">
        <f t="shared" si="225"/>
        <v>0</v>
      </c>
      <c r="AR88" s="194">
        <f t="shared" si="225"/>
        <v>0</v>
      </c>
      <c r="AS88" s="194">
        <f t="shared" si="225"/>
        <v>0</v>
      </c>
      <c r="AT88" s="194">
        <f t="shared" si="225"/>
        <v>0</v>
      </c>
      <c r="AU88" s="194">
        <f t="shared" si="225"/>
        <v>0</v>
      </c>
      <c r="AV88" s="194">
        <f t="shared" si="225"/>
        <v>0</v>
      </c>
      <c r="AW88" s="194">
        <f t="shared" si="225"/>
        <v>0</v>
      </c>
      <c r="AX88" s="194">
        <f t="shared" si="225"/>
        <v>0</v>
      </c>
      <c r="AY88" s="194">
        <f t="shared" si="225"/>
        <v>0</v>
      </c>
      <c r="AZ88" s="194">
        <f t="shared" si="225"/>
        <v>0</v>
      </c>
      <c r="BA88" s="194">
        <f t="shared" si="225"/>
        <v>0</v>
      </c>
      <c r="BB88" s="195">
        <f>SUM(AP88:BA88)</f>
        <v>0</v>
      </c>
      <c r="BC88" s="194">
        <f aca="true" t="shared" si="226" ref="BC88:BN88">BB91*$B84/12</f>
        <v>0</v>
      </c>
      <c r="BD88" s="194">
        <f t="shared" si="226"/>
        <v>0</v>
      </c>
      <c r="BE88" s="194">
        <f t="shared" si="226"/>
        <v>0</v>
      </c>
      <c r="BF88" s="194">
        <f t="shared" si="226"/>
        <v>0</v>
      </c>
      <c r="BG88" s="194">
        <f t="shared" si="226"/>
        <v>0</v>
      </c>
      <c r="BH88" s="194">
        <f t="shared" si="226"/>
        <v>0</v>
      </c>
      <c r="BI88" s="194">
        <f t="shared" si="226"/>
        <v>0</v>
      </c>
      <c r="BJ88" s="194">
        <f t="shared" si="226"/>
        <v>0</v>
      </c>
      <c r="BK88" s="194">
        <f t="shared" si="226"/>
        <v>0</v>
      </c>
      <c r="BL88" s="194">
        <f t="shared" si="226"/>
        <v>0</v>
      </c>
      <c r="BM88" s="194">
        <f t="shared" si="226"/>
        <v>0</v>
      </c>
      <c r="BN88" s="194">
        <f t="shared" si="226"/>
        <v>0</v>
      </c>
      <c r="BO88" s="195">
        <f>SUM(BC88:BN88)</f>
        <v>0</v>
      </c>
      <c r="BP88" s="194">
        <f aca="true" t="shared" si="227" ref="BP88:CA88">BO91*$B84/12</f>
        <v>0</v>
      </c>
      <c r="BQ88" s="194">
        <f t="shared" si="227"/>
        <v>0</v>
      </c>
      <c r="BR88" s="194">
        <f t="shared" si="227"/>
        <v>0</v>
      </c>
      <c r="BS88" s="194">
        <f t="shared" si="227"/>
        <v>0</v>
      </c>
      <c r="BT88" s="194">
        <f t="shared" si="227"/>
        <v>0</v>
      </c>
      <c r="BU88" s="194">
        <f t="shared" si="227"/>
        <v>0</v>
      </c>
      <c r="BV88" s="194">
        <f t="shared" si="227"/>
        <v>0</v>
      </c>
      <c r="BW88" s="194">
        <f t="shared" si="227"/>
        <v>0</v>
      </c>
      <c r="BX88" s="194">
        <f t="shared" si="227"/>
        <v>0</v>
      </c>
      <c r="BY88" s="194">
        <f t="shared" si="227"/>
        <v>0</v>
      </c>
      <c r="BZ88" s="194">
        <f t="shared" si="227"/>
        <v>0</v>
      </c>
      <c r="CA88" s="194">
        <f t="shared" si="227"/>
        <v>0</v>
      </c>
      <c r="CB88" s="195">
        <f>SUM(BP88:CA88)</f>
        <v>0</v>
      </c>
      <c r="CC88" s="194">
        <f aca="true" t="shared" si="228" ref="CC88:CN88">CB91*$B84/12</f>
        <v>0</v>
      </c>
      <c r="CD88" s="194">
        <f t="shared" si="228"/>
        <v>0</v>
      </c>
      <c r="CE88" s="194">
        <f t="shared" si="228"/>
        <v>0</v>
      </c>
      <c r="CF88" s="194">
        <f t="shared" si="228"/>
        <v>0</v>
      </c>
      <c r="CG88" s="194">
        <f t="shared" si="228"/>
        <v>0</v>
      </c>
      <c r="CH88" s="194">
        <f t="shared" si="228"/>
        <v>0</v>
      </c>
      <c r="CI88" s="194">
        <f t="shared" si="228"/>
        <v>0</v>
      </c>
      <c r="CJ88" s="194">
        <f t="shared" si="228"/>
        <v>0</v>
      </c>
      <c r="CK88" s="194">
        <f t="shared" si="228"/>
        <v>0</v>
      </c>
      <c r="CL88" s="194">
        <f t="shared" si="228"/>
        <v>0</v>
      </c>
      <c r="CM88" s="194">
        <f t="shared" si="228"/>
        <v>0</v>
      </c>
      <c r="CN88" s="194">
        <f t="shared" si="228"/>
        <v>0</v>
      </c>
      <c r="CO88" s="195">
        <f>SUM(CC88:CN88)</f>
        <v>0</v>
      </c>
      <c r="CP88" s="194">
        <f aca="true" t="shared" si="229" ref="CP88:DA88">CO91*$B84/12</f>
        <v>0</v>
      </c>
      <c r="CQ88" s="194">
        <f t="shared" si="229"/>
        <v>0</v>
      </c>
      <c r="CR88" s="194">
        <f t="shared" si="229"/>
        <v>0</v>
      </c>
      <c r="CS88" s="194">
        <f t="shared" si="229"/>
        <v>0</v>
      </c>
      <c r="CT88" s="194">
        <f t="shared" si="229"/>
        <v>0</v>
      </c>
      <c r="CU88" s="194">
        <f t="shared" si="229"/>
        <v>0</v>
      </c>
      <c r="CV88" s="194">
        <f t="shared" si="229"/>
        <v>0</v>
      </c>
      <c r="CW88" s="194">
        <f t="shared" si="229"/>
        <v>0</v>
      </c>
      <c r="CX88" s="194">
        <f t="shared" si="229"/>
        <v>0</v>
      </c>
      <c r="CY88" s="194">
        <f t="shared" si="229"/>
        <v>0</v>
      </c>
      <c r="CZ88" s="194">
        <f t="shared" si="229"/>
        <v>0</v>
      </c>
      <c r="DA88" s="194">
        <f t="shared" si="229"/>
        <v>0</v>
      </c>
      <c r="DB88" s="195">
        <f>SUM(CP88:DA88)</f>
        <v>0</v>
      </c>
      <c r="DC88" s="194">
        <f aca="true" t="shared" si="230" ref="DC88:DN88">DB91*$B84/12</f>
        <v>0</v>
      </c>
      <c r="DD88" s="194">
        <f t="shared" si="230"/>
        <v>0</v>
      </c>
      <c r="DE88" s="194">
        <f t="shared" si="230"/>
        <v>0</v>
      </c>
      <c r="DF88" s="194">
        <f t="shared" si="230"/>
        <v>0</v>
      </c>
      <c r="DG88" s="194">
        <f t="shared" si="230"/>
        <v>0</v>
      </c>
      <c r="DH88" s="194">
        <f t="shared" si="230"/>
        <v>0</v>
      </c>
      <c r="DI88" s="194">
        <f t="shared" si="230"/>
        <v>0</v>
      </c>
      <c r="DJ88" s="194">
        <f t="shared" si="230"/>
        <v>0</v>
      </c>
      <c r="DK88" s="194">
        <f t="shared" si="230"/>
        <v>0</v>
      </c>
      <c r="DL88" s="194">
        <f t="shared" si="230"/>
        <v>0</v>
      </c>
      <c r="DM88" s="194">
        <f t="shared" si="230"/>
        <v>0</v>
      </c>
      <c r="DN88" s="194">
        <f t="shared" si="230"/>
        <v>0</v>
      </c>
      <c r="DO88" s="195">
        <f>SUM(DC88:DN88)</f>
        <v>0</v>
      </c>
    </row>
    <row r="89" spans="1:119" ht="12.75">
      <c r="A89" s="188" t="s">
        <v>14</v>
      </c>
      <c r="B89" s="193">
        <f>O89+AB89+AO89+BB89+BO89+CB89+CO89+DB89+DO89</f>
        <v>0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9"/>
      <c r="O89" s="195">
        <f>SUM(C89:N89)</f>
        <v>0</v>
      </c>
      <c r="P89" s="199"/>
      <c r="Q89" s="199"/>
      <c r="R89" s="199"/>
      <c r="S89" s="199"/>
      <c r="T89" s="199"/>
      <c r="U89" s="199"/>
      <c r="V89" s="199"/>
      <c r="W89" s="199"/>
      <c r="X89" s="194">
        <f>$B93-X88</f>
        <v>0</v>
      </c>
      <c r="Y89" s="194">
        <f>$B93-Y88</f>
        <v>0</v>
      </c>
      <c r="Z89" s="194">
        <f>$B93-Z88</f>
        <v>0</v>
      </c>
      <c r="AA89" s="194">
        <f>$B93-AA88</f>
        <v>0</v>
      </c>
      <c r="AB89" s="195">
        <f>SUM(P89:AA89)</f>
        <v>0</v>
      </c>
      <c r="AC89" s="194">
        <f aca="true" t="shared" si="231" ref="AC89:AN89">$B93-AC88</f>
        <v>0</v>
      </c>
      <c r="AD89" s="194">
        <f t="shared" si="231"/>
        <v>0</v>
      </c>
      <c r="AE89" s="194">
        <f t="shared" si="231"/>
        <v>0</v>
      </c>
      <c r="AF89" s="194">
        <f t="shared" si="231"/>
        <v>0</v>
      </c>
      <c r="AG89" s="194">
        <f t="shared" si="231"/>
        <v>0</v>
      </c>
      <c r="AH89" s="194">
        <f t="shared" si="231"/>
        <v>0</v>
      </c>
      <c r="AI89" s="194">
        <f t="shared" si="231"/>
        <v>0</v>
      </c>
      <c r="AJ89" s="194">
        <f t="shared" si="231"/>
        <v>0</v>
      </c>
      <c r="AK89" s="194">
        <f t="shared" si="231"/>
        <v>0</v>
      </c>
      <c r="AL89" s="194">
        <f t="shared" si="231"/>
        <v>0</v>
      </c>
      <c r="AM89" s="194">
        <f t="shared" si="231"/>
        <v>0</v>
      </c>
      <c r="AN89" s="194">
        <f t="shared" si="231"/>
        <v>0</v>
      </c>
      <c r="AO89" s="195">
        <f>SUM(AC89:AN89)</f>
        <v>0</v>
      </c>
      <c r="AP89" s="194">
        <f aca="true" t="shared" si="232" ref="AP89:BA89">$B93-AP88</f>
        <v>0</v>
      </c>
      <c r="AQ89" s="194">
        <f t="shared" si="232"/>
        <v>0</v>
      </c>
      <c r="AR89" s="194">
        <f t="shared" si="232"/>
        <v>0</v>
      </c>
      <c r="AS89" s="194">
        <f t="shared" si="232"/>
        <v>0</v>
      </c>
      <c r="AT89" s="194">
        <f t="shared" si="232"/>
        <v>0</v>
      </c>
      <c r="AU89" s="194">
        <f t="shared" si="232"/>
        <v>0</v>
      </c>
      <c r="AV89" s="194">
        <f t="shared" si="232"/>
        <v>0</v>
      </c>
      <c r="AW89" s="194">
        <f t="shared" si="232"/>
        <v>0</v>
      </c>
      <c r="AX89" s="194">
        <f t="shared" si="232"/>
        <v>0</v>
      </c>
      <c r="AY89" s="194">
        <f t="shared" si="232"/>
        <v>0</v>
      </c>
      <c r="AZ89" s="194">
        <f t="shared" si="232"/>
        <v>0</v>
      </c>
      <c r="BA89" s="194">
        <f t="shared" si="232"/>
        <v>0</v>
      </c>
      <c r="BB89" s="195">
        <f>SUM(AP89:BA89)</f>
        <v>0</v>
      </c>
      <c r="BC89" s="194">
        <f aca="true" t="shared" si="233" ref="BC89:BN89">$B93-BC88</f>
        <v>0</v>
      </c>
      <c r="BD89" s="194">
        <f t="shared" si="233"/>
        <v>0</v>
      </c>
      <c r="BE89" s="194">
        <f t="shared" si="233"/>
        <v>0</v>
      </c>
      <c r="BF89" s="194">
        <f t="shared" si="233"/>
        <v>0</v>
      </c>
      <c r="BG89" s="194">
        <f t="shared" si="233"/>
        <v>0</v>
      </c>
      <c r="BH89" s="194">
        <f t="shared" si="233"/>
        <v>0</v>
      </c>
      <c r="BI89" s="194">
        <f t="shared" si="233"/>
        <v>0</v>
      </c>
      <c r="BJ89" s="194">
        <f t="shared" si="233"/>
        <v>0</v>
      </c>
      <c r="BK89" s="194">
        <f t="shared" si="233"/>
        <v>0</v>
      </c>
      <c r="BL89" s="194">
        <f t="shared" si="233"/>
        <v>0</v>
      </c>
      <c r="BM89" s="194">
        <f t="shared" si="233"/>
        <v>0</v>
      </c>
      <c r="BN89" s="194">
        <f t="shared" si="233"/>
        <v>0</v>
      </c>
      <c r="BO89" s="195">
        <f>SUM(BC89:BN89)</f>
        <v>0</v>
      </c>
      <c r="BP89" s="194">
        <f aca="true" t="shared" si="234" ref="BP89:CA89">$B93-BP88</f>
        <v>0</v>
      </c>
      <c r="BQ89" s="194">
        <f t="shared" si="234"/>
        <v>0</v>
      </c>
      <c r="BR89" s="194">
        <f t="shared" si="234"/>
        <v>0</v>
      </c>
      <c r="BS89" s="194">
        <f t="shared" si="234"/>
        <v>0</v>
      </c>
      <c r="BT89" s="194">
        <f t="shared" si="234"/>
        <v>0</v>
      </c>
      <c r="BU89" s="194">
        <f t="shared" si="234"/>
        <v>0</v>
      </c>
      <c r="BV89" s="194">
        <f t="shared" si="234"/>
        <v>0</v>
      </c>
      <c r="BW89" s="194">
        <f t="shared" si="234"/>
        <v>0</v>
      </c>
      <c r="BX89" s="194">
        <f t="shared" si="234"/>
        <v>0</v>
      </c>
      <c r="BY89" s="194">
        <f t="shared" si="234"/>
        <v>0</v>
      </c>
      <c r="BZ89" s="194">
        <f t="shared" si="234"/>
        <v>0</v>
      </c>
      <c r="CA89" s="194">
        <f t="shared" si="234"/>
        <v>0</v>
      </c>
      <c r="CB89" s="195">
        <f>SUM(BP89:CA89)</f>
        <v>0</v>
      </c>
      <c r="CC89" s="194">
        <f aca="true" t="shared" si="235" ref="CC89:CN89">$B93-CC88</f>
        <v>0</v>
      </c>
      <c r="CD89" s="194">
        <f t="shared" si="235"/>
        <v>0</v>
      </c>
      <c r="CE89" s="194">
        <f t="shared" si="235"/>
        <v>0</v>
      </c>
      <c r="CF89" s="194">
        <f t="shared" si="235"/>
        <v>0</v>
      </c>
      <c r="CG89" s="194">
        <f t="shared" si="235"/>
        <v>0</v>
      </c>
      <c r="CH89" s="194">
        <f t="shared" si="235"/>
        <v>0</v>
      </c>
      <c r="CI89" s="194">
        <f t="shared" si="235"/>
        <v>0</v>
      </c>
      <c r="CJ89" s="194">
        <f t="shared" si="235"/>
        <v>0</v>
      </c>
      <c r="CK89" s="194">
        <f t="shared" si="235"/>
        <v>0</v>
      </c>
      <c r="CL89" s="194">
        <f t="shared" si="235"/>
        <v>0</v>
      </c>
      <c r="CM89" s="194">
        <f t="shared" si="235"/>
        <v>0</v>
      </c>
      <c r="CN89" s="194">
        <f t="shared" si="235"/>
        <v>0</v>
      </c>
      <c r="CO89" s="195">
        <f>SUM(CC89:CN89)</f>
        <v>0</v>
      </c>
      <c r="CP89" s="194">
        <f aca="true" t="shared" si="236" ref="CP89:CZ89">$B93-CP88</f>
        <v>0</v>
      </c>
      <c r="CQ89" s="194">
        <f t="shared" si="236"/>
        <v>0</v>
      </c>
      <c r="CR89" s="194">
        <f t="shared" si="236"/>
        <v>0</v>
      </c>
      <c r="CS89" s="194">
        <f t="shared" si="236"/>
        <v>0</v>
      </c>
      <c r="CT89" s="194">
        <f t="shared" si="236"/>
        <v>0</v>
      </c>
      <c r="CU89" s="194">
        <f t="shared" si="236"/>
        <v>0</v>
      </c>
      <c r="CV89" s="194">
        <f t="shared" si="236"/>
        <v>0</v>
      </c>
      <c r="CW89" s="194">
        <f t="shared" si="236"/>
        <v>0</v>
      </c>
      <c r="CX89" s="194">
        <f t="shared" si="236"/>
        <v>0</v>
      </c>
      <c r="CY89" s="194">
        <f t="shared" si="236"/>
        <v>0</v>
      </c>
      <c r="CZ89" s="194">
        <f t="shared" si="236"/>
        <v>0</v>
      </c>
      <c r="DA89" s="194"/>
      <c r="DB89" s="195">
        <f>SUM(CP89:DA89)</f>
        <v>0</v>
      </c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5">
        <f>SUM(DC89:DN89)</f>
        <v>0</v>
      </c>
    </row>
    <row r="90" spans="1:119" ht="12.75">
      <c r="A90" s="188" t="s">
        <v>15</v>
      </c>
      <c r="B90" s="193">
        <f>O90+AB90+AO90+BB90+BO90+CB90+CO90+DB90+DO90</f>
        <v>0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9"/>
      <c r="O90" s="195">
        <f>SUM(C90:N90)</f>
        <v>0</v>
      </c>
      <c r="P90" s="199"/>
      <c r="Q90" s="199"/>
      <c r="R90" s="199"/>
      <c r="S90" s="199"/>
      <c r="T90" s="199"/>
      <c r="U90" s="199"/>
      <c r="V90" s="199"/>
      <c r="W90" s="199"/>
      <c r="X90" s="194">
        <f>X88</f>
        <v>0</v>
      </c>
      <c r="Y90" s="194">
        <f>Y88</f>
        <v>0</v>
      </c>
      <c r="Z90" s="194">
        <f>Z88</f>
        <v>0</v>
      </c>
      <c r="AA90" s="194">
        <f>AA88</f>
        <v>0</v>
      </c>
      <c r="AB90" s="195">
        <f>SUM(P90:AA90)</f>
        <v>0</v>
      </c>
      <c r="AC90" s="194">
        <f aca="true" t="shared" si="237" ref="AC90:AK90">AC88</f>
        <v>0</v>
      </c>
      <c r="AD90" s="194">
        <f t="shared" si="237"/>
        <v>0</v>
      </c>
      <c r="AE90" s="194">
        <f t="shared" si="237"/>
        <v>0</v>
      </c>
      <c r="AF90" s="194">
        <f t="shared" si="237"/>
        <v>0</v>
      </c>
      <c r="AG90" s="194">
        <f t="shared" si="237"/>
        <v>0</v>
      </c>
      <c r="AH90" s="194">
        <f t="shared" si="237"/>
        <v>0</v>
      </c>
      <c r="AI90" s="194">
        <f t="shared" si="237"/>
        <v>0</v>
      </c>
      <c r="AJ90" s="194">
        <f t="shared" si="237"/>
        <v>0</v>
      </c>
      <c r="AK90" s="194">
        <f t="shared" si="237"/>
        <v>0</v>
      </c>
      <c r="AL90" s="194">
        <f>AL88</f>
        <v>0</v>
      </c>
      <c r="AM90" s="194">
        <f>AM88</f>
        <v>0</v>
      </c>
      <c r="AN90" s="194">
        <f>AN88</f>
        <v>0</v>
      </c>
      <c r="AO90" s="195">
        <f>SUM(AC90:AN90)</f>
        <v>0</v>
      </c>
      <c r="AP90" s="194">
        <f aca="true" t="shared" si="238" ref="AP90:BA90">AP88</f>
        <v>0</v>
      </c>
      <c r="AQ90" s="194">
        <f t="shared" si="238"/>
        <v>0</v>
      </c>
      <c r="AR90" s="194">
        <f t="shared" si="238"/>
        <v>0</v>
      </c>
      <c r="AS90" s="194">
        <f t="shared" si="238"/>
        <v>0</v>
      </c>
      <c r="AT90" s="194">
        <f t="shared" si="238"/>
        <v>0</v>
      </c>
      <c r="AU90" s="194">
        <f t="shared" si="238"/>
        <v>0</v>
      </c>
      <c r="AV90" s="194">
        <f t="shared" si="238"/>
        <v>0</v>
      </c>
      <c r="AW90" s="194">
        <f t="shared" si="238"/>
        <v>0</v>
      </c>
      <c r="AX90" s="194">
        <f t="shared" si="238"/>
        <v>0</v>
      </c>
      <c r="AY90" s="194">
        <f t="shared" si="238"/>
        <v>0</v>
      </c>
      <c r="AZ90" s="194">
        <f t="shared" si="238"/>
        <v>0</v>
      </c>
      <c r="BA90" s="194">
        <f t="shared" si="238"/>
        <v>0</v>
      </c>
      <c r="BB90" s="195">
        <f>SUM(AP90:BA90)</f>
        <v>0</v>
      </c>
      <c r="BC90" s="194">
        <f aca="true" t="shared" si="239" ref="BC90:BN90">BC88</f>
        <v>0</v>
      </c>
      <c r="BD90" s="194">
        <f t="shared" si="239"/>
        <v>0</v>
      </c>
      <c r="BE90" s="194">
        <f t="shared" si="239"/>
        <v>0</v>
      </c>
      <c r="BF90" s="194">
        <f t="shared" si="239"/>
        <v>0</v>
      </c>
      <c r="BG90" s="194">
        <f t="shared" si="239"/>
        <v>0</v>
      </c>
      <c r="BH90" s="194">
        <f t="shared" si="239"/>
        <v>0</v>
      </c>
      <c r="BI90" s="194">
        <f t="shared" si="239"/>
        <v>0</v>
      </c>
      <c r="BJ90" s="194">
        <f t="shared" si="239"/>
        <v>0</v>
      </c>
      <c r="BK90" s="194">
        <f t="shared" si="239"/>
        <v>0</v>
      </c>
      <c r="BL90" s="194">
        <f t="shared" si="239"/>
        <v>0</v>
      </c>
      <c r="BM90" s="194">
        <f t="shared" si="239"/>
        <v>0</v>
      </c>
      <c r="BN90" s="194">
        <f t="shared" si="239"/>
        <v>0</v>
      </c>
      <c r="BO90" s="195">
        <f>SUM(BC90:BN90)</f>
        <v>0</v>
      </c>
      <c r="BP90" s="194">
        <f aca="true" t="shared" si="240" ref="BP90:CA90">BP88</f>
        <v>0</v>
      </c>
      <c r="BQ90" s="194">
        <f t="shared" si="240"/>
        <v>0</v>
      </c>
      <c r="BR90" s="194">
        <f t="shared" si="240"/>
        <v>0</v>
      </c>
      <c r="BS90" s="194">
        <f t="shared" si="240"/>
        <v>0</v>
      </c>
      <c r="BT90" s="194">
        <f t="shared" si="240"/>
        <v>0</v>
      </c>
      <c r="BU90" s="194">
        <f t="shared" si="240"/>
        <v>0</v>
      </c>
      <c r="BV90" s="194">
        <f t="shared" si="240"/>
        <v>0</v>
      </c>
      <c r="BW90" s="194">
        <f t="shared" si="240"/>
        <v>0</v>
      </c>
      <c r="BX90" s="194">
        <f t="shared" si="240"/>
        <v>0</v>
      </c>
      <c r="BY90" s="194">
        <f t="shared" si="240"/>
        <v>0</v>
      </c>
      <c r="BZ90" s="194">
        <f t="shared" si="240"/>
        <v>0</v>
      </c>
      <c r="CA90" s="194">
        <f t="shared" si="240"/>
        <v>0</v>
      </c>
      <c r="CB90" s="195">
        <f>SUM(BP90:CA90)</f>
        <v>0</v>
      </c>
      <c r="CC90" s="194">
        <f aca="true" t="shared" si="241" ref="CC90:CN90">CC88</f>
        <v>0</v>
      </c>
      <c r="CD90" s="194">
        <f t="shared" si="241"/>
        <v>0</v>
      </c>
      <c r="CE90" s="194">
        <f t="shared" si="241"/>
        <v>0</v>
      </c>
      <c r="CF90" s="194">
        <f t="shared" si="241"/>
        <v>0</v>
      </c>
      <c r="CG90" s="194">
        <f t="shared" si="241"/>
        <v>0</v>
      </c>
      <c r="CH90" s="194">
        <f t="shared" si="241"/>
        <v>0</v>
      </c>
      <c r="CI90" s="194">
        <f t="shared" si="241"/>
        <v>0</v>
      </c>
      <c r="CJ90" s="194">
        <f t="shared" si="241"/>
        <v>0</v>
      </c>
      <c r="CK90" s="194">
        <f t="shared" si="241"/>
        <v>0</v>
      </c>
      <c r="CL90" s="194">
        <f t="shared" si="241"/>
        <v>0</v>
      </c>
      <c r="CM90" s="194">
        <f t="shared" si="241"/>
        <v>0</v>
      </c>
      <c r="CN90" s="194">
        <f t="shared" si="241"/>
        <v>0</v>
      </c>
      <c r="CO90" s="195">
        <f>SUM(CC90:CN90)</f>
        <v>0</v>
      </c>
      <c r="CP90" s="194">
        <f aca="true" t="shared" si="242" ref="CP90:DA90">CP88</f>
        <v>0</v>
      </c>
      <c r="CQ90" s="194">
        <f t="shared" si="242"/>
        <v>0</v>
      </c>
      <c r="CR90" s="194">
        <f t="shared" si="242"/>
        <v>0</v>
      </c>
      <c r="CS90" s="194">
        <f t="shared" si="242"/>
        <v>0</v>
      </c>
      <c r="CT90" s="194">
        <f t="shared" si="242"/>
        <v>0</v>
      </c>
      <c r="CU90" s="194">
        <f t="shared" si="242"/>
        <v>0</v>
      </c>
      <c r="CV90" s="194">
        <f t="shared" si="242"/>
        <v>0</v>
      </c>
      <c r="CW90" s="194">
        <f t="shared" si="242"/>
        <v>0</v>
      </c>
      <c r="CX90" s="194">
        <f t="shared" si="242"/>
        <v>0</v>
      </c>
      <c r="CY90" s="194">
        <f t="shared" si="242"/>
        <v>0</v>
      </c>
      <c r="CZ90" s="194">
        <f t="shared" si="242"/>
        <v>0</v>
      </c>
      <c r="DA90" s="194">
        <f t="shared" si="242"/>
        <v>0</v>
      </c>
      <c r="DB90" s="195">
        <f>SUM(CP90:DA90)</f>
        <v>0</v>
      </c>
      <c r="DC90" s="194">
        <f aca="true" t="shared" si="243" ref="DC90:DN90">DC88</f>
        <v>0</v>
      </c>
      <c r="DD90" s="194">
        <f t="shared" si="243"/>
        <v>0</v>
      </c>
      <c r="DE90" s="194">
        <f t="shared" si="243"/>
        <v>0</v>
      </c>
      <c r="DF90" s="194">
        <f t="shared" si="243"/>
        <v>0</v>
      </c>
      <c r="DG90" s="194">
        <f t="shared" si="243"/>
        <v>0</v>
      </c>
      <c r="DH90" s="194">
        <f t="shared" si="243"/>
        <v>0</v>
      </c>
      <c r="DI90" s="194">
        <f t="shared" si="243"/>
        <v>0</v>
      </c>
      <c r="DJ90" s="194">
        <f t="shared" si="243"/>
        <v>0</v>
      </c>
      <c r="DK90" s="194">
        <f t="shared" si="243"/>
        <v>0</v>
      </c>
      <c r="DL90" s="194">
        <f t="shared" si="243"/>
        <v>0</v>
      </c>
      <c r="DM90" s="194">
        <f t="shared" si="243"/>
        <v>0</v>
      </c>
      <c r="DN90" s="194">
        <f t="shared" si="243"/>
        <v>0</v>
      </c>
      <c r="DO90" s="195">
        <f>SUM(DC90:DN90)</f>
        <v>0</v>
      </c>
    </row>
    <row r="91" spans="1:119" ht="12.75">
      <c r="A91" s="188" t="s">
        <v>16</v>
      </c>
      <c r="B91" s="193">
        <f>DO91</f>
        <v>0</v>
      </c>
      <c r="C91" s="194">
        <f>C86</f>
        <v>0</v>
      </c>
      <c r="D91" s="194">
        <f aca="true" t="shared" si="244" ref="D91:N91">C91+D86-D89+D87</f>
        <v>0</v>
      </c>
      <c r="E91" s="194">
        <f t="shared" si="244"/>
        <v>0</v>
      </c>
      <c r="F91" s="194">
        <f t="shared" si="244"/>
        <v>0</v>
      </c>
      <c r="G91" s="194">
        <f t="shared" si="244"/>
        <v>0</v>
      </c>
      <c r="H91" s="194">
        <f t="shared" si="244"/>
        <v>0</v>
      </c>
      <c r="I91" s="194">
        <f t="shared" si="244"/>
        <v>0</v>
      </c>
      <c r="J91" s="194">
        <f t="shared" si="244"/>
        <v>0</v>
      </c>
      <c r="K91" s="194">
        <f t="shared" si="244"/>
        <v>0</v>
      </c>
      <c r="L91" s="194">
        <f t="shared" si="244"/>
        <v>0</v>
      </c>
      <c r="M91" s="194">
        <f t="shared" si="244"/>
        <v>0</v>
      </c>
      <c r="N91" s="194">
        <f t="shared" si="244"/>
        <v>0</v>
      </c>
      <c r="O91" s="195">
        <f>N91</f>
        <v>0</v>
      </c>
      <c r="P91" s="194">
        <f aca="true" t="shared" si="245" ref="P91:AA91">O91+P86-P89+P87</f>
        <v>0</v>
      </c>
      <c r="Q91" s="194">
        <f t="shared" si="245"/>
        <v>0</v>
      </c>
      <c r="R91" s="194">
        <f t="shared" si="245"/>
        <v>0</v>
      </c>
      <c r="S91" s="194">
        <f t="shared" si="245"/>
        <v>0</v>
      </c>
      <c r="T91" s="194">
        <f t="shared" si="245"/>
        <v>0</v>
      </c>
      <c r="U91" s="194">
        <f t="shared" si="245"/>
        <v>0</v>
      </c>
      <c r="V91" s="194">
        <f t="shared" si="245"/>
        <v>0</v>
      </c>
      <c r="W91" s="194">
        <f t="shared" si="245"/>
        <v>0</v>
      </c>
      <c r="X91" s="194">
        <f t="shared" si="245"/>
        <v>0</v>
      </c>
      <c r="Y91" s="194">
        <f t="shared" si="245"/>
        <v>0</v>
      </c>
      <c r="Z91" s="194">
        <f t="shared" si="245"/>
        <v>0</v>
      </c>
      <c r="AA91" s="194">
        <f t="shared" si="245"/>
        <v>0</v>
      </c>
      <c r="AB91" s="195">
        <f>AA91</f>
        <v>0</v>
      </c>
      <c r="AC91" s="194">
        <f aca="true" t="shared" si="246" ref="AC91:AN91">AB91+AC86-AC89+AC87</f>
        <v>0</v>
      </c>
      <c r="AD91" s="194">
        <f t="shared" si="246"/>
        <v>0</v>
      </c>
      <c r="AE91" s="194">
        <f t="shared" si="246"/>
        <v>0</v>
      </c>
      <c r="AF91" s="194">
        <f t="shared" si="246"/>
        <v>0</v>
      </c>
      <c r="AG91" s="194">
        <f t="shared" si="246"/>
        <v>0</v>
      </c>
      <c r="AH91" s="194">
        <f t="shared" si="246"/>
        <v>0</v>
      </c>
      <c r="AI91" s="194">
        <f t="shared" si="246"/>
        <v>0</v>
      </c>
      <c r="AJ91" s="194">
        <f t="shared" si="246"/>
        <v>0</v>
      </c>
      <c r="AK91" s="194">
        <f t="shared" si="246"/>
        <v>0</v>
      </c>
      <c r="AL91" s="194">
        <f t="shared" si="246"/>
        <v>0</v>
      </c>
      <c r="AM91" s="194">
        <f t="shared" si="246"/>
        <v>0</v>
      </c>
      <c r="AN91" s="194">
        <f t="shared" si="246"/>
        <v>0</v>
      </c>
      <c r="AO91" s="195">
        <f>AN91</f>
        <v>0</v>
      </c>
      <c r="AP91" s="194">
        <f aca="true" t="shared" si="247" ref="AP91:BA91">AO91+AP86-AP89+AP87</f>
        <v>0</v>
      </c>
      <c r="AQ91" s="194">
        <f t="shared" si="247"/>
        <v>0</v>
      </c>
      <c r="AR91" s="194">
        <f t="shared" si="247"/>
        <v>0</v>
      </c>
      <c r="AS91" s="194">
        <f t="shared" si="247"/>
        <v>0</v>
      </c>
      <c r="AT91" s="194">
        <f t="shared" si="247"/>
        <v>0</v>
      </c>
      <c r="AU91" s="194">
        <f t="shared" si="247"/>
        <v>0</v>
      </c>
      <c r="AV91" s="194">
        <f t="shared" si="247"/>
        <v>0</v>
      </c>
      <c r="AW91" s="194">
        <f t="shared" si="247"/>
        <v>0</v>
      </c>
      <c r="AX91" s="194">
        <f t="shared" si="247"/>
        <v>0</v>
      </c>
      <c r="AY91" s="194">
        <f t="shared" si="247"/>
        <v>0</v>
      </c>
      <c r="AZ91" s="194">
        <f t="shared" si="247"/>
        <v>0</v>
      </c>
      <c r="BA91" s="194">
        <f t="shared" si="247"/>
        <v>0</v>
      </c>
      <c r="BB91" s="195">
        <f>BA91</f>
        <v>0</v>
      </c>
      <c r="BC91" s="194">
        <f aca="true" t="shared" si="248" ref="BC91:BN91">BB91+BC86-BC89+BC87</f>
        <v>0</v>
      </c>
      <c r="BD91" s="194">
        <f t="shared" si="248"/>
        <v>0</v>
      </c>
      <c r="BE91" s="194">
        <f t="shared" si="248"/>
        <v>0</v>
      </c>
      <c r="BF91" s="194">
        <f t="shared" si="248"/>
        <v>0</v>
      </c>
      <c r="BG91" s="194">
        <f t="shared" si="248"/>
        <v>0</v>
      </c>
      <c r="BH91" s="194">
        <f t="shared" si="248"/>
        <v>0</v>
      </c>
      <c r="BI91" s="194">
        <f t="shared" si="248"/>
        <v>0</v>
      </c>
      <c r="BJ91" s="194">
        <f t="shared" si="248"/>
        <v>0</v>
      </c>
      <c r="BK91" s="194">
        <f t="shared" si="248"/>
        <v>0</v>
      </c>
      <c r="BL91" s="194">
        <f t="shared" si="248"/>
        <v>0</v>
      </c>
      <c r="BM91" s="194">
        <f t="shared" si="248"/>
        <v>0</v>
      </c>
      <c r="BN91" s="194">
        <f t="shared" si="248"/>
        <v>0</v>
      </c>
      <c r="BO91" s="195">
        <f>BN91</f>
        <v>0</v>
      </c>
      <c r="BP91" s="194">
        <f aca="true" t="shared" si="249" ref="BP91:CA91">BO91+BP86-BP89+BP87</f>
        <v>0</v>
      </c>
      <c r="BQ91" s="194">
        <f t="shared" si="249"/>
        <v>0</v>
      </c>
      <c r="BR91" s="194">
        <f t="shared" si="249"/>
        <v>0</v>
      </c>
      <c r="BS91" s="194">
        <f t="shared" si="249"/>
        <v>0</v>
      </c>
      <c r="BT91" s="194">
        <f t="shared" si="249"/>
        <v>0</v>
      </c>
      <c r="BU91" s="194">
        <f t="shared" si="249"/>
        <v>0</v>
      </c>
      <c r="BV91" s="194">
        <f t="shared" si="249"/>
        <v>0</v>
      </c>
      <c r="BW91" s="194">
        <f t="shared" si="249"/>
        <v>0</v>
      </c>
      <c r="BX91" s="194">
        <f t="shared" si="249"/>
        <v>0</v>
      </c>
      <c r="BY91" s="194">
        <f t="shared" si="249"/>
        <v>0</v>
      </c>
      <c r="BZ91" s="194">
        <f t="shared" si="249"/>
        <v>0</v>
      </c>
      <c r="CA91" s="194">
        <f t="shared" si="249"/>
        <v>0</v>
      </c>
      <c r="CB91" s="195">
        <f>CA91</f>
        <v>0</v>
      </c>
      <c r="CC91" s="194">
        <f aca="true" t="shared" si="250" ref="CC91:CN91">CB91+CC86-CC89+CC87</f>
        <v>0</v>
      </c>
      <c r="CD91" s="194">
        <f t="shared" si="250"/>
        <v>0</v>
      </c>
      <c r="CE91" s="194">
        <f t="shared" si="250"/>
        <v>0</v>
      </c>
      <c r="CF91" s="194">
        <f t="shared" si="250"/>
        <v>0</v>
      </c>
      <c r="CG91" s="194">
        <f t="shared" si="250"/>
        <v>0</v>
      </c>
      <c r="CH91" s="194">
        <f t="shared" si="250"/>
        <v>0</v>
      </c>
      <c r="CI91" s="194">
        <f t="shared" si="250"/>
        <v>0</v>
      </c>
      <c r="CJ91" s="194">
        <f t="shared" si="250"/>
        <v>0</v>
      </c>
      <c r="CK91" s="194">
        <f t="shared" si="250"/>
        <v>0</v>
      </c>
      <c r="CL91" s="194">
        <f t="shared" si="250"/>
        <v>0</v>
      </c>
      <c r="CM91" s="194">
        <f t="shared" si="250"/>
        <v>0</v>
      </c>
      <c r="CN91" s="194">
        <f t="shared" si="250"/>
        <v>0</v>
      </c>
      <c r="CO91" s="195">
        <f>CN91</f>
        <v>0</v>
      </c>
      <c r="CP91" s="194">
        <f aca="true" t="shared" si="251" ref="CP91:DA91">CO91+CP86-CP89+CP87</f>
        <v>0</v>
      </c>
      <c r="CQ91" s="194">
        <f t="shared" si="251"/>
        <v>0</v>
      </c>
      <c r="CR91" s="194">
        <f t="shared" si="251"/>
        <v>0</v>
      </c>
      <c r="CS91" s="194">
        <f t="shared" si="251"/>
        <v>0</v>
      </c>
      <c r="CT91" s="194">
        <f t="shared" si="251"/>
        <v>0</v>
      </c>
      <c r="CU91" s="194">
        <f t="shared" si="251"/>
        <v>0</v>
      </c>
      <c r="CV91" s="194">
        <f t="shared" si="251"/>
        <v>0</v>
      </c>
      <c r="CW91" s="194">
        <f t="shared" si="251"/>
        <v>0</v>
      </c>
      <c r="CX91" s="194">
        <f t="shared" si="251"/>
        <v>0</v>
      </c>
      <c r="CY91" s="194">
        <f t="shared" si="251"/>
        <v>0</v>
      </c>
      <c r="CZ91" s="194">
        <f t="shared" si="251"/>
        <v>0</v>
      </c>
      <c r="DA91" s="194">
        <f t="shared" si="251"/>
        <v>0</v>
      </c>
      <c r="DB91" s="195">
        <f>DA91</f>
        <v>0</v>
      </c>
      <c r="DC91" s="194">
        <f aca="true" t="shared" si="252" ref="DC91:DN91">DB91+DC86-DC89+DC87</f>
        <v>0</v>
      </c>
      <c r="DD91" s="194">
        <f t="shared" si="252"/>
        <v>0</v>
      </c>
      <c r="DE91" s="194">
        <f t="shared" si="252"/>
        <v>0</v>
      </c>
      <c r="DF91" s="194">
        <f t="shared" si="252"/>
        <v>0</v>
      </c>
      <c r="DG91" s="194">
        <f t="shared" si="252"/>
        <v>0</v>
      </c>
      <c r="DH91" s="194">
        <f t="shared" si="252"/>
        <v>0</v>
      </c>
      <c r="DI91" s="194">
        <f t="shared" si="252"/>
        <v>0</v>
      </c>
      <c r="DJ91" s="194">
        <f t="shared" si="252"/>
        <v>0</v>
      </c>
      <c r="DK91" s="194">
        <f t="shared" si="252"/>
        <v>0</v>
      </c>
      <c r="DL91" s="194">
        <f t="shared" si="252"/>
        <v>0</v>
      </c>
      <c r="DM91" s="194">
        <f t="shared" si="252"/>
        <v>0</v>
      </c>
      <c r="DN91" s="194">
        <f t="shared" si="252"/>
        <v>0</v>
      </c>
      <c r="DO91" s="195">
        <f>DN91</f>
        <v>0</v>
      </c>
    </row>
    <row r="92" spans="1:119" ht="12.75">
      <c r="A92" s="177" t="s">
        <v>78</v>
      </c>
      <c r="B92" s="282">
        <f>Исх!$C$37*12-Исх!$C$38</f>
        <v>75</v>
      </c>
      <c r="CP92" s="180"/>
      <c r="DB92" s="177"/>
      <c r="DO92" s="177"/>
    </row>
    <row r="93" spans="1:119" ht="12.75">
      <c r="A93" s="285" t="s">
        <v>247</v>
      </c>
      <c r="B93" s="286">
        <f>$W$91*$B$20/12/((1-(1+$B$20/12)^-$B92))</f>
        <v>0</v>
      </c>
      <c r="DB93" s="177"/>
      <c r="DO93" s="177"/>
    </row>
    <row r="94" spans="1:119" ht="7.5" customHeight="1">
      <c r="A94" s="283"/>
      <c r="B94" s="280"/>
      <c r="DB94" s="177"/>
      <c r="DO94" s="177"/>
    </row>
    <row r="95" spans="1:119" ht="12.75">
      <c r="A95" s="268" t="s">
        <v>238</v>
      </c>
      <c r="DB95" s="177"/>
      <c r="DO95" s="177"/>
    </row>
    <row r="96" spans="1:119" ht="12.75" hidden="1" outlineLevel="1">
      <c r="A96" s="269">
        <f>B86+B87-B89</f>
        <v>0</v>
      </c>
      <c r="DB96" s="177"/>
      <c r="DO96" s="177"/>
    </row>
    <row r="97" spans="1:119" ht="12.75" hidden="1" outlineLevel="1">
      <c r="A97" s="269">
        <f>B88-B87-B90</f>
        <v>0</v>
      </c>
      <c r="DB97" s="177"/>
      <c r="DO97" s="177"/>
    </row>
    <row r="98" ht="12.75" collapsed="1"/>
  </sheetData>
  <sheetProtection/>
  <mergeCells count="54"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36:O36"/>
    <mergeCell ref="P36:AB36"/>
    <mergeCell ref="AC36:AO36"/>
    <mergeCell ref="AP36:BB36"/>
    <mergeCell ref="BC36:BO36"/>
    <mergeCell ref="BP36:CB36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26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9" sqref="P9"/>
    </sheetView>
  </sheetViews>
  <sheetFormatPr defaultColWidth="8.875" defaultRowHeight="12.75" outlineLevelRow="1" outlineLevelCol="1"/>
  <cols>
    <col min="1" max="1" width="36.125" style="78" customWidth="1"/>
    <col min="2" max="2" width="8.75390625" style="78" customWidth="1"/>
    <col min="3" max="3" width="8.00390625" style="78" customWidth="1"/>
    <col min="4" max="4" width="10.00390625" style="78" customWidth="1"/>
    <col min="5" max="11" width="4.75390625" style="78" customWidth="1" outlineLevel="1"/>
    <col min="12" max="12" width="6.625" style="78" bestFit="1" customWidth="1" outlineLevel="1"/>
    <col min="13" max="13" width="6.375" style="78" customWidth="1" outlineLevel="1"/>
    <col min="14" max="16" width="7.625" style="78" bestFit="1" customWidth="1" outlineLevel="1"/>
    <col min="17" max="17" width="10.125" style="78" customWidth="1"/>
    <col min="18" max="18" width="9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252</v>
      </c>
      <c r="B2" s="173"/>
      <c r="Q2" s="147"/>
      <c r="R2" s="201"/>
      <c r="S2" s="171"/>
    </row>
    <row r="3" spans="1:19" ht="17.25" customHeight="1">
      <c r="A3" s="361" t="s">
        <v>184</v>
      </c>
      <c r="B3" s="362" t="s">
        <v>154</v>
      </c>
      <c r="C3" s="362" t="s">
        <v>155</v>
      </c>
      <c r="D3" s="363" t="s">
        <v>188</v>
      </c>
      <c r="E3" s="317">
        <v>2013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  <c r="Q3" s="91" t="s">
        <v>0</v>
      </c>
      <c r="R3" s="201"/>
      <c r="S3" s="202"/>
    </row>
    <row r="4" spans="1:17" ht="12.75">
      <c r="A4" s="361"/>
      <c r="B4" s="362"/>
      <c r="C4" s="362"/>
      <c r="D4" s="363"/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93">
        <v>2013</v>
      </c>
    </row>
    <row r="5" spans="1:19" s="62" customFormat="1" ht="13.5" customHeight="1">
      <c r="A5" s="204" t="s">
        <v>183</v>
      </c>
      <c r="B5" s="205"/>
      <c r="C5" s="205"/>
      <c r="D5" s="144">
        <f aca="true" t="shared" si="0" ref="D5:Q5">SUM(D6:D7)</f>
        <v>2865.9375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  <c r="O5" s="144">
        <f t="shared" si="0"/>
        <v>2865.9375</v>
      </c>
      <c r="P5" s="144">
        <f t="shared" si="0"/>
        <v>0</v>
      </c>
      <c r="Q5" s="144">
        <f t="shared" si="0"/>
        <v>2865.9375</v>
      </c>
      <c r="S5" s="78"/>
    </row>
    <row r="6" spans="1:17" ht="12.75" outlineLevel="1">
      <c r="A6" s="251" t="s">
        <v>307</v>
      </c>
      <c r="B6" s="243">
        <f>75</f>
        <v>75</v>
      </c>
      <c r="C6" s="243">
        <f>250*Исх!$C$5/1000</f>
        <v>38.2125</v>
      </c>
      <c r="D6" s="154">
        <f>B6*C6</f>
        <v>2865.9375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>
        <f>D6</f>
        <v>2865.9375</v>
      </c>
      <c r="P6" s="154"/>
      <c r="Q6" s="155">
        <f>SUM(E6:P6)</f>
        <v>2865.9375</v>
      </c>
    </row>
    <row r="7" spans="1:17" ht="12.75" outlineLevel="1">
      <c r="A7" s="251"/>
      <c r="B7" s="84"/>
      <c r="C7" s="145"/>
      <c r="D7" s="154">
        <f>B7*C7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>
        <f>SUM(E7:P7)</f>
        <v>0</v>
      </c>
    </row>
    <row r="8" spans="1:17" ht="12.75">
      <c r="A8" s="204" t="s">
        <v>104</v>
      </c>
      <c r="B8" s="205"/>
      <c r="C8" s="205"/>
      <c r="D8" s="144">
        <f aca="true" t="shared" si="1" ref="D8:Q8">SUM(D9:D10)</f>
        <v>586.9468800000001</v>
      </c>
      <c r="E8" s="144">
        <f t="shared" si="1"/>
        <v>0</v>
      </c>
      <c r="F8" s="144">
        <f t="shared" si="1"/>
        <v>0</v>
      </c>
      <c r="G8" s="144">
        <f t="shared" si="1"/>
        <v>0</v>
      </c>
      <c r="H8" s="144">
        <f t="shared" si="1"/>
        <v>0</v>
      </c>
      <c r="I8" s="144">
        <f t="shared" si="1"/>
        <v>0</v>
      </c>
      <c r="J8" s="144">
        <f t="shared" si="1"/>
        <v>0</v>
      </c>
      <c r="K8" s="144">
        <f t="shared" si="1"/>
        <v>0</v>
      </c>
      <c r="L8" s="144">
        <f t="shared" si="1"/>
        <v>0</v>
      </c>
      <c r="M8" s="144">
        <f t="shared" si="1"/>
        <v>0</v>
      </c>
      <c r="N8" s="144">
        <f t="shared" si="1"/>
        <v>0</v>
      </c>
      <c r="O8" s="144">
        <f t="shared" si="1"/>
        <v>0</v>
      </c>
      <c r="P8" s="144">
        <f t="shared" si="1"/>
        <v>586.9468800000001</v>
      </c>
      <c r="Q8" s="144">
        <f t="shared" si="1"/>
        <v>586.9468800000001</v>
      </c>
    </row>
    <row r="9" spans="1:17" ht="12.75" outlineLevel="1">
      <c r="A9" s="251" t="s">
        <v>308</v>
      </c>
      <c r="B9" s="145">
        <v>3</v>
      </c>
      <c r="C9" s="145">
        <f>800/1000*Исх!$C$5*1.1*1.12</f>
        <v>150.64896000000002</v>
      </c>
      <c r="D9" s="154">
        <f>B9*C9</f>
        <v>451.9468800000001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>
        <f>D9</f>
        <v>451.9468800000001</v>
      </c>
      <c r="Q9" s="155">
        <f>SUM(E9:P9)</f>
        <v>451.9468800000001</v>
      </c>
    </row>
    <row r="10" spans="1:17" ht="12.75" outlineLevel="1">
      <c r="A10" s="251" t="s">
        <v>310</v>
      </c>
      <c r="B10" s="145">
        <v>3</v>
      </c>
      <c r="C10" s="145">
        <v>45</v>
      </c>
      <c r="D10" s="154">
        <f>B10*C10</f>
        <v>135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>
        <f>D10</f>
        <v>135</v>
      </c>
      <c r="Q10" s="155">
        <f>SUM(E10:P10)</f>
        <v>135</v>
      </c>
    </row>
    <row r="11" spans="1:17" ht="12.75">
      <c r="A11" s="204" t="s">
        <v>189</v>
      </c>
      <c r="B11" s="205"/>
      <c r="C11" s="205"/>
      <c r="D11" s="144">
        <f aca="true" t="shared" si="2" ref="D11:Q11">SUM(D12:D13)</f>
        <v>800</v>
      </c>
      <c r="E11" s="144">
        <f t="shared" si="2"/>
        <v>0</v>
      </c>
      <c r="F11" s="144">
        <f t="shared" si="2"/>
        <v>0</v>
      </c>
      <c r="G11" s="144">
        <f t="shared" si="2"/>
        <v>0</v>
      </c>
      <c r="H11" s="144">
        <f t="shared" si="2"/>
        <v>0</v>
      </c>
      <c r="I11" s="144">
        <f t="shared" si="2"/>
        <v>0</v>
      </c>
      <c r="J11" s="144">
        <f t="shared" si="2"/>
        <v>0</v>
      </c>
      <c r="K11" s="144">
        <f t="shared" si="2"/>
        <v>0</v>
      </c>
      <c r="L11" s="144">
        <f t="shared" si="2"/>
        <v>0</v>
      </c>
      <c r="M11" s="144">
        <f t="shared" si="2"/>
        <v>0</v>
      </c>
      <c r="N11" s="144">
        <f t="shared" si="2"/>
        <v>0</v>
      </c>
      <c r="O11" s="144">
        <f t="shared" si="2"/>
        <v>0</v>
      </c>
      <c r="P11" s="144">
        <f t="shared" si="2"/>
        <v>800</v>
      </c>
      <c r="Q11" s="144">
        <f t="shared" si="2"/>
        <v>800</v>
      </c>
    </row>
    <row r="12" spans="1:17" ht="12.75" outlineLevel="1">
      <c r="A12" s="277" t="s">
        <v>309</v>
      </c>
      <c r="B12" s="145">
        <v>1</v>
      </c>
      <c r="C12" s="145">
        <v>800</v>
      </c>
      <c r="D12" s="154">
        <f>B12*C12</f>
        <v>800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>
        <f>D12</f>
        <v>800</v>
      </c>
      <c r="Q12" s="155">
        <f>SUM(E12:P12)</f>
        <v>800</v>
      </c>
    </row>
    <row r="13" spans="1:17" ht="12.75" hidden="1" outlineLevel="1">
      <c r="A13" s="277"/>
      <c r="B13" s="145"/>
      <c r="C13" s="145"/>
      <c r="D13" s="154">
        <f>B13*C13</f>
        <v>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>
        <f>SUM(E13:P13)</f>
        <v>0</v>
      </c>
    </row>
    <row r="14" spans="1:17" ht="12.75" collapsed="1">
      <c r="A14" s="141" t="s">
        <v>0</v>
      </c>
      <c r="B14" s="168"/>
      <c r="C14" s="168"/>
      <c r="D14" s="168">
        <f aca="true" t="shared" si="3" ref="D14:Q14">D5+D8+D11</f>
        <v>4252.8843799999995</v>
      </c>
      <c r="E14" s="168">
        <f t="shared" si="3"/>
        <v>0</v>
      </c>
      <c r="F14" s="168">
        <f t="shared" si="3"/>
        <v>0</v>
      </c>
      <c r="G14" s="168">
        <f t="shared" si="3"/>
        <v>0</v>
      </c>
      <c r="H14" s="168">
        <f t="shared" si="3"/>
        <v>0</v>
      </c>
      <c r="I14" s="168">
        <f t="shared" si="3"/>
        <v>0</v>
      </c>
      <c r="J14" s="168">
        <f t="shared" si="3"/>
        <v>0</v>
      </c>
      <c r="K14" s="168">
        <f t="shared" si="3"/>
        <v>0</v>
      </c>
      <c r="L14" s="168">
        <f t="shared" si="3"/>
        <v>0</v>
      </c>
      <c r="M14" s="168">
        <f t="shared" si="3"/>
        <v>0</v>
      </c>
      <c r="N14" s="168">
        <f t="shared" si="3"/>
        <v>0</v>
      </c>
      <c r="O14" s="168">
        <f t="shared" si="3"/>
        <v>2865.9375</v>
      </c>
      <c r="P14" s="168">
        <f t="shared" si="3"/>
        <v>1386.94688</v>
      </c>
      <c r="Q14" s="168">
        <f t="shared" si="3"/>
        <v>4252.8843799999995</v>
      </c>
    </row>
    <row r="15" ht="12.75">
      <c r="D15" s="201">
        <f>D14-Q14</f>
        <v>0</v>
      </c>
    </row>
    <row r="16" spans="2:4" ht="12.75">
      <c r="B16" s="147" t="s">
        <v>59</v>
      </c>
      <c r="C16" s="201" t="s">
        <v>43</v>
      </c>
      <c r="D16" s="206" t="s">
        <v>98</v>
      </c>
    </row>
    <row r="17" spans="1:4" ht="12.75">
      <c r="A17" s="78" t="s">
        <v>108</v>
      </c>
      <c r="B17" s="201">
        <f>D5</f>
        <v>2865.9375</v>
      </c>
      <c r="C17" s="201">
        <f>B17/Исх!$C$19</f>
        <v>2865.9375</v>
      </c>
      <c r="D17" s="169">
        <f>B17/Исх!$C$5</f>
        <v>18.75</v>
      </c>
    </row>
    <row r="18" spans="1:4" ht="12.75">
      <c r="A18" s="78" t="s">
        <v>104</v>
      </c>
      <c r="B18" s="201">
        <f>D8</f>
        <v>586.9468800000001</v>
      </c>
      <c r="C18" s="201">
        <f>B18/Исх!$C$19</f>
        <v>586.9468800000001</v>
      </c>
      <c r="D18" s="169">
        <f>B18/Исх!$C$5</f>
        <v>3.8400188420019634</v>
      </c>
    </row>
    <row r="19" spans="1:12" ht="12.75">
      <c r="A19" s="78" t="s">
        <v>189</v>
      </c>
      <c r="B19" s="201">
        <f>D11</f>
        <v>800</v>
      </c>
      <c r="C19" s="201">
        <f>B19/Исх!$C$19</f>
        <v>800</v>
      </c>
      <c r="D19" s="169">
        <f>B19/Исх!$C$5</f>
        <v>5.233889434085705</v>
      </c>
      <c r="L19" s="173"/>
    </row>
    <row r="20" spans="1:4" ht="12.75">
      <c r="A20" s="62" t="s">
        <v>89</v>
      </c>
      <c r="B20" s="207">
        <f>SUM(B17:B19)</f>
        <v>4252.8843799999995</v>
      </c>
      <c r="C20" s="207">
        <f>SUM(C17:C19)</f>
        <v>4252.8843799999995</v>
      </c>
      <c r="D20" s="207">
        <f>SUM(D17:D19)</f>
        <v>27.823908276087668</v>
      </c>
    </row>
    <row r="23" spans="1:17" ht="12.75" hidden="1">
      <c r="A23" s="78" t="s">
        <v>246</v>
      </c>
      <c r="D23" s="201">
        <f>Q23</f>
        <v>0</v>
      </c>
      <c r="L23" s="201"/>
      <c r="M23" s="201"/>
      <c r="N23" s="201"/>
      <c r="O23" s="201"/>
      <c r="Q23" s="201">
        <f>P23</f>
        <v>0</v>
      </c>
    </row>
    <row r="24" spans="1:17" ht="12.75" hidden="1">
      <c r="A24" s="78" t="s">
        <v>258</v>
      </c>
      <c r="D24" s="201">
        <f>Q24</f>
        <v>0</v>
      </c>
      <c r="L24" s="201"/>
      <c r="M24" s="201"/>
      <c r="N24" s="201"/>
      <c r="O24" s="201"/>
      <c r="Q24" s="201">
        <f>P24</f>
        <v>0</v>
      </c>
    </row>
    <row r="25" spans="1:17" ht="12.75" hidden="1">
      <c r="A25" s="78" t="s">
        <v>259</v>
      </c>
      <c r="D25" s="201">
        <f>Q25</f>
        <v>0</v>
      </c>
      <c r="O25" s="201">
        <f>N14</f>
        <v>0</v>
      </c>
      <c r="P25" s="201"/>
      <c r="Q25" s="201">
        <f>SUM(E25:P25)</f>
        <v>0</v>
      </c>
    </row>
    <row r="26" spans="1:17" ht="12.75" hidden="1">
      <c r="A26" s="78" t="s">
        <v>293</v>
      </c>
      <c r="D26" s="201">
        <f>D25/Исх!$C$19</f>
        <v>0</v>
      </c>
      <c r="O26" s="201">
        <f>O25/Исх!$C$19</f>
        <v>0</v>
      </c>
      <c r="P26" s="201">
        <f>P25/Исх!$C$19</f>
        <v>0</v>
      </c>
      <c r="Q26" s="201">
        <f>Q25/Исх!$C$19</f>
        <v>0</v>
      </c>
    </row>
    <row r="27" ht="12.75" hidden="1"/>
  </sheetData>
  <sheetProtection/>
  <mergeCells count="5">
    <mergeCell ref="E3:P3"/>
    <mergeCell ref="A3:A4"/>
    <mergeCell ref="B3:B4"/>
    <mergeCell ref="C3:C4"/>
    <mergeCell ref="D3:D4"/>
  </mergeCells>
  <printOptions/>
  <pageMargins left="0.3" right="0.2362204724409449" top="0.7086614173228347" bottom="0.2755905511811024" header="0.5118110236220472" footer="0.1968503937007874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8" customWidth="1"/>
    <col min="2" max="2" width="7.875" style="78" hidden="1" customWidth="1"/>
    <col min="3" max="3" width="9.75390625" style="78" customWidth="1"/>
    <col min="4" max="16384" width="9.125" style="78" customWidth="1"/>
  </cols>
  <sheetData>
    <row r="1" spans="1:6" ht="12.75">
      <c r="A1" s="62" t="s">
        <v>74</v>
      </c>
      <c r="B1" s="62"/>
      <c r="C1" s="62"/>
      <c r="D1" s="62"/>
      <c r="E1" s="62"/>
      <c r="F1" s="62"/>
    </row>
    <row r="2" spans="1:9" ht="12.75">
      <c r="A2" s="208"/>
      <c r="B2" s="208"/>
      <c r="C2" s="208"/>
      <c r="D2" s="208"/>
      <c r="E2" s="208"/>
      <c r="F2" s="208"/>
      <c r="I2" s="147" t="str">
        <f>Исх!C10</f>
        <v>тыс.тг.</v>
      </c>
    </row>
    <row r="3" spans="1:9" ht="12.75">
      <c r="A3" s="217" t="s">
        <v>9</v>
      </c>
      <c r="B3" s="233">
        <v>2013</v>
      </c>
      <c r="C3" s="233">
        <f aca="true" t="shared" si="0" ref="C3:H3">B3+1</f>
        <v>2014</v>
      </c>
      <c r="D3" s="233">
        <f t="shared" si="0"/>
        <v>2015</v>
      </c>
      <c r="E3" s="233">
        <f t="shared" si="0"/>
        <v>2016</v>
      </c>
      <c r="F3" s="233">
        <f t="shared" si="0"/>
        <v>2017</v>
      </c>
      <c r="G3" s="233">
        <f t="shared" si="0"/>
        <v>2018</v>
      </c>
      <c r="H3" s="233">
        <f t="shared" si="0"/>
        <v>2019</v>
      </c>
      <c r="I3" s="233">
        <f>H3+1</f>
        <v>2020</v>
      </c>
    </row>
    <row r="4" spans="1:9" ht="12.75">
      <c r="A4" s="209" t="s">
        <v>345</v>
      </c>
      <c r="B4" s="210">
        <f>'2-ф2'!P5</f>
        <v>0</v>
      </c>
      <c r="C4" s="210">
        <f>'2-ф2'!AC5</f>
        <v>7881.94378125</v>
      </c>
      <c r="D4" s="210">
        <f>'2-ф2'!AP5</f>
        <v>12303.521999999999</v>
      </c>
      <c r="E4" s="210">
        <f>'2-ф2'!AQ5</f>
        <v>12303.522</v>
      </c>
      <c r="F4" s="210">
        <f>'2-ф2'!AR5</f>
        <v>12303.522</v>
      </c>
      <c r="G4" s="210">
        <f>'2-ф2'!AS5</f>
        <v>12303.522</v>
      </c>
      <c r="H4" s="210">
        <f>'2-ф2'!AT5</f>
        <v>12303.522</v>
      </c>
      <c r="I4" s="210">
        <f>'2-ф2'!AU5</f>
        <v>12303.522</v>
      </c>
    </row>
    <row r="5" spans="1:9" ht="12.75">
      <c r="A5" s="209" t="s">
        <v>90</v>
      </c>
      <c r="B5" s="211">
        <f aca="true" t="shared" si="1" ref="B5:H5">B4-B6</f>
        <v>-24.808492216666664</v>
      </c>
      <c r="C5" s="211">
        <f t="shared" si="1"/>
        <v>324.9557541575132</v>
      </c>
      <c r="D5" s="211">
        <f t="shared" si="1"/>
        <v>1841.2177687919175</v>
      </c>
      <c r="E5" s="211">
        <f t="shared" si="1"/>
        <v>1887.1370650048848</v>
      </c>
      <c r="F5" s="211">
        <f t="shared" si="1"/>
        <v>1936.1686920003413</v>
      </c>
      <c r="G5" s="211">
        <f t="shared" si="1"/>
        <v>1988.5376404222097</v>
      </c>
      <c r="H5" s="211">
        <f t="shared" si="1"/>
        <v>2044.4851655062466</v>
      </c>
      <c r="I5" s="211">
        <f>I4-I6</f>
        <v>2104.2699628487117</v>
      </c>
    </row>
    <row r="6" spans="1:9" ht="12.75">
      <c r="A6" s="209" t="s">
        <v>346</v>
      </c>
      <c r="B6" s="212">
        <f aca="true" t="shared" si="2" ref="B6:H6">SUM(B7:B8)</f>
        <v>24.808492216666664</v>
      </c>
      <c r="C6" s="212">
        <f t="shared" si="2"/>
        <v>7556.988027092487</v>
      </c>
      <c r="D6" s="212">
        <f t="shared" si="2"/>
        <v>10462.304231208082</v>
      </c>
      <c r="E6" s="212">
        <f t="shared" si="2"/>
        <v>10416.384934995116</v>
      </c>
      <c r="F6" s="212">
        <f t="shared" si="2"/>
        <v>10367.35330799966</v>
      </c>
      <c r="G6" s="212">
        <f t="shared" si="2"/>
        <v>10314.984359577791</v>
      </c>
      <c r="H6" s="212">
        <f t="shared" si="2"/>
        <v>10259.036834493754</v>
      </c>
      <c r="I6" s="212">
        <f>SUM(I7:I8)</f>
        <v>10199.25203715129</v>
      </c>
    </row>
    <row r="7" spans="1:9" ht="12.75">
      <c r="A7" s="209" t="s">
        <v>91</v>
      </c>
      <c r="B7" s="210">
        <f>'2-ф2'!P13+'2-ф2'!P12+'2-ф2'!P11</f>
        <v>24.808492216666664</v>
      </c>
      <c r="C7" s="210">
        <f>'2-ф2'!AC13+'2-ф2'!AC12+'2-ф2'!AC11</f>
        <v>2326.2435177174875</v>
      </c>
      <c r="D7" s="210">
        <f>'2-ф2'!AP13+'2-ф2'!AP12+'2-ф2'!AP11</f>
        <v>2297.239631208082</v>
      </c>
      <c r="E7" s="210">
        <f>'2-ф2'!AQ13+'2-ф2'!AQ12+'2-ф2'!AQ11</f>
        <v>2251.320334995117</v>
      </c>
      <c r="F7" s="210">
        <f>'2-ф2'!AR13+'2-ф2'!AR12+'2-ф2'!AR11</f>
        <v>2202.2887079996594</v>
      </c>
      <c r="G7" s="210">
        <f>'2-ф2'!AS13+'2-ф2'!AS12+'2-ф2'!AS11</f>
        <v>2149.9197595777914</v>
      </c>
      <c r="H7" s="210">
        <f>'2-ф2'!AT13+'2-ф2'!AT12+'2-ф2'!AT11</f>
        <v>2093.9722344937545</v>
      </c>
      <c r="I7" s="210">
        <f>'2-ф2'!AU13+'2-ф2'!AU12+'2-ф2'!AU11</f>
        <v>2034.1874371512897</v>
      </c>
    </row>
    <row r="8" spans="1:9" ht="12.75">
      <c r="A8" s="209" t="s">
        <v>92</v>
      </c>
      <c r="B8" s="210">
        <f>'2-ф2'!P7</f>
        <v>0</v>
      </c>
      <c r="C8" s="210">
        <f>'2-ф2'!AC7</f>
        <v>5230.744509374999</v>
      </c>
      <c r="D8" s="210">
        <f>'2-ф2'!AP7</f>
        <v>8165.0646</v>
      </c>
      <c r="E8" s="210">
        <f>'2-ф2'!AQ7</f>
        <v>8165.0646</v>
      </c>
      <c r="F8" s="210">
        <f>'2-ф2'!AR7</f>
        <v>8165.0646</v>
      </c>
      <c r="G8" s="210">
        <f>'2-ф2'!AS7</f>
        <v>8165.0646</v>
      </c>
      <c r="H8" s="210">
        <f>'2-ф2'!AT7</f>
        <v>8165.0646</v>
      </c>
      <c r="I8" s="210">
        <f>'2-ф2'!AU7</f>
        <v>8165.0646</v>
      </c>
    </row>
    <row r="9" spans="1:9" ht="12.75">
      <c r="A9" s="209" t="s">
        <v>93</v>
      </c>
      <c r="B9" s="212">
        <f aca="true" t="shared" si="3" ref="B9:H9">B4-B8</f>
        <v>0</v>
      </c>
      <c r="C9" s="212">
        <f t="shared" si="3"/>
        <v>2651.1992718750007</v>
      </c>
      <c r="D9" s="212">
        <f t="shared" si="3"/>
        <v>4138.457399999999</v>
      </c>
      <c r="E9" s="212">
        <f t="shared" si="3"/>
        <v>4138.457400000001</v>
      </c>
      <c r="F9" s="212">
        <f t="shared" si="3"/>
        <v>4138.457400000001</v>
      </c>
      <c r="G9" s="212">
        <f t="shared" si="3"/>
        <v>4138.457400000001</v>
      </c>
      <c r="H9" s="212">
        <f t="shared" si="3"/>
        <v>4138.457400000001</v>
      </c>
      <c r="I9" s="212">
        <f>I4-I8</f>
        <v>4138.457400000001</v>
      </c>
    </row>
    <row r="10" spans="1:9" ht="12.75">
      <c r="A10" s="209" t="s">
        <v>75</v>
      </c>
      <c r="B10" s="213" t="e">
        <f aca="true" t="shared" si="4" ref="B10:H10">B9/B4</f>
        <v>#DIV/0!</v>
      </c>
      <c r="C10" s="213">
        <f t="shared" si="4"/>
        <v>0.3363636363636365</v>
      </c>
      <c r="D10" s="213">
        <f t="shared" si="4"/>
        <v>0.3363636363636363</v>
      </c>
      <c r="E10" s="213">
        <f t="shared" si="4"/>
        <v>0.3363636363636364</v>
      </c>
      <c r="F10" s="213">
        <f t="shared" si="4"/>
        <v>0.3363636363636364</v>
      </c>
      <c r="G10" s="213">
        <f t="shared" si="4"/>
        <v>0.3363636363636364</v>
      </c>
      <c r="H10" s="213">
        <f t="shared" si="4"/>
        <v>0.3363636363636364</v>
      </c>
      <c r="I10" s="213">
        <f>I9/I4</f>
        <v>0.3363636363636364</v>
      </c>
    </row>
    <row r="11" spans="1:9" ht="12.75">
      <c r="A11" s="209" t="s">
        <v>94</v>
      </c>
      <c r="B11" s="212" t="e">
        <f aca="true" t="shared" si="5" ref="B11:H11">B7/B10</f>
        <v>#DIV/0!</v>
      </c>
      <c r="C11" s="212">
        <f t="shared" si="5"/>
        <v>6915.859106727663</v>
      </c>
      <c r="D11" s="212">
        <f>D7/D10</f>
        <v>6829.631336024028</v>
      </c>
      <c r="E11" s="212">
        <f t="shared" si="5"/>
        <v>6693.114509444941</v>
      </c>
      <c r="F11" s="212">
        <f t="shared" si="5"/>
        <v>6547.344807566554</v>
      </c>
      <c r="G11" s="212">
        <f t="shared" si="5"/>
        <v>6391.653339285324</v>
      </c>
      <c r="H11" s="212">
        <f t="shared" si="5"/>
        <v>6225.322859305756</v>
      </c>
      <c r="I11" s="212">
        <f>I7/I10</f>
        <v>6047.584272611942</v>
      </c>
    </row>
    <row r="12" spans="1:9" ht="25.5">
      <c r="A12" s="214" t="s">
        <v>76</v>
      </c>
      <c r="B12" s="215" t="e">
        <f aca="true" t="shared" si="6" ref="B12:H12">(B4-B11)/B4</f>
        <v>#DIV/0!</v>
      </c>
      <c r="C12" s="215">
        <f t="shared" si="6"/>
        <v>0.12256934346836021</v>
      </c>
      <c r="D12" s="215">
        <f>(D4-D11)/D4</f>
        <v>0.44490436673141</v>
      </c>
      <c r="E12" s="215">
        <f t="shared" si="6"/>
        <v>0.456000118547767</v>
      </c>
      <c r="F12" s="215">
        <f t="shared" si="6"/>
        <v>0.4678479213052528</v>
      </c>
      <c r="G12" s="215">
        <f t="shared" si="6"/>
        <v>0.48050214082721</v>
      </c>
      <c r="H12" s="215">
        <f t="shared" si="6"/>
        <v>0.49402107304674586</v>
      </c>
      <c r="I12" s="215">
        <f>(I4-I11)/I4</f>
        <v>0.508467228114686</v>
      </c>
    </row>
    <row r="13" spans="1:9" ht="12.75">
      <c r="A13" s="209" t="s">
        <v>102</v>
      </c>
      <c r="B13" s="216" t="e">
        <f aca="true" t="shared" si="7" ref="B13:H13">100%-B12</f>
        <v>#DIV/0!</v>
      </c>
      <c r="C13" s="216">
        <f t="shared" si="7"/>
        <v>0.8774306565316398</v>
      </c>
      <c r="D13" s="216">
        <f t="shared" si="7"/>
        <v>0.55509563326859</v>
      </c>
      <c r="E13" s="216">
        <f t="shared" si="7"/>
        <v>0.543999881452233</v>
      </c>
      <c r="F13" s="216">
        <f t="shared" si="7"/>
        <v>0.5321520786947471</v>
      </c>
      <c r="G13" s="216">
        <f t="shared" si="7"/>
        <v>0.51949785917279</v>
      </c>
      <c r="H13" s="216">
        <f t="shared" si="7"/>
        <v>0.5059789269532542</v>
      </c>
      <c r="I13" s="216">
        <f>100%-I12</f>
        <v>0.49153277188531397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showGridLines="0" tabSelected="1" zoomScalePageLayoutView="0" workbookViewId="0" topLeftCell="A1">
      <pane ySplit="4" topLeftCell="A17" activePane="bottomLeft" state="frozen"/>
      <selection pane="topLeft" activeCell="A34" sqref="A34"/>
      <selection pane="bottomLeft" activeCell="F64" sqref="F64:F69"/>
    </sheetView>
  </sheetViews>
  <sheetFormatPr defaultColWidth="9.00390625" defaultRowHeight="12.75"/>
  <cols>
    <col min="1" max="1" width="49.75390625" style="72" customWidth="1"/>
    <col min="2" max="2" width="16.875" style="73" customWidth="1"/>
    <col min="3" max="3" width="12.75390625" style="71" customWidth="1"/>
    <col min="4" max="4" width="8.625" style="71" customWidth="1"/>
    <col min="5" max="8" width="9.125" style="71" customWidth="1"/>
    <col min="9" max="9" width="7.625" style="71" bestFit="1" customWidth="1"/>
    <col min="10" max="10" width="7.125" style="71" customWidth="1"/>
    <col min="11" max="11" width="6.625" style="71" customWidth="1"/>
    <col min="12" max="16384" width="9.125" style="71" customWidth="1"/>
  </cols>
  <sheetData>
    <row r="1" ht="13.5" customHeight="1">
      <c r="A1" s="229" t="s">
        <v>265</v>
      </c>
    </row>
    <row r="2" ht="13.5" customHeight="1">
      <c r="A2" s="229" t="s">
        <v>306</v>
      </c>
    </row>
    <row r="3" ht="13.5" customHeight="1"/>
    <row r="4" spans="1:5" ht="13.5" customHeight="1">
      <c r="A4" s="224" t="s">
        <v>204</v>
      </c>
      <c r="B4" s="252" t="s">
        <v>89</v>
      </c>
      <c r="C4" s="252">
        <v>2013</v>
      </c>
      <c r="D4" s="252">
        <v>2014</v>
      </c>
      <c r="E4" s="252" t="s">
        <v>167</v>
      </c>
    </row>
    <row r="5" spans="1:5" ht="13.5" customHeight="1">
      <c r="A5" s="220" t="s">
        <v>300</v>
      </c>
      <c r="B5" s="221">
        <f>'1-Ф3'!B21</f>
        <v>4252.8843799999995</v>
      </c>
      <c r="C5" s="221">
        <f>'1-Ф3'!P21</f>
        <v>4252.8843799999995</v>
      </c>
      <c r="D5" s="221">
        <f>'1-Ф3'!AC21</f>
        <v>0</v>
      </c>
      <c r="E5" s="226">
        <f>B5/$B$7</f>
        <v>0.6036934995018965</v>
      </c>
    </row>
    <row r="6" spans="1:5" ht="13.5" customHeight="1">
      <c r="A6" s="220" t="s">
        <v>166</v>
      </c>
      <c r="B6" s="221">
        <f>'1-Ф3'!B27-'1-Ф3'!B21</f>
        <v>2791.8898034374997</v>
      </c>
      <c r="C6" s="221">
        <f>'1-Ф3'!P27-'1-Ф3'!P21</f>
        <v>279.6255000000001</v>
      </c>
      <c r="D6" s="221">
        <f>'1-Ф3'!AC27-'1-Ф3'!AC21</f>
        <v>2512.2643034375</v>
      </c>
      <c r="E6" s="226">
        <f>B6/$B$7</f>
        <v>0.39630650049810345</v>
      </c>
    </row>
    <row r="7" spans="1:5" ht="13.5" customHeight="1">
      <c r="A7" s="222" t="s">
        <v>89</v>
      </c>
      <c r="B7" s="223">
        <f>SUM(B5:B6)</f>
        <v>7044.774183437499</v>
      </c>
      <c r="C7" s="223">
        <f>SUM(C5:C6)</f>
        <v>4532.50988</v>
      </c>
      <c r="D7" s="223">
        <f>SUM(D5:D6)</f>
        <v>2512.2643034375</v>
      </c>
      <c r="E7" s="227">
        <f>SUM(E5:E6)</f>
        <v>1</v>
      </c>
    </row>
    <row r="8" spans="1:2" ht="13.5" customHeight="1">
      <c r="A8" s="74"/>
      <c r="B8" s="75"/>
    </row>
    <row r="9" spans="1:5" ht="13.5" customHeight="1">
      <c r="A9" s="224" t="s">
        <v>205</v>
      </c>
      <c r="B9" s="252" t="s">
        <v>89</v>
      </c>
      <c r="C9" s="252">
        <f>C4</f>
        <v>2013</v>
      </c>
      <c r="D9" s="252">
        <f>D4</f>
        <v>2014</v>
      </c>
      <c r="E9" s="225" t="s">
        <v>167</v>
      </c>
    </row>
    <row r="10" spans="1:9" ht="12.75">
      <c r="A10" s="220" t="s">
        <v>299</v>
      </c>
      <c r="B10" s="221">
        <f>'1-Ф3'!B28</f>
        <v>2791.8898034375</v>
      </c>
      <c r="C10" s="221">
        <f>'1-Ф3'!P28</f>
        <v>279.6255</v>
      </c>
      <c r="D10" s="221">
        <f>'1-Ф3'!AC28</f>
        <v>2512.2643034375</v>
      </c>
      <c r="E10" s="226">
        <f>B10/$B$12</f>
        <v>0.3963065004981035</v>
      </c>
      <c r="H10" s="294">
        <f>B10/Исх!$C$5</f>
        <v>18.265553179178937</v>
      </c>
      <c r="I10" s="295" t="s">
        <v>98</v>
      </c>
    </row>
    <row r="11" spans="1:9" ht="13.5" customHeight="1">
      <c r="A11" s="220" t="s">
        <v>103</v>
      </c>
      <c r="B11" s="221">
        <f>'1-Ф3'!B29</f>
        <v>4252.8843799999995</v>
      </c>
      <c r="C11" s="221">
        <f>'1-Ф3'!P29</f>
        <v>4252.8843799999995</v>
      </c>
      <c r="D11" s="221">
        <f>'1-Ф3'!AC29</f>
        <v>0</v>
      </c>
      <c r="E11" s="226">
        <f>B11/$B$12</f>
        <v>0.6036934995018965</v>
      </c>
      <c r="H11" s="294">
        <f>B11/Исх!$C$5</f>
        <v>27.823908276087664</v>
      </c>
      <c r="I11" s="295" t="s">
        <v>98</v>
      </c>
    </row>
    <row r="12" spans="1:5" ht="12.75">
      <c r="A12" s="222" t="s">
        <v>89</v>
      </c>
      <c r="B12" s="223">
        <f>SUM(B10:B11)</f>
        <v>7044.774183437499</v>
      </c>
      <c r="C12" s="223">
        <f>SUM(C10:C11)</f>
        <v>4532.50988</v>
      </c>
      <c r="D12" s="223">
        <f>SUM(D10:D11)</f>
        <v>2512.2643034375</v>
      </c>
      <c r="E12" s="227">
        <f>SUM(E10:E11)</f>
        <v>1</v>
      </c>
    </row>
    <row r="13" spans="1:2" ht="12.75">
      <c r="A13" s="77"/>
      <c r="B13" s="76"/>
    </row>
    <row r="14" spans="1:2" ht="12.75">
      <c r="A14" s="293" t="s">
        <v>267</v>
      </c>
      <c r="B14" s="76"/>
    </row>
    <row r="15" spans="1:2" ht="12.75">
      <c r="A15" s="270" t="s">
        <v>266</v>
      </c>
      <c r="B15" s="271" t="s">
        <v>8</v>
      </c>
    </row>
    <row r="16" spans="1:2" ht="12.75">
      <c r="A16" s="220" t="s">
        <v>168</v>
      </c>
      <c r="B16" s="221" t="s">
        <v>169</v>
      </c>
    </row>
    <row r="17" spans="1:2" ht="12.75">
      <c r="A17" s="220" t="s">
        <v>170</v>
      </c>
      <c r="B17" s="275">
        <f>Исх!C36</f>
        <v>0.07</v>
      </c>
    </row>
    <row r="18" spans="1:2" ht="12.75">
      <c r="A18" s="220" t="s">
        <v>193</v>
      </c>
      <c r="B18" s="228">
        <f>Исх!C37</f>
        <v>7</v>
      </c>
    </row>
    <row r="19" spans="1:2" ht="12.75">
      <c r="A19" s="220" t="s">
        <v>171</v>
      </c>
      <c r="B19" s="221" t="s">
        <v>172</v>
      </c>
    </row>
    <row r="20" spans="1:2" ht="12.75">
      <c r="A20" s="220" t="s">
        <v>173</v>
      </c>
      <c r="B20" s="221">
        <f>Исх!C38</f>
        <v>9</v>
      </c>
    </row>
    <row r="21" spans="1:2" ht="12.75">
      <c r="A21" s="220" t="s">
        <v>174</v>
      </c>
      <c r="B21" s="221">
        <f>Исх!C39</f>
        <v>6</v>
      </c>
    </row>
    <row r="22" spans="1:2" ht="12.75">
      <c r="A22" s="220" t="s">
        <v>349</v>
      </c>
      <c r="B22" s="221" t="s">
        <v>249</v>
      </c>
    </row>
    <row r="24" spans="1:2" ht="12.75">
      <c r="A24" s="293" t="s">
        <v>250</v>
      </c>
      <c r="B24" s="71"/>
    </row>
    <row r="25" spans="1:8" ht="12.75">
      <c r="A25" s="224" t="s">
        <v>28</v>
      </c>
      <c r="B25" s="287">
        <v>2014</v>
      </c>
      <c r="C25" s="252">
        <f aca="true" t="shared" si="0" ref="C25:H25">B25+1</f>
        <v>2015</v>
      </c>
      <c r="D25" s="287">
        <f t="shared" si="0"/>
        <v>2016</v>
      </c>
      <c r="E25" s="287">
        <f t="shared" si="0"/>
        <v>2017</v>
      </c>
      <c r="F25" s="287">
        <f t="shared" si="0"/>
        <v>2018</v>
      </c>
      <c r="G25" s="287">
        <f t="shared" si="0"/>
        <v>2019</v>
      </c>
      <c r="H25" s="287">
        <f t="shared" si="0"/>
        <v>2020</v>
      </c>
    </row>
    <row r="26" spans="1:8" ht="12.75">
      <c r="A26" s="220" t="s">
        <v>268</v>
      </c>
      <c r="B26" s="221">
        <f>'2-ф2'!AC5</f>
        <v>7881.94378125</v>
      </c>
      <c r="C26" s="221">
        <f>'2-ф2'!AP5</f>
        <v>12303.521999999999</v>
      </c>
      <c r="D26" s="221">
        <f>'2-ф2'!AQ5</f>
        <v>12303.522</v>
      </c>
      <c r="E26" s="221">
        <f>'2-ф2'!AR5</f>
        <v>12303.522</v>
      </c>
      <c r="F26" s="221">
        <f>'2-ф2'!AS5</f>
        <v>12303.522</v>
      </c>
      <c r="G26" s="221">
        <f>'2-ф2'!AT5</f>
        <v>12303.522</v>
      </c>
      <c r="H26" s="221">
        <f>'2-ф2'!AU5</f>
        <v>12303.522</v>
      </c>
    </row>
    <row r="27" spans="1:8" ht="12.75">
      <c r="A27" s="220" t="s">
        <v>269</v>
      </c>
      <c r="B27" s="221">
        <f>'2-ф2'!AC10</f>
        <v>2651.1992718750007</v>
      </c>
      <c r="C27" s="221">
        <f>'2-ф2'!AP10</f>
        <v>4138.457399999999</v>
      </c>
      <c r="D27" s="221">
        <f>'2-ф2'!AQ10</f>
        <v>4138.457400000001</v>
      </c>
      <c r="E27" s="221">
        <f>'2-ф2'!AR10</f>
        <v>4138.457400000001</v>
      </c>
      <c r="F27" s="221">
        <f>'2-ф2'!AS10</f>
        <v>4138.457400000001</v>
      </c>
      <c r="G27" s="221">
        <f>'2-ф2'!AT10</f>
        <v>4138.457400000001</v>
      </c>
      <c r="H27" s="221">
        <f>'2-ф2'!AU10</f>
        <v>4138.457400000001</v>
      </c>
    </row>
    <row r="28" spans="1:8" ht="12.75">
      <c r="A28" s="220" t="s">
        <v>270</v>
      </c>
      <c r="B28" s="221">
        <f>'2-ф2'!AC16</f>
        <v>315.9513362992865</v>
      </c>
      <c r="C28" s="221">
        <f>'2-ф2'!AP16</f>
        <v>1785.981235728161</v>
      </c>
      <c r="D28" s="221">
        <f>'2-ф2'!AQ16</f>
        <v>1830.5229530547379</v>
      </c>
      <c r="E28" s="221">
        <f>'2-ф2'!AR16</f>
        <v>1878.0836312403314</v>
      </c>
      <c r="F28" s="221">
        <f>'2-ф2'!AS16</f>
        <v>1928.8815112095435</v>
      </c>
      <c r="G28" s="221">
        <f>'2-ф2'!AT16</f>
        <v>1983.1506105410597</v>
      </c>
      <c r="H28" s="221">
        <f>'2-ф2'!AU16</f>
        <v>2041.1418639632498</v>
      </c>
    </row>
    <row r="29" spans="1:8" ht="12.75">
      <c r="A29" s="220" t="s">
        <v>271</v>
      </c>
      <c r="B29" s="226">
        <f>B28/B26</f>
        <v>0.04008545925573446</v>
      </c>
      <c r="C29" s="226">
        <f aca="true" t="shared" si="1" ref="C29:H29">C28/C26</f>
        <v>0.14516016110900287</v>
      </c>
      <c r="D29" s="226">
        <f t="shared" si="1"/>
        <v>0.14878040231526693</v>
      </c>
      <c r="E29" s="226">
        <f t="shared" si="1"/>
        <v>0.15264601723314114</v>
      </c>
      <c r="F29" s="226">
        <f t="shared" si="1"/>
        <v>0.15677474394807792</v>
      </c>
      <c r="G29" s="226">
        <f t="shared" si="1"/>
        <v>0.16118560283316108</v>
      </c>
      <c r="H29" s="226">
        <f t="shared" si="1"/>
        <v>0.1658989892457826</v>
      </c>
    </row>
    <row r="30" spans="1:8" ht="12.75">
      <c r="A30" s="222" t="s">
        <v>301</v>
      </c>
      <c r="B30" s="223">
        <f>'1-Ф3'!AC34</f>
        <v>1348.9724806584168</v>
      </c>
      <c r="C30" s="223">
        <f>'1-Ф3'!AP34</f>
        <v>1520.174575921913</v>
      </c>
      <c r="D30" s="223">
        <f>'1-Ф3'!AQ34</f>
        <v>1521.6629345355204</v>
      </c>
      <c r="E30" s="223">
        <f>'1-Ф3'!AR34</f>
        <v>1523.0579232256578</v>
      </c>
      <c r="F30" s="223">
        <f>'1-Ф3'!AS34</f>
        <v>1524.3527922730036</v>
      </c>
      <c r="G30" s="223">
        <f>'1-Ф3'!AT34</f>
        <v>1525.5403040204806</v>
      </c>
      <c r="H30" s="223">
        <f>'1-Ф3'!AU34</f>
        <v>1599.242375497235</v>
      </c>
    </row>
    <row r="32" spans="1:2" ht="12.75">
      <c r="A32" s="293" t="s">
        <v>272</v>
      </c>
      <c r="B32" s="71"/>
    </row>
    <row r="33" spans="1:2" ht="12.75">
      <c r="A33" s="224" t="s">
        <v>337</v>
      </c>
      <c r="B33" s="287">
        <f>'1-Ф3'!BA35</f>
        <v>2018</v>
      </c>
    </row>
    <row r="34" spans="1:2" ht="12.75">
      <c r="A34" s="220" t="s">
        <v>175</v>
      </c>
      <c r="B34" s="226">
        <f>'1-Ф3'!BA48</f>
        <v>0.1976425485275357</v>
      </c>
    </row>
    <row r="35" spans="1:2" ht="12.75">
      <c r="A35" s="220" t="s">
        <v>176</v>
      </c>
      <c r="B35" s="221">
        <f>'1-Ф3'!BA46</f>
        <v>1110.1984364507898</v>
      </c>
    </row>
    <row r="36" spans="1:2" ht="12.75">
      <c r="A36" s="220" t="s">
        <v>302</v>
      </c>
      <c r="B36" s="228">
        <f>'1-Ф3'!BA47</f>
        <v>1.1835696061944219</v>
      </c>
    </row>
    <row r="37" spans="1:2" ht="12.75">
      <c r="A37" s="220" t="s">
        <v>177</v>
      </c>
      <c r="B37" s="228">
        <f>'1-Ф3'!B49</f>
        <v>3.226885347582134</v>
      </c>
    </row>
    <row r="38" spans="1:2" ht="12.75">
      <c r="A38" s="220" t="s">
        <v>178</v>
      </c>
      <c r="B38" s="228">
        <f>'1-Ф3'!B50</f>
        <v>4.084148882540079</v>
      </c>
    </row>
    <row r="40" ht="12.75">
      <c r="A40" s="229" t="s">
        <v>273</v>
      </c>
    </row>
    <row r="41" spans="1:8" ht="12.75">
      <c r="A41" s="224" t="s">
        <v>28</v>
      </c>
      <c r="B41" s="287">
        <v>2014</v>
      </c>
      <c r="C41" s="225">
        <f aca="true" t="shared" si="2" ref="C41:H41">B41+1</f>
        <v>2015</v>
      </c>
      <c r="D41" s="287">
        <f t="shared" si="2"/>
        <v>2016</v>
      </c>
      <c r="E41" s="287">
        <f t="shared" si="2"/>
        <v>2017</v>
      </c>
      <c r="F41" s="287">
        <f t="shared" si="2"/>
        <v>2018</v>
      </c>
      <c r="G41" s="287">
        <f t="shared" si="2"/>
        <v>2019</v>
      </c>
      <c r="H41" s="287">
        <f t="shared" si="2"/>
        <v>2020</v>
      </c>
    </row>
    <row r="42" spans="1:8" ht="12.75">
      <c r="A42" s="220" t="s">
        <v>200</v>
      </c>
      <c r="B42" s="226">
        <f>Производство!AC6</f>
        <v>0.8541666666666666</v>
      </c>
      <c r="C42" s="226">
        <f>Производство!AP6</f>
        <v>1</v>
      </c>
      <c r="D42" s="226">
        <f>Производство!AQ6</f>
        <v>1</v>
      </c>
      <c r="E42" s="226">
        <f>Производство!AR6</f>
        <v>1</v>
      </c>
      <c r="F42" s="226">
        <f>Производство!AS6</f>
        <v>1</v>
      </c>
      <c r="G42" s="226">
        <f>Производство!AT6</f>
        <v>1</v>
      </c>
      <c r="H42" s="226">
        <f>Производство!AU6</f>
        <v>1</v>
      </c>
    </row>
    <row r="43" spans="1:8" ht="12.75">
      <c r="A43" s="220" t="s">
        <v>338</v>
      </c>
      <c r="B43" s="221">
        <f>Производство!AC7</f>
        <v>4228.125</v>
      </c>
      <c r="C43" s="221">
        <f>Производство!AP7</f>
        <v>4950</v>
      </c>
      <c r="D43" s="221">
        <f>Производство!AQ7</f>
        <v>4950</v>
      </c>
      <c r="E43" s="221">
        <f>Производство!AR7</f>
        <v>4950</v>
      </c>
      <c r="F43" s="221">
        <f>Производство!AS7</f>
        <v>4950</v>
      </c>
      <c r="G43" s="221">
        <f>Производство!AT7</f>
        <v>4950</v>
      </c>
      <c r="H43" s="221">
        <f>Производство!AU7</f>
        <v>4950</v>
      </c>
    </row>
    <row r="45" ht="12.75">
      <c r="A45" s="229" t="s">
        <v>179</v>
      </c>
    </row>
    <row r="46" spans="1:8" ht="12.75">
      <c r="A46" s="364" t="s">
        <v>180</v>
      </c>
      <c r="B46" s="366" t="s">
        <v>281</v>
      </c>
      <c r="C46" s="367"/>
      <c r="D46" s="367"/>
      <c r="E46" s="368"/>
      <c r="F46" s="366" t="s">
        <v>303</v>
      </c>
      <c r="G46" s="367"/>
      <c r="H46" s="368"/>
    </row>
    <row r="47" spans="1:8" ht="12.75">
      <c r="A47" s="365"/>
      <c r="B47" s="287" t="s">
        <v>274</v>
      </c>
      <c r="C47" s="302" t="s">
        <v>275</v>
      </c>
      <c r="D47" s="302" t="s">
        <v>276</v>
      </c>
      <c r="E47" s="302" t="s">
        <v>277</v>
      </c>
      <c r="F47" s="287" t="s">
        <v>278</v>
      </c>
      <c r="G47" s="287" t="s">
        <v>279</v>
      </c>
      <c r="H47" s="287" t="s">
        <v>280</v>
      </c>
    </row>
    <row r="48" spans="1:8" ht="25.5">
      <c r="A48" s="230" t="s">
        <v>251</v>
      </c>
      <c r="B48" s="231"/>
      <c r="C48" s="226"/>
      <c r="D48" s="226"/>
      <c r="E48" s="226"/>
      <c r="F48" s="226"/>
      <c r="G48" s="226"/>
      <c r="H48" s="226"/>
    </row>
    <row r="49" spans="1:8" ht="12.75">
      <c r="A49" s="220" t="s">
        <v>181</v>
      </c>
      <c r="B49" s="231"/>
      <c r="C49" s="231"/>
      <c r="D49" s="226"/>
      <c r="E49" s="226"/>
      <c r="F49" s="226"/>
      <c r="G49" s="226"/>
      <c r="H49" s="226"/>
    </row>
    <row r="50" spans="1:8" ht="12.75">
      <c r="A50" s="220" t="s">
        <v>182</v>
      </c>
      <c r="B50" s="226"/>
      <c r="C50" s="226"/>
      <c r="D50" s="231"/>
      <c r="E50" s="226"/>
      <c r="F50" s="226"/>
      <c r="G50" s="226"/>
      <c r="H50" s="226"/>
    </row>
    <row r="51" spans="1:8" ht="12.75">
      <c r="A51" s="220" t="s">
        <v>339</v>
      </c>
      <c r="B51" s="221"/>
      <c r="C51" s="226"/>
      <c r="D51" s="231"/>
      <c r="E51" s="226"/>
      <c r="F51" s="226"/>
      <c r="G51" s="226"/>
      <c r="H51" s="226"/>
    </row>
    <row r="52" spans="1:8" ht="12.75">
      <c r="A52" s="220" t="s">
        <v>340</v>
      </c>
      <c r="B52" s="221"/>
      <c r="C52" s="226"/>
      <c r="D52" s="226"/>
      <c r="E52" s="231"/>
      <c r="F52" s="226"/>
      <c r="G52" s="226"/>
      <c r="H52" s="226"/>
    </row>
    <row r="53" spans="1:8" ht="12.75">
      <c r="A53" s="220" t="s">
        <v>341</v>
      </c>
      <c r="B53" s="221"/>
      <c r="C53" s="226"/>
      <c r="D53" s="226"/>
      <c r="E53" s="231"/>
      <c r="F53" s="226"/>
      <c r="G53" s="226"/>
      <c r="H53" s="226"/>
    </row>
    <row r="54" spans="1:8" ht="12.75">
      <c r="A54" s="220" t="s">
        <v>342</v>
      </c>
      <c r="B54" s="221"/>
      <c r="C54" s="226"/>
      <c r="D54" s="226"/>
      <c r="E54" s="231"/>
      <c r="F54" s="226"/>
      <c r="G54" s="226"/>
      <c r="H54" s="226"/>
    </row>
    <row r="55" spans="1:8" ht="12.75">
      <c r="A55" s="220" t="s">
        <v>304</v>
      </c>
      <c r="B55" s="221"/>
      <c r="C55" s="226"/>
      <c r="D55" s="226"/>
      <c r="E55" s="226"/>
      <c r="F55" s="231"/>
      <c r="G55" s="231"/>
      <c r="H55" s="226"/>
    </row>
    <row r="56" spans="1:8" ht="12.75">
      <c r="A56" s="220" t="s">
        <v>305</v>
      </c>
      <c r="B56" s="221"/>
      <c r="C56" s="221"/>
      <c r="D56" s="226"/>
      <c r="E56" s="226"/>
      <c r="F56" s="226"/>
      <c r="G56" s="226"/>
      <c r="H56" s="231"/>
    </row>
    <row r="58" ht="12.75">
      <c r="A58" s="229" t="s">
        <v>185</v>
      </c>
    </row>
    <row r="60" spans="1:2" ht="12.75">
      <c r="A60" s="270" t="s">
        <v>187</v>
      </c>
      <c r="B60" s="271" t="s">
        <v>188</v>
      </c>
    </row>
    <row r="61" spans="1:2" ht="12.75" hidden="1">
      <c r="A61" s="220" t="s">
        <v>41</v>
      </c>
      <c r="B61" s="221">
        <f>'1-Ф3'!B17</f>
        <v>0</v>
      </c>
    </row>
    <row r="62" spans="1:2" ht="12.75">
      <c r="A62" s="220" t="str">
        <f>'2-ф2'!A15</f>
        <v>Подоходный налог ИП, соц.налог</v>
      </c>
      <c r="B62" s="221">
        <f>'1-Ф3'!B16</f>
        <v>363.05890669545477</v>
      </c>
    </row>
    <row r="63" spans="1:2" ht="12.75">
      <c r="A63" s="220" t="s">
        <v>186</v>
      </c>
      <c r="B63" s="221">
        <f>(ФОТ!K21-ФОТ!J21)*12*7</f>
        <v>806.5680000000003</v>
      </c>
    </row>
    <row r="64" spans="1:2" ht="12.75">
      <c r="A64" s="220" t="s">
        <v>194</v>
      </c>
      <c r="B64" s="221">
        <f>SUM(Пост!C19:I19)*12</f>
        <v>339.84203125</v>
      </c>
    </row>
    <row r="65" spans="1:2" ht="12.75">
      <c r="A65" s="222" t="s">
        <v>0</v>
      </c>
      <c r="B65" s="223">
        <f>SUM(B61:B64)</f>
        <v>1509.468937945455</v>
      </c>
    </row>
  </sheetData>
  <sheetProtection/>
  <mergeCells count="3">
    <mergeCell ref="A46:A47"/>
    <mergeCell ref="B46:E46"/>
    <mergeCell ref="F46:H46"/>
  </mergeCells>
  <printOptions/>
  <pageMargins left="0.3" right="0.25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30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" sqref="A8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customWidth="1" outlineLevel="1"/>
    <col min="5" max="5" width="8.25390625" style="88" customWidth="1" outlineLevel="1"/>
    <col min="6" max="11" width="7.00390625" style="88" customWidth="1" outlineLevel="1"/>
    <col min="12" max="12" width="8.75390625" style="88" customWidth="1" outlineLevel="1"/>
    <col min="13" max="13" width="7.875" style="88" customWidth="1" outlineLevel="1"/>
    <col min="14" max="15" width="8.625" style="88" customWidth="1" outlineLevel="1"/>
    <col min="16" max="16" width="9.125" style="88" customWidth="1"/>
    <col min="17" max="28" width="8.375" style="88" customWidth="1" outlineLevel="1"/>
    <col min="29" max="29" width="9.125" style="88" customWidth="1"/>
    <col min="30" max="41" width="8.375" style="88" customWidth="1" outlineLevel="1"/>
    <col min="42" max="42" width="9.125" style="88" customWidth="1"/>
    <col min="43" max="47" width="9.75390625" style="88" bestFit="1" customWidth="1"/>
    <col min="48" max="16384" width="10.125" style="88" customWidth="1"/>
  </cols>
  <sheetData>
    <row r="1" spans="1:3" ht="21" customHeight="1">
      <c r="A1" s="62" t="s">
        <v>109</v>
      </c>
      <c r="B1" s="87"/>
      <c r="C1" s="87"/>
    </row>
    <row r="2" spans="1:3" ht="17.25" customHeight="1">
      <c r="A2" s="62"/>
      <c r="B2" s="12" t="str">
        <f>Исх!$C$10</f>
        <v>тыс.тг.</v>
      </c>
      <c r="C2" s="89"/>
    </row>
    <row r="3" spans="1:47" ht="12.75" customHeight="1">
      <c r="A3" s="326" t="s">
        <v>3</v>
      </c>
      <c r="B3" s="330" t="s">
        <v>89</v>
      </c>
      <c r="C3" s="91"/>
      <c r="D3" s="325">
        <v>2013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>
        <v>2014</v>
      </c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17">
        <v>2015</v>
      </c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9"/>
      <c r="AQ3" s="92">
        <f>AD3+1</f>
        <v>2016</v>
      </c>
      <c r="AR3" s="92">
        <f>AQ3+1</f>
        <v>2017</v>
      </c>
      <c r="AS3" s="92">
        <f>AR3+1</f>
        <v>2018</v>
      </c>
      <c r="AT3" s="92">
        <f>AS3+1</f>
        <v>2019</v>
      </c>
      <c r="AU3" s="92">
        <f>AT3+1</f>
        <v>2020</v>
      </c>
    </row>
    <row r="4" spans="1:47" ht="12.75">
      <c r="A4" s="327"/>
      <c r="B4" s="330"/>
      <c r="C4" s="93"/>
      <c r="D4" s="94">
        <v>1</v>
      </c>
      <c r="E4" s="94">
        <f aca="true" t="shared" si="0" ref="E4:O4">D4+1</f>
        <v>2</v>
      </c>
      <c r="F4" s="94">
        <f t="shared" si="0"/>
        <v>3</v>
      </c>
      <c r="G4" s="94">
        <f t="shared" si="0"/>
        <v>4</v>
      </c>
      <c r="H4" s="94">
        <f t="shared" si="0"/>
        <v>5</v>
      </c>
      <c r="I4" s="94">
        <f t="shared" si="0"/>
        <v>6</v>
      </c>
      <c r="J4" s="94">
        <f t="shared" si="0"/>
        <v>7</v>
      </c>
      <c r="K4" s="94">
        <f t="shared" si="0"/>
        <v>8</v>
      </c>
      <c r="L4" s="94">
        <f t="shared" si="0"/>
        <v>9</v>
      </c>
      <c r="M4" s="94">
        <f t="shared" si="0"/>
        <v>10</v>
      </c>
      <c r="N4" s="94">
        <f t="shared" si="0"/>
        <v>11</v>
      </c>
      <c r="O4" s="94">
        <f t="shared" si="0"/>
        <v>12</v>
      </c>
      <c r="P4" s="90" t="s">
        <v>0</v>
      </c>
      <c r="Q4" s="94">
        <v>1</v>
      </c>
      <c r="R4" s="94">
        <f aca="true" t="shared" si="1" ref="R4:AB4">Q4+1</f>
        <v>2</v>
      </c>
      <c r="S4" s="94">
        <f t="shared" si="1"/>
        <v>3</v>
      </c>
      <c r="T4" s="94">
        <f t="shared" si="1"/>
        <v>4</v>
      </c>
      <c r="U4" s="94">
        <f t="shared" si="1"/>
        <v>5</v>
      </c>
      <c r="V4" s="94">
        <f t="shared" si="1"/>
        <v>6</v>
      </c>
      <c r="W4" s="94">
        <f t="shared" si="1"/>
        <v>7</v>
      </c>
      <c r="X4" s="94">
        <f t="shared" si="1"/>
        <v>8</v>
      </c>
      <c r="Y4" s="94">
        <f t="shared" si="1"/>
        <v>9</v>
      </c>
      <c r="Z4" s="94">
        <f t="shared" si="1"/>
        <v>10</v>
      </c>
      <c r="AA4" s="94">
        <f t="shared" si="1"/>
        <v>11</v>
      </c>
      <c r="AB4" s="94">
        <f t="shared" si="1"/>
        <v>12</v>
      </c>
      <c r="AC4" s="90" t="s">
        <v>0</v>
      </c>
      <c r="AD4" s="94">
        <v>1</v>
      </c>
      <c r="AE4" s="94">
        <f aca="true" t="shared" si="2" ref="AE4:AO4">AD4+1</f>
        <v>2</v>
      </c>
      <c r="AF4" s="94">
        <f t="shared" si="2"/>
        <v>3</v>
      </c>
      <c r="AG4" s="94">
        <f t="shared" si="2"/>
        <v>4</v>
      </c>
      <c r="AH4" s="94">
        <f t="shared" si="2"/>
        <v>5</v>
      </c>
      <c r="AI4" s="94">
        <f t="shared" si="2"/>
        <v>6</v>
      </c>
      <c r="AJ4" s="94">
        <f t="shared" si="2"/>
        <v>7</v>
      </c>
      <c r="AK4" s="94">
        <f t="shared" si="2"/>
        <v>8</v>
      </c>
      <c r="AL4" s="94">
        <f t="shared" si="2"/>
        <v>9</v>
      </c>
      <c r="AM4" s="94">
        <f t="shared" si="2"/>
        <v>10</v>
      </c>
      <c r="AN4" s="94">
        <f t="shared" si="2"/>
        <v>11</v>
      </c>
      <c r="AO4" s="94">
        <f t="shared" si="2"/>
        <v>12</v>
      </c>
      <c r="AP4" s="90" t="s">
        <v>0</v>
      </c>
      <c r="AQ4" s="90" t="s">
        <v>110</v>
      </c>
      <c r="AR4" s="90" t="s">
        <v>110</v>
      </c>
      <c r="AS4" s="90" t="s">
        <v>110</v>
      </c>
      <c r="AT4" s="90" t="s">
        <v>110</v>
      </c>
      <c r="AU4" s="90" t="s">
        <v>110</v>
      </c>
    </row>
    <row r="5" spans="1:48" s="89" customFormat="1" ht="15" customHeight="1">
      <c r="A5" s="95" t="s">
        <v>347</v>
      </c>
      <c r="B5" s="96">
        <f>SUM(B6:B6)</f>
        <v>81703.07578125</v>
      </c>
      <c r="C5" s="97"/>
      <c r="D5" s="97">
        <f aca="true" t="shared" si="3" ref="D5:AU5">SUM(D6:D6)</f>
        <v>0</v>
      </c>
      <c r="E5" s="97">
        <f t="shared" si="3"/>
        <v>0</v>
      </c>
      <c r="F5" s="97">
        <f t="shared" si="3"/>
        <v>0</v>
      </c>
      <c r="G5" s="97">
        <f t="shared" si="3"/>
        <v>0</v>
      </c>
      <c r="H5" s="97">
        <f t="shared" si="3"/>
        <v>0</v>
      </c>
      <c r="I5" s="97">
        <f t="shared" si="3"/>
        <v>0</v>
      </c>
      <c r="J5" s="97">
        <f t="shared" si="3"/>
        <v>0</v>
      </c>
      <c r="K5" s="97">
        <f t="shared" si="3"/>
        <v>0</v>
      </c>
      <c r="L5" s="97">
        <f t="shared" si="3"/>
        <v>0</v>
      </c>
      <c r="M5" s="97">
        <f t="shared" si="3"/>
        <v>0</v>
      </c>
      <c r="N5" s="97">
        <f t="shared" si="3"/>
        <v>0</v>
      </c>
      <c r="O5" s="97">
        <f t="shared" si="3"/>
        <v>0</v>
      </c>
      <c r="P5" s="97">
        <f t="shared" si="3"/>
        <v>0</v>
      </c>
      <c r="Q5" s="97">
        <f t="shared" si="3"/>
        <v>0</v>
      </c>
      <c r="R5" s="97">
        <f t="shared" si="3"/>
        <v>0</v>
      </c>
      <c r="S5" s="97">
        <f t="shared" si="3"/>
        <v>315.27775125</v>
      </c>
      <c r="T5" s="97">
        <f t="shared" si="3"/>
        <v>420.37033499999995</v>
      </c>
      <c r="U5" s="97">
        <f t="shared" si="3"/>
        <v>630.5555025</v>
      </c>
      <c r="V5" s="97">
        <f t="shared" si="3"/>
        <v>1576.38875625</v>
      </c>
      <c r="W5" s="97">
        <f t="shared" si="3"/>
        <v>1786.5739237500002</v>
      </c>
      <c r="X5" s="97">
        <f t="shared" si="3"/>
        <v>1177.0369379999997</v>
      </c>
      <c r="Y5" s="97">
        <f t="shared" si="3"/>
        <v>924.814737</v>
      </c>
      <c r="Z5" s="97">
        <f t="shared" si="3"/>
        <v>735.6480862499999</v>
      </c>
      <c r="AA5" s="97">
        <f t="shared" si="3"/>
        <v>210.18516749999998</v>
      </c>
      <c r="AB5" s="97">
        <f t="shared" si="3"/>
        <v>105.09258374999999</v>
      </c>
      <c r="AC5" s="97">
        <f t="shared" si="3"/>
        <v>7881.94378125</v>
      </c>
      <c r="AD5" s="97">
        <f t="shared" si="3"/>
        <v>123.03522</v>
      </c>
      <c r="AE5" s="97">
        <f t="shared" si="3"/>
        <v>492.14088</v>
      </c>
      <c r="AF5" s="97">
        <f t="shared" si="3"/>
        <v>738.21132</v>
      </c>
      <c r="AG5" s="97">
        <f t="shared" si="3"/>
        <v>984.28176</v>
      </c>
      <c r="AH5" s="97">
        <f t="shared" si="3"/>
        <v>1476.42264</v>
      </c>
      <c r="AI5" s="97">
        <f t="shared" si="3"/>
        <v>1845.5283</v>
      </c>
      <c r="AJ5" s="97">
        <f t="shared" si="3"/>
        <v>2091.5987400000004</v>
      </c>
      <c r="AK5" s="97">
        <f t="shared" si="3"/>
        <v>1968.56352</v>
      </c>
      <c r="AL5" s="97">
        <f t="shared" si="3"/>
        <v>1353.38742</v>
      </c>
      <c r="AM5" s="97">
        <f t="shared" si="3"/>
        <v>861.2465400000002</v>
      </c>
      <c r="AN5" s="97">
        <f t="shared" si="3"/>
        <v>246.07044</v>
      </c>
      <c r="AO5" s="97">
        <f t="shared" si="3"/>
        <v>123.03522</v>
      </c>
      <c r="AP5" s="97">
        <f t="shared" si="3"/>
        <v>12303.521999999999</v>
      </c>
      <c r="AQ5" s="97">
        <f t="shared" si="3"/>
        <v>12303.522</v>
      </c>
      <c r="AR5" s="97">
        <f t="shared" si="3"/>
        <v>12303.522</v>
      </c>
      <c r="AS5" s="97">
        <f t="shared" si="3"/>
        <v>12303.522</v>
      </c>
      <c r="AT5" s="97">
        <f t="shared" si="3"/>
        <v>12303.522</v>
      </c>
      <c r="AU5" s="97">
        <f t="shared" si="3"/>
        <v>12303.522</v>
      </c>
      <c r="AV5" s="98"/>
    </row>
    <row r="6" spans="1:48" s="89" customFormat="1" ht="12.75">
      <c r="A6" s="288" t="str">
        <f>Дох!A5</f>
        <v>Обрезанный торец песчаника</v>
      </c>
      <c r="B6" s="96">
        <f>P6+AC6+AP6+AQ6+AR6+AS6+AT6+AU6</f>
        <v>81703.07578125</v>
      </c>
      <c r="C6" s="97"/>
      <c r="D6" s="99">
        <f>Производство!D10*Дох!$C5/1000</f>
        <v>0</v>
      </c>
      <c r="E6" s="99">
        <f>Производство!E10*Дох!$C5/1000</f>
        <v>0</v>
      </c>
      <c r="F6" s="99">
        <f>Производство!F10*Дох!$C5/1000</f>
        <v>0</v>
      </c>
      <c r="G6" s="99">
        <f>Производство!G10*Дох!$C5/1000</f>
        <v>0</v>
      </c>
      <c r="H6" s="99">
        <f>Производство!H10*Дох!$C5/1000</f>
        <v>0</v>
      </c>
      <c r="I6" s="99">
        <f>Производство!I10*Дох!$C5/1000</f>
        <v>0</v>
      </c>
      <c r="J6" s="99">
        <f>Производство!J10*Дох!$C5/1000</f>
        <v>0</v>
      </c>
      <c r="K6" s="99">
        <f>Производство!K10*Дох!$C5/1000</f>
        <v>0</v>
      </c>
      <c r="L6" s="99">
        <f>Производство!L10*Дох!$C5/1000</f>
        <v>0</v>
      </c>
      <c r="M6" s="99">
        <f>Производство!M10*Дох!$C5/1000</f>
        <v>0</v>
      </c>
      <c r="N6" s="99">
        <f>Производство!N10*Дох!$C5/1000</f>
        <v>0</v>
      </c>
      <c r="O6" s="99">
        <f>Производство!O10*Дох!$C5/1000</f>
        <v>0</v>
      </c>
      <c r="P6" s="97">
        <f>SUM(D6:O6)</f>
        <v>0</v>
      </c>
      <c r="Q6" s="99">
        <f>Производство!Q10*Дох!$C5/1000</f>
        <v>0</v>
      </c>
      <c r="R6" s="99">
        <f>Производство!R10*Дох!$C5/1000</f>
        <v>0</v>
      </c>
      <c r="S6" s="99">
        <f>Производство!S10*Дох!$C5/1000</f>
        <v>315.27775125</v>
      </c>
      <c r="T6" s="99">
        <f>Производство!T10*Дох!$C5/1000</f>
        <v>420.37033499999995</v>
      </c>
      <c r="U6" s="99">
        <f>Производство!U10*Дох!$C5/1000</f>
        <v>630.5555025</v>
      </c>
      <c r="V6" s="99">
        <f>Производство!V10*Дох!$C5/1000</f>
        <v>1576.38875625</v>
      </c>
      <c r="W6" s="99">
        <f>Производство!W10*Дох!$C5/1000</f>
        <v>1786.5739237500002</v>
      </c>
      <c r="X6" s="99">
        <f>Производство!X10*Дох!$C5/1000</f>
        <v>1177.0369379999997</v>
      </c>
      <c r="Y6" s="99">
        <f>Производство!Y10*Дох!$C5/1000</f>
        <v>924.814737</v>
      </c>
      <c r="Z6" s="99">
        <f>Производство!Z10*Дох!$C5/1000</f>
        <v>735.6480862499999</v>
      </c>
      <c r="AA6" s="99">
        <f>Производство!AA10*Дох!$C5/1000</f>
        <v>210.18516749999998</v>
      </c>
      <c r="AB6" s="99">
        <f>Производство!AB10*Дох!$C5/1000</f>
        <v>105.09258374999999</v>
      </c>
      <c r="AC6" s="97">
        <f>SUM(Q6:AB6)</f>
        <v>7881.94378125</v>
      </c>
      <c r="AD6" s="99">
        <f>Производство!AD10*Дох!$C5/1000</f>
        <v>123.03522</v>
      </c>
      <c r="AE6" s="99">
        <f>Производство!AE10*Дох!$C5/1000</f>
        <v>492.14088</v>
      </c>
      <c r="AF6" s="99">
        <f>Производство!AF10*Дох!$C5/1000</f>
        <v>738.21132</v>
      </c>
      <c r="AG6" s="99">
        <f>Производство!AG10*Дох!$C5/1000</f>
        <v>984.28176</v>
      </c>
      <c r="AH6" s="99">
        <f>Производство!AH10*Дох!$C5/1000</f>
        <v>1476.42264</v>
      </c>
      <c r="AI6" s="99">
        <f>Производство!AI10*Дох!$C5/1000</f>
        <v>1845.5283</v>
      </c>
      <c r="AJ6" s="99">
        <f>Производство!AJ10*Дох!$C5/1000</f>
        <v>2091.5987400000004</v>
      </c>
      <c r="AK6" s="99">
        <f>Производство!AK10*Дох!$C5/1000</f>
        <v>1968.56352</v>
      </c>
      <c r="AL6" s="99">
        <f>Производство!AL10*Дох!$C5/1000</f>
        <v>1353.38742</v>
      </c>
      <c r="AM6" s="99">
        <f>Производство!AM10*Дох!$C5/1000</f>
        <v>861.2465400000002</v>
      </c>
      <c r="AN6" s="99">
        <f>Производство!AN10*Дох!$C5/1000</f>
        <v>246.07044</v>
      </c>
      <c r="AO6" s="99">
        <f>Производство!AO10*Дох!$C5/1000</f>
        <v>123.03522</v>
      </c>
      <c r="AP6" s="97">
        <f>SUM(AD6:AO6)</f>
        <v>12303.521999999999</v>
      </c>
      <c r="AQ6" s="99">
        <f>Производство!AQ10*Дох!$C5/1000</f>
        <v>12303.522</v>
      </c>
      <c r="AR6" s="99">
        <f>Производство!AR10*Дох!$C5/1000</f>
        <v>12303.522</v>
      </c>
      <c r="AS6" s="99">
        <f>Производство!AS10*Дох!$C5/1000</f>
        <v>12303.522</v>
      </c>
      <c r="AT6" s="99">
        <f>Производство!AT10*Дох!$C5/1000</f>
        <v>12303.522</v>
      </c>
      <c r="AU6" s="99">
        <f>Производство!AU10*Дох!$C5/1000</f>
        <v>12303.522</v>
      </c>
      <c r="AV6" s="98"/>
    </row>
    <row r="7" spans="1:47" ht="15" customHeight="1">
      <c r="A7" s="95" t="s">
        <v>348</v>
      </c>
      <c r="B7" s="96">
        <f>SUM(B8:B8)</f>
        <v>29710.209375</v>
      </c>
      <c r="C7" s="97"/>
      <c r="D7" s="97">
        <f>SUM(D8:D9)</f>
        <v>0</v>
      </c>
      <c r="E7" s="97">
        <f aca="true" t="shared" si="4" ref="E7:AU7">SUM(E8:E9)</f>
        <v>0</v>
      </c>
      <c r="F7" s="97">
        <f t="shared" si="4"/>
        <v>0</v>
      </c>
      <c r="G7" s="97">
        <f t="shared" si="4"/>
        <v>0</v>
      </c>
      <c r="H7" s="97">
        <f t="shared" si="4"/>
        <v>0</v>
      </c>
      <c r="I7" s="97">
        <f t="shared" si="4"/>
        <v>0</v>
      </c>
      <c r="J7" s="97">
        <f t="shared" si="4"/>
        <v>0</v>
      </c>
      <c r="K7" s="97">
        <f t="shared" si="4"/>
        <v>0</v>
      </c>
      <c r="L7" s="97">
        <f t="shared" si="4"/>
        <v>0</v>
      </c>
      <c r="M7" s="97">
        <f t="shared" si="4"/>
        <v>0</v>
      </c>
      <c r="N7" s="97">
        <f t="shared" si="4"/>
        <v>0</v>
      </c>
      <c r="O7" s="97">
        <f t="shared" si="4"/>
        <v>0</v>
      </c>
      <c r="P7" s="97">
        <f t="shared" si="4"/>
        <v>0</v>
      </c>
      <c r="Q7" s="97">
        <f t="shared" si="4"/>
        <v>0</v>
      </c>
      <c r="R7" s="97">
        <f t="shared" si="4"/>
        <v>0</v>
      </c>
      <c r="S7" s="97">
        <f t="shared" si="4"/>
        <v>209.22978037500002</v>
      </c>
      <c r="T7" s="97">
        <f t="shared" si="4"/>
        <v>278.97304049999997</v>
      </c>
      <c r="U7" s="97">
        <f t="shared" si="4"/>
        <v>418.45956075000004</v>
      </c>
      <c r="V7" s="97">
        <f t="shared" si="4"/>
        <v>1046.148901875</v>
      </c>
      <c r="W7" s="97">
        <f t="shared" si="4"/>
        <v>1185.6354221249999</v>
      </c>
      <c r="X7" s="97">
        <f t="shared" si="4"/>
        <v>781.1245133999998</v>
      </c>
      <c r="Y7" s="97">
        <f t="shared" si="4"/>
        <v>613.7406891</v>
      </c>
      <c r="Z7" s="97">
        <f t="shared" si="4"/>
        <v>488.20282087499993</v>
      </c>
      <c r="AA7" s="97">
        <f t="shared" si="4"/>
        <v>139.48652024999998</v>
      </c>
      <c r="AB7" s="97">
        <f t="shared" si="4"/>
        <v>69.74326012499999</v>
      </c>
      <c r="AC7" s="97">
        <f t="shared" si="4"/>
        <v>5230.744509374999</v>
      </c>
      <c r="AD7" s="97">
        <f t="shared" si="4"/>
        <v>81.650646</v>
      </c>
      <c r="AE7" s="97">
        <f t="shared" si="4"/>
        <v>326.602584</v>
      </c>
      <c r="AF7" s="97">
        <f t="shared" si="4"/>
        <v>489.90387599999997</v>
      </c>
      <c r="AG7" s="97">
        <f t="shared" si="4"/>
        <v>653.205168</v>
      </c>
      <c r="AH7" s="97">
        <f t="shared" si="4"/>
        <v>979.8077519999999</v>
      </c>
      <c r="AI7" s="97">
        <f t="shared" si="4"/>
        <v>1224.7596899999999</v>
      </c>
      <c r="AJ7" s="97">
        <f t="shared" si="4"/>
        <v>1388.0609820000002</v>
      </c>
      <c r="AK7" s="97">
        <f t="shared" si="4"/>
        <v>1306.410336</v>
      </c>
      <c r="AL7" s="97">
        <f t="shared" si="4"/>
        <v>898.157106</v>
      </c>
      <c r="AM7" s="97">
        <f t="shared" si="4"/>
        <v>571.5545220000001</v>
      </c>
      <c r="AN7" s="97">
        <f t="shared" si="4"/>
        <v>163.301292</v>
      </c>
      <c r="AO7" s="97">
        <f t="shared" si="4"/>
        <v>81.650646</v>
      </c>
      <c r="AP7" s="97">
        <f t="shared" si="4"/>
        <v>8165.0646</v>
      </c>
      <c r="AQ7" s="97">
        <f t="shared" si="4"/>
        <v>8165.0646</v>
      </c>
      <c r="AR7" s="97">
        <f t="shared" si="4"/>
        <v>8165.0646</v>
      </c>
      <c r="AS7" s="97">
        <f t="shared" si="4"/>
        <v>8165.0646</v>
      </c>
      <c r="AT7" s="97">
        <f t="shared" si="4"/>
        <v>8165.0646</v>
      </c>
      <c r="AU7" s="97">
        <f t="shared" si="4"/>
        <v>8165.0646</v>
      </c>
    </row>
    <row r="8" spans="1:47" ht="12.75">
      <c r="A8" s="288" t="s">
        <v>199</v>
      </c>
      <c r="B8" s="96">
        <f>P8+AC8+AP8+AQ8+AR8+AS8+AT8+AU8</f>
        <v>29710.209375</v>
      </c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7">
        <f>SUM(D8:O8)</f>
        <v>0</v>
      </c>
      <c r="Q8" s="99">
        <f>Производство!Q$10*'Расх перем'!$E$6/1000</f>
        <v>0</v>
      </c>
      <c r="R8" s="99">
        <f>Производство!R$10*'Расх перем'!$E$6/1000</f>
        <v>0</v>
      </c>
      <c r="S8" s="99">
        <f>Производство!S$10*'Расх перем'!$E$6/1000</f>
        <v>114.646455</v>
      </c>
      <c r="T8" s="99">
        <f>Производство!T$10*'Расх перем'!$E$6/1000</f>
        <v>152.86194</v>
      </c>
      <c r="U8" s="99">
        <f>Производство!U$10*'Расх перем'!$E$6/1000</f>
        <v>229.29291</v>
      </c>
      <c r="V8" s="99">
        <f>Производство!V$10*'Расх перем'!$E$6/1000</f>
        <v>573.2322750000001</v>
      </c>
      <c r="W8" s="99">
        <f>Производство!W$10*'Расх перем'!$E$6/1000</f>
        <v>649.663245</v>
      </c>
      <c r="X8" s="99">
        <f>Производство!X$10*'Расх перем'!$E$6/1000</f>
        <v>428.01343199999997</v>
      </c>
      <c r="Y8" s="99">
        <f>Производство!Y$10*'Расх перем'!$E$6/1000</f>
        <v>336.29626800000005</v>
      </c>
      <c r="Z8" s="99">
        <f>Производство!Z$10*'Расх перем'!$E$6/1000</f>
        <v>267.508395</v>
      </c>
      <c r="AA8" s="99">
        <f>Производство!AA$10*'Расх перем'!$E$6/1000</f>
        <v>76.43097</v>
      </c>
      <c r="AB8" s="99">
        <f>Производство!AB$10*'Расх перем'!$E$6/1000</f>
        <v>38.215485</v>
      </c>
      <c r="AC8" s="97">
        <f>SUM(Q8:AB8)</f>
        <v>2866.1613749999997</v>
      </c>
      <c r="AD8" s="99">
        <f>Производство!AD$10*'Расх перем'!$E$6/1000</f>
        <v>44.74008</v>
      </c>
      <c r="AE8" s="99">
        <f>Производство!AE$10*'Расх перем'!$E$6/1000</f>
        <v>178.96032</v>
      </c>
      <c r="AF8" s="99">
        <f>Производство!AF$10*'Расх перем'!$E$6/1000</f>
        <v>268.44048</v>
      </c>
      <c r="AG8" s="99">
        <f>Производство!AG$10*'Расх перем'!$E$6/1000</f>
        <v>357.92064</v>
      </c>
      <c r="AH8" s="99">
        <f>Производство!AH$10*'Расх перем'!$E$6/1000</f>
        <v>536.88096</v>
      </c>
      <c r="AI8" s="99">
        <f>Производство!AI$10*'Расх перем'!$E$6/1000</f>
        <v>671.1012000000001</v>
      </c>
      <c r="AJ8" s="99">
        <f>Производство!AJ$10*'Расх перем'!$E$6/1000</f>
        <v>760.5813600000001</v>
      </c>
      <c r="AK8" s="99">
        <f>Производство!AK$10*'Расх перем'!$E$6/1000</f>
        <v>715.84128</v>
      </c>
      <c r="AL8" s="99">
        <f>Производство!AL$10*'Расх перем'!$E$6/1000</f>
        <v>492.14088</v>
      </c>
      <c r="AM8" s="99">
        <f>Производство!AM$10*'Расх перем'!$E$6/1000</f>
        <v>313.18056000000007</v>
      </c>
      <c r="AN8" s="99">
        <f>Производство!AN$10*'Расх перем'!$E$6/1000</f>
        <v>89.48016</v>
      </c>
      <c r="AO8" s="99">
        <f>Производство!AO$10*'Расх перем'!$E$6/1000</f>
        <v>44.74008</v>
      </c>
      <c r="AP8" s="97">
        <f>SUM(AD8:AO8)</f>
        <v>4474.008</v>
      </c>
      <c r="AQ8" s="99">
        <f>Производство!AQ$10*'Расх перем'!$E$6/1000</f>
        <v>4474.008</v>
      </c>
      <c r="AR8" s="99">
        <f>Производство!AR$10*'Расх перем'!$E$6/1000</f>
        <v>4474.008</v>
      </c>
      <c r="AS8" s="99">
        <f>Производство!AS$10*'Расх перем'!$E$6/1000</f>
        <v>4474.008</v>
      </c>
      <c r="AT8" s="99">
        <f>Производство!AT$10*'Расх перем'!$E$6/1000</f>
        <v>4474.008</v>
      </c>
      <c r="AU8" s="99">
        <f>Производство!AU$10*'Расх перем'!$E$6/1000</f>
        <v>4474.008</v>
      </c>
    </row>
    <row r="9" spans="1:47" ht="12.75">
      <c r="A9" s="288" t="s">
        <v>326</v>
      </c>
      <c r="B9" s="96">
        <f>P9+AC9+AP9+AQ9+AR9+AS9+AT9+AU9</f>
        <v>24510.922734375</v>
      </c>
      <c r="C9" s="97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7">
        <f>SUM(D9:O9)</f>
        <v>0</v>
      </c>
      <c r="Q9" s="99">
        <f>Q5*'Расх перем'!$D$7</f>
        <v>0</v>
      </c>
      <c r="R9" s="99">
        <f>R5*'Расх перем'!$D$7</f>
        <v>0</v>
      </c>
      <c r="S9" s="99">
        <f>S5*'Расх перем'!$D$7</f>
        <v>94.583325375</v>
      </c>
      <c r="T9" s="99">
        <f>T5*'Расх перем'!$D$7</f>
        <v>126.11110049999998</v>
      </c>
      <c r="U9" s="99">
        <f>U5*'Расх перем'!$D$7</f>
        <v>189.16665075</v>
      </c>
      <c r="V9" s="99">
        <f>V5*'Расх перем'!$D$7</f>
        <v>472.91662687499996</v>
      </c>
      <c r="W9" s="99">
        <f>W5*'Расх перем'!$D$7</f>
        <v>535.972177125</v>
      </c>
      <c r="X9" s="99">
        <f>X5*'Расх перем'!$D$7</f>
        <v>353.11108139999993</v>
      </c>
      <c r="Y9" s="99">
        <f>Y5*'Расх перем'!$D$7</f>
        <v>277.4444211</v>
      </c>
      <c r="Z9" s="99">
        <f>Z5*'Расх перем'!$D$7</f>
        <v>220.69442587499995</v>
      </c>
      <c r="AA9" s="99">
        <f>AA5*'Расх перем'!$D$7</f>
        <v>63.05555024999999</v>
      </c>
      <c r="AB9" s="99">
        <f>AB5*'Расх перем'!$D$7</f>
        <v>31.527775124999994</v>
      </c>
      <c r="AC9" s="97">
        <f>SUM(Q9:AB9)</f>
        <v>2364.583134375</v>
      </c>
      <c r="AD9" s="99">
        <f>AD5*'Расх перем'!$D$7</f>
        <v>36.910565999999996</v>
      </c>
      <c r="AE9" s="99">
        <f>AE5*'Расх перем'!$D$7</f>
        <v>147.64226399999998</v>
      </c>
      <c r="AF9" s="99">
        <f>AF5*'Расх перем'!$D$7</f>
        <v>221.463396</v>
      </c>
      <c r="AG9" s="99">
        <f>AG5*'Расх перем'!$D$7</f>
        <v>295.28452799999997</v>
      </c>
      <c r="AH9" s="99">
        <f>AH5*'Расх перем'!$D$7</f>
        <v>442.926792</v>
      </c>
      <c r="AI9" s="99">
        <f>AI5*'Расх перем'!$D$7</f>
        <v>553.6584899999999</v>
      </c>
      <c r="AJ9" s="99">
        <f>AJ5*'Расх перем'!$D$7</f>
        <v>627.4796220000001</v>
      </c>
      <c r="AK9" s="99">
        <f>AK5*'Расх перем'!$D$7</f>
        <v>590.5690559999999</v>
      </c>
      <c r="AL9" s="99">
        <f>AL5*'Расх перем'!$D$7</f>
        <v>406.016226</v>
      </c>
      <c r="AM9" s="99">
        <f>AM5*'Расх перем'!$D$7</f>
        <v>258.37396200000006</v>
      </c>
      <c r="AN9" s="99">
        <f>AN5*'Расх перем'!$D$7</f>
        <v>73.82113199999999</v>
      </c>
      <c r="AO9" s="99">
        <f>AO5*'Расх перем'!$D$7</f>
        <v>36.910565999999996</v>
      </c>
      <c r="AP9" s="97">
        <f>SUM(AD9:AO9)</f>
        <v>3691.0566</v>
      </c>
      <c r="AQ9" s="99">
        <f>AQ5*'Расх перем'!$D$7</f>
        <v>3691.0566</v>
      </c>
      <c r="AR9" s="99">
        <f>AR5*'Расх перем'!$D$7</f>
        <v>3691.0566</v>
      </c>
      <c r="AS9" s="99">
        <f>AS5*'Расх перем'!$D$7</f>
        <v>3691.0566</v>
      </c>
      <c r="AT9" s="99">
        <f>AT5*'Расх перем'!$D$7</f>
        <v>3691.0566</v>
      </c>
      <c r="AU9" s="99">
        <f>AU5*'Расх перем'!$D$7</f>
        <v>3691.0566</v>
      </c>
    </row>
    <row r="10" spans="1:47" s="89" customFormat="1" ht="15" customHeight="1">
      <c r="A10" s="95" t="s">
        <v>17</v>
      </c>
      <c r="B10" s="96">
        <f>B5-B7</f>
        <v>51992.866406249996</v>
      </c>
      <c r="C10" s="100"/>
      <c r="D10" s="97">
        <f aca="true" t="shared" si="5" ref="D10:AU10">D5-D7</f>
        <v>0</v>
      </c>
      <c r="E10" s="97">
        <f t="shared" si="5"/>
        <v>0</v>
      </c>
      <c r="F10" s="97">
        <f t="shared" si="5"/>
        <v>0</v>
      </c>
      <c r="G10" s="97">
        <f t="shared" si="5"/>
        <v>0</v>
      </c>
      <c r="H10" s="97">
        <f t="shared" si="5"/>
        <v>0</v>
      </c>
      <c r="I10" s="97">
        <f t="shared" si="5"/>
        <v>0</v>
      </c>
      <c r="J10" s="97">
        <f t="shared" si="5"/>
        <v>0</v>
      </c>
      <c r="K10" s="97">
        <f t="shared" si="5"/>
        <v>0</v>
      </c>
      <c r="L10" s="97">
        <f t="shared" si="5"/>
        <v>0</v>
      </c>
      <c r="M10" s="97">
        <f t="shared" si="5"/>
        <v>0</v>
      </c>
      <c r="N10" s="97">
        <f t="shared" si="5"/>
        <v>0</v>
      </c>
      <c r="O10" s="97">
        <f t="shared" si="5"/>
        <v>0</v>
      </c>
      <c r="P10" s="97">
        <f t="shared" si="5"/>
        <v>0</v>
      </c>
      <c r="Q10" s="97">
        <f t="shared" si="5"/>
        <v>0</v>
      </c>
      <c r="R10" s="97">
        <f t="shared" si="5"/>
        <v>0</v>
      </c>
      <c r="S10" s="97">
        <f t="shared" si="5"/>
        <v>106.04797087499998</v>
      </c>
      <c r="T10" s="97">
        <f t="shared" si="5"/>
        <v>141.3972945</v>
      </c>
      <c r="U10" s="97">
        <f t="shared" si="5"/>
        <v>212.09594174999995</v>
      </c>
      <c r="V10" s="97">
        <f t="shared" si="5"/>
        <v>530.2398543749998</v>
      </c>
      <c r="W10" s="97">
        <f t="shared" si="5"/>
        <v>600.9385016250003</v>
      </c>
      <c r="X10" s="97">
        <f t="shared" si="5"/>
        <v>395.9124245999999</v>
      </c>
      <c r="Y10" s="97">
        <f t="shared" si="5"/>
        <v>311.0740479</v>
      </c>
      <c r="Z10" s="97">
        <f t="shared" si="5"/>
        <v>247.44526537499996</v>
      </c>
      <c r="AA10" s="97">
        <f t="shared" si="5"/>
        <v>70.69864725</v>
      </c>
      <c r="AB10" s="97">
        <f t="shared" si="5"/>
        <v>35.349323625</v>
      </c>
      <c r="AC10" s="97">
        <f t="shared" si="5"/>
        <v>2651.1992718750007</v>
      </c>
      <c r="AD10" s="97">
        <f t="shared" si="5"/>
        <v>41.384574</v>
      </c>
      <c r="AE10" s="97">
        <f t="shared" si="5"/>
        <v>165.538296</v>
      </c>
      <c r="AF10" s="97">
        <f t="shared" si="5"/>
        <v>248.30744400000003</v>
      </c>
      <c r="AG10" s="97">
        <f t="shared" si="5"/>
        <v>331.076592</v>
      </c>
      <c r="AH10" s="97">
        <f t="shared" si="5"/>
        <v>496.61488800000006</v>
      </c>
      <c r="AI10" s="97">
        <f t="shared" si="5"/>
        <v>620.7686100000001</v>
      </c>
      <c r="AJ10" s="97">
        <f t="shared" si="5"/>
        <v>703.5377580000002</v>
      </c>
      <c r="AK10" s="97">
        <f t="shared" si="5"/>
        <v>662.153184</v>
      </c>
      <c r="AL10" s="97">
        <f t="shared" si="5"/>
        <v>455.230314</v>
      </c>
      <c r="AM10" s="97">
        <f t="shared" si="5"/>
        <v>289.6920180000001</v>
      </c>
      <c r="AN10" s="97">
        <f t="shared" si="5"/>
        <v>82.769148</v>
      </c>
      <c r="AO10" s="97">
        <f t="shared" si="5"/>
        <v>41.384574</v>
      </c>
      <c r="AP10" s="97">
        <f t="shared" si="5"/>
        <v>4138.457399999999</v>
      </c>
      <c r="AQ10" s="97">
        <f t="shared" si="5"/>
        <v>4138.457400000001</v>
      </c>
      <c r="AR10" s="97">
        <f t="shared" si="5"/>
        <v>4138.457400000001</v>
      </c>
      <c r="AS10" s="97">
        <f t="shared" si="5"/>
        <v>4138.457400000001</v>
      </c>
      <c r="AT10" s="97">
        <f t="shared" si="5"/>
        <v>4138.457400000001</v>
      </c>
      <c r="AU10" s="97">
        <f t="shared" si="5"/>
        <v>4138.457400000001</v>
      </c>
    </row>
    <row r="11" spans="1:47" ht="15" customHeight="1">
      <c r="A11" s="101" t="s">
        <v>143</v>
      </c>
      <c r="B11" s="96">
        <f>P11+AC11+AP11+AQ11+AR11+AS11+AT11+AU11</f>
        <v>11800.307968750003</v>
      </c>
      <c r="C11" s="9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7">
        <f aca="true" t="shared" si="6" ref="P11:P16">SUM(D11:O11)</f>
        <v>0</v>
      </c>
      <c r="Q11" s="99">
        <f>Пост!$D$14+Пост!$D$16+Пост!$D$19</f>
        <v>141.19634114583334</v>
      </c>
      <c r="R11" s="99">
        <f>Пост!$D$14+Пост!$D$16+Пост!$D$19</f>
        <v>141.19634114583334</v>
      </c>
      <c r="S11" s="99">
        <f>Пост!$D$14+Пост!$D$16+Пост!$D$19</f>
        <v>141.19634114583334</v>
      </c>
      <c r="T11" s="99">
        <f>Пост!$D$14+Пост!$D$16+Пост!$D$19</f>
        <v>141.19634114583334</v>
      </c>
      <c r="U11" s="99">
        <f>Пост!$D$14+Пост!$D$16+Пост!$D$19</f>
        <v>141.19634114583334</v>
      </c>
      <c r="V11" s="99">
        <f>Пост!$D$14+Пост!$D$16+Пост!$D$19</f>
        <v>141.19634114583334</v>
      </c>
      <c r="W11" s="99">
        <f>Пост!$D$14+Пост!$D$16+Пост!$D$19</f>
        <v>141.19634114583334</v>
      </c>
      <c r="X11" s="99">
        <f>Пост!$D$14+Пост!$D$16+Пост!$D$19</f>
        <v>141.19634114583334</v>
      </c>
      <c r="Y11" s="99">
        <f>Пост!$D$14+Пост!$D$16+Пост!$D$19</f>
        <v>141.19634114583334</v>
      </c>
      <c r="Z11" s="99">
        <f>Пост!$D$14+Пост!$D$16+Пост!$D$19</f>
        <v>141.19634114583334</v>
      </c>
      <c r="AA11" s="99">
        <f>Пост!$D$14+Пост!$D$16+Пост!$D$19</f>
        <v>141.19634114583334</v>
      </c>
      <c r="AB11" s="99">
        <f>Пост!$D$14+Пост!$D$16+Пост!$D$19</f>
        <v>141.19634114583334</v>
      </c>
      <c r="AC11" s="97">
        <f aca="true" t="shared" si="7" ref="AC11:AC16">SUM(Q11:AB11)</f>
        <v>1694.3560937499997</v>
      </c>
      <c r="AD11" s="99">
        <f>Пост!$E$14+Пост!$E$16+Пост!$E$19</f>
        <v>140.95751302083335</v>
      </c>
      <c r="AE11" s="99">
        <f>Пост!$E$14+Пост!$E$16+Пост!$E$19</f>
        <v>140.95751302083335</v>
      </c>
      <c r="AF11" s="99">
        <f>Пост!$E$14+Пост!$E$16+Пост!$E$19</f>
        <v>140.95751302083335</v>
      </c>
      <c r="AG11" s="99">
        <f>Пост!$E$14+Пост!$E$16+Пост!$E$19</f>
        <v>140.95751302083335</v>
      </c>
      <c r="AH11" s="99">
        <f>Пост!$E$14+Пост!$E$16+Пост!$E$19</f>
        <v>140.95751302083335</v>
      </c>
      <c r="AI11" s="99">
        <f>Пост!$E$14+Пост!$E$16+Пост!$E$19</f>
        <v>140.95751302083335</v>
      </c>
      <c r="AJ11" s="99">
        <f>Пост!$E$14+Пост!$E$16+Пост!$E$19</f>
        <v>140.95751302083335</v>
      </c>
      <c r="AK11" s="99">
        <f>Пост!$E$14+Пост!$E$16+Пост!$E$19</f>
        <v>140.95751302083335</v>
      </c>
      <c r="AL11" s="99">
        <f>Пост!$E$14+Пост!$E$16+Пост!$E$19</f>
        <v>140.95751302083335</v>
      </c>
      <c r="AM11" s="99">
        <f>Пост!$E$14+Пост!$E$16+Пост!$E$19</f>
        <v>140.95751302083335</v>
      </c>
      <c r="AN11" s="99">
        <f>Пост!$E$14+Пост!$E$16+Пост!$E$19</f>
        <v>140.95751302083335</v>
      </c>
      <c r="AO11" s="99">
        <f>Пост!$E$14+Пост!$E$16+Пост!$E$19</f>
        <v>140.95751302083335</v>
      </c>
      <c r="AP11" s="97">
        <f aca="true" t="shared" si="8" ref="AP11:AP16">SUM(AD11:AO11)</f>
        <v>1691.4901562500006</v>
      </c>
      <c r="AQ11" s="99">
        <f>(Пост!F14+Пост!F16+Пост!F19)*12</f>
        <v>1688.6242187500002</v>
      </c>
      <c r="AR11" s="99">
        <f>(Пост!G14+Пост!G16+Пост!G19)*12</f>
        <v>1685.7582812500002</v>
      </c>
      <c r="AS11" s="99">
        <f>(Пост!H14+Пост!H16+Пост!H19)*12</f>
        <v>1682.8923437500002</v>
      </c>
      <c r="AT11" s="99">
        <f>(Пост!I14+Пост!I16+Пост!I19)*12</f>
        <v>1680.02640625</v>
      </c>
      <c r="AU11" s="99">
        <f>(Пост!J14+Пост!J16+Пост!J19)*12</f>
        <v>1677.1604687499998</v>
      </c>
    </row>
    <row r="12" spans="1:47" ht="15" customHeight="1">
      <c r="A12" s="101" t="s">
        <v>77</v>
      </c>
      <c r="B12" s="96">
        <f>P12+AC12+AP12+AQ12+AR12+AS12+AT12+AU12</f>
        <v>2308.3003160000003</v>
      </c>
      <c r="C12" s="97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>
        <f>Пост!$C$29/12</f>
        <v>0</v>
      </c>
      <c r="O12" s="99">
        <f>Пост!$C$29/12</f>
        <v>0</v>
      </c>
      <c r="P12" s="97">
        <f t="shared" si="6"/>
        <v>0</v>
      </c>
      <c r="Q12" s="99">
        <f>Пост!$D$29/12</f>
        <v>27.47976566666667</v>
      </c>
      <c r="R12" s="99">
        <f>Пост!$D$29/12</f>
        <v>27.47976566666667</v>
      </c>
      <c r="S12" s="99">
        <f>Пост!$D$29/12</f>
        <v>27.47976566666667</v>
      </c>
      <c r="T12" s="99">
        <f>Пост!$D$29/12</f>
        <v>27.47976566666667</v>
      </c>
      <c r="U12" s="99">
        <f>Пост!$D$29/12</f>
        <v>27.47976566666667</v>
      </c>
      <c r="V12" s="99">
        <f>Пост!$D$29/12</f>
        <v>27.47976566666667</v>
      </c>
      <c r="W12" s="99">
        <f>Пост!$D$29/12</f>
        <v>27.47976566666667</v>
      </c>
      <c r="X12" s="99">
        <f>Пост!$D$29/12</f>
        <v>27.47976566666667</v>
      </c>
      <c r="Y12" s="99">
        <f>Пост!$D$29/12</f>
        <v>27.47976566666667</v>
      </c>
      <c r="Z12" s="99">
        <f>Пост!$D$29/12</f>
        <v>27.47976566666667</v>
      </c>
      <c r="AA12" s="99">
        <f>Пост!$D$29/12</f>
        <v>27.47976566666667</v>
      </c>
      <c r="AB12" s="99">
        <f>Пост!$D$29/12</f>
        <v>27.47976566666667</v>
      </c>
      <c r="AC12" s="97">
        <f t="shared" si="7"/>
        <v>329.75718800000004</v>
      </c>
      <c r="AD12" s="99">
        <f>Пост!$E$29/12</f>
        <v>27.47976566666667</v>
      </c>
      <c r="AE12" s="99">
        <f>Пост!$E$29/12</f>
        <v>27.47976566666667</v>
      </c>
      <c r="AF12" s="99">
        <f>Пост!$E$29/12</f>
        <v>27.47976566666667</v>
      </c>
      <c r="AG12" s="99">
        <f>Пост!$E$29/12</f>
        <v>27.47976566666667</v>
      </c>
      <c r="AH12" s="99">
        <f>Пост!$E$29/12</f>
        <v>27.47976566666667</v>
      </c>
      <c r="AI12" s="99">
        <f>Пост!$E$29/12</f>
        <v>27.47976566666667</v>
      </c>
      <c r="AJ12" s="99">
        <f>Пост!$E$29/12</f>
        <v>27.47976566666667</v>
      </c>
      <c r="AK12" s="99">
        <f>Пост!$E$29/12</f>
        <v>27.47976566666667</v>
      </c>
      <c r="AL12" s="99">
        <f>Пост!$E$29/12</f>
        <v>27.47976566666667</v>
      </c>
      <c r="AM12" s="99">
        <f>Пост!$E$29/12</f>
        <v>27.47976566666667</v>
      </c>
      <c r="AN12" s="99">
        <f>Пост!$E$29/12</f>
        <v>27.47976566666667</v>
      </c>
      <c r="AO12" s="99">
        <f>Пост!$E$29/12</f>
        <v>27.47976566666667</v>
      </c>
      <c r="AP12" s="97">
        <f t="shared" si="8"/>
        <v>329.75718800000004</v>
      </c>
      <c r="AQ12" s="99">
        <f>Пост!F29</f>
        <v>329.75718800000004</v>
      </c>
      <c r="AR12" s="99">
        <f>Пост!G29</f>
        <v>329.75718800000004</v>
      </c>
      <c r="AS12" s="99">
        <f>Пост!H29</f>
        <v>329.75718800000004</v>
      </c>
      <c r="AT12" s="99">
        <f>Пост!I29</f>
        <v>329.75718800000004</v>
      </c>
      <c r="AU12" s="99">
        <f>Пост!J29</f>
        <v>329.75718800000004</v>
      </c>
    </row>
    <row r="13" spans="1:47" ht="15" customHeight="1">
      <c r="A13" s="101" t="s">
        <v>27</v>
      </c>
      <c r="B13" s="96">
        <f>P13+AC13+AP13+AQ13+AR13+AS13+AT13+AU13</f>
        <v>1271.3718306098467</v>
      </c>
      <c r="C13" s="97"/>
      <c r="D13" s="99">
        <f>кр!C24</f>
        <v>0</v>
      </c>
      <c r="E13" s="99">
        <f>кр!D24</f>
        <v>0</v>
      </c>
      <c r="F13" s="99">
        <f>кр!E24</f>
        <v>0</v>
      </c>
      <c r="G13" s="99">
        <f>кр!F24</f>
        <v>0</v>
      </c>
      <c r="H13" s="99">
        <f>кр!G24</f>
        <v>0</v>
      </c>
      <c r="I13" s="99">
        <f>кр!H24</f>
        <v>0</v>
      </c>
      <c r="J13" s="99">
        <f>кр!I24</f>
        <v>0</v>
      </c>
      <c r="K13" s="99">
        <f>кр!J24</f>
        <v>0</v>
      </c>
      <c r="L13" s="99">
        <f>кр!K24</f>
        <v>0</v>
      </c>
      <c r="M13" s="99">
        <f>кр!L24</f>
        <v>0</v>
      </c>
      <c r="N13" s="99">
        <f>кр!M24</f>
        <v>0</v>
      </c>
      <c r="O13" s="99">
        <f>кр!N24</f>
        <v>24.808492216666664</v>
      </c>
      <c r="P13" s="97">
        <f t="shared" si="6"/>
        <v>24.808492216666664</v>
      </c>
      <c r="Q13" s="99">
        <f>кр!P24</f>
        <v>24.808492216666664</v>
      </c>
      <c r="R13" s="99">
        <f>кр!Q24</f>
        <v>24.808492216666664</v>
      </c>
      <c r="S13" s="99">
        <f>кр!R24</f>
        <v>24.808492216666664</v>
      </c>
      <c r="T13" s="99">
        <f>кр!S24</f>
        <v>24.808492216666664</v>
      </c>
      <c r="U13" s="99">
        <f>кр!T24</f>
        <v>24.808492216666664</v>
      </c>
      <c r="V13" s="99">
        <f>кр!U24</f>
        <v>25.676789444249994</v>
      </c>
      <c r="W13" s="99">
        <f>кр!V24</f>
        <v>25.676789444249994</v>
      </c>
      <c r="X13" s="99">
        <f>кр!W24</f>
        <v>25.676789444249994</v>
      </c>
      <c r="Y13" s="99">
        <f>кр!X24</f>
        <v>25.676789444249994</v>
      </c>
      <c r="Z13" s="99">
        <f>кр!Y24</f>
        <v>25.40289759494213</v>
      </c>
      <c r="AA13" s="99">
        <f>кр!Z24</f>
        <v>25.12740804317996</v>
      </c>
      <c r="AB13" s="99">
        <f>кр!AA24</f>
        <v>24.850311469032516</v>
      </c>
      <c r="AC13" s="97">
        <f t="shared" si="7"/>
        <v>302.1302359674879</v>
      </c>
      <c r="AD13" s="99">
        <f>кр!AC24</f>
        <v>24.571598498202537</v>
      </c>
      <c r="AE13" s="99">
        <f>кр!AD24</f>
        <v>24.29125970170939</v>
      </c>
      <c r="AF13" s="99">
        <f>кр!AE24</f>
        <v>24.009285595570034</v>
      </c>
      <c r="AG13" s="99">
        <f>кр!AF24</f>
        <v>23.7256666404782</v>
      </c>
      <c r="AH13" s="99">
        <f>кр!AG24</f>
        <v>23.44039324148166</v>
      </c>
      <c r="AI13" s="99">
        <f>кр!AH24</f>
        <v>23.15345574765764</v>
      </c>
      <c r="AJ13" s="99">
        <f>кр!AI24</f>
        <v>22.864844451786315</v>
      </c>
      <c r="AK13" s="99">
        <f>кр!AJ24</f>
        <v>22.574549590022404</v>
      </c>
      <c r="AL13" s="99">
        <f>кр!AK24</f>
        <v>22.282561341564875</v>
      </c>
      <c r="AM13" s="99">
        <f>кр!AL24</f>
        <v>21.988869828324678</v>
      </c>
      <c r="AN13" s="99">
        <f>кр!AM24</f>
        <v>21.693465114590577</v>
      </c>
      <c r="AO13" s="99">
        <f>кр!AN24</f>
        <v>21.39633720669303</v>
      </c>
      <c r="AP13" s="97">
        <f t="shared" si="8"/>
        <v>275.9922869580813</v>
      </c>
      <c r="AQ13" s="99">
        <f>кр!BB24</f>
        <v>232.93892824511664</v>
      </c>
      <c r="AR13" s="99">
        <f>кр!BO24</f>
        <v>186.7732387496591</v>
      </c>
      <c r="AS13" s="99">
        <f>кр!CB24</f>
        <v>137.27022782779113</v>
      </c>
      <c r="AT13" s="99">
        <f>кр!CO24</f>
        <v>84.18864024375421</v>
      </c>
      <c r="AU13" s="99">
        <f>кр!DB24</f>
        <v>27.269780401289907</v>
      </c>
    </row>
    <row r="14" spans="1:47" ht="15" customHeight="1">
      <c r="A14" s="101" t="s">
        <v>202</v>
      </c>
      <c r="B14" s="96">
        <f>P14+AC14+AP14+AQ14+AR14+AS14+AT14+AU14</f>
        <v>12101.963556515158</v>
      </c>
      <c r="C14" s="100"/>
      <c r="D14" s="99">
        <f>D10-D11-D13-D12</f>
        <v>0</v>
      </c>
      <c r="E14" s="99">
        <f aca="true" t="shared" si="9" ref="E14:O14">E10-E11-E13-E12</f>
        <v>0</v>
      </c>
      <c r="F14" s="99">
        <f t="shared" si="9"/>
        <v>0</v>
      </c>
      <c r="G14" s="99">
        <f t="shared" si="9"/>
        <v>0</v>
      </c>
      <c r="H14" s="99">
        <f t="shared" si="9"/>
        <v>0</v>
      </c>
      <c r="I14" s="99">
        <f t="shared" si="9"/>
        <v>0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99">
        <f t="shared" si="9"/>
        <v>0</v>
      </c>
      <c r="O14" s="99">
        <f t="shared" si="9"/>
        <v>-24.808492216666664</v>
      </c>
      <c r="P14" s="97">
        <f t="shared" si="6"/>
        <v>-24.808492216666664</v>
      </c>
      <c r="Q14" s="99">
        <f aca="true" t="shared" si="10" ref="Q14:AB14">Q10-Q11-Q13-Q12</f>
        <v>-193.48459902916667</v>
      </c>
      <c r="R14" s="99">
        <f t="shared" si="10"/>
        <v>-193.48459902916667</v>
      </c>
      <c r="S14" s="99">
        <f t="shared" si="10"/>
        <v>-87.4366281541667</v>
      </c>
      <c r="T14" s="99">
        <f t="shared" si="10"/>
        <v>-52.08730452916669</v>
      </c>
      <c r="U14" s="99">
        <f t="shared" si="10"/>
        <v>18.611342720833274</v>
      </c>
      <c r="V14" s="99">
        <f t="shared" si="10"/>
        <v>335.8869581182498</v>
      </c>
      <c r="W14" s="99">
        <f t="shared" si="10"/>
        <v>406.5856053682503</v>
      </c>
      <c r="X14" s="99">
        <f t="shared" si="10"/>
        <v>201.55952834324987</v>
      </c>
      <c r="Y14" s="99">
        <f t="shared" si="10"/>
        <v>116.72115164324997</v>
      </c>
      <c r="Z14" s="99">
        <f t="shared" si="10"/>
        <v>53.36626096755782</v>
      </c>
      <c r="AA14" s="99">
        <f t="shared" si="10"/>
        <v>-123.10486760567997</v>
      </c>
      <c r="AB14" s="99">
        <f t="shared" si="10"/>
        <v>-158.17709465653255</v>
      </c>
      <c r="AC14" s="97">
        <f t="shared" si="7"/>
        <v>324.95575415751193</v>
      </c>
      <c r="AD14" s="99">
        <f aca="true" t="shared" si="11" ref="AD14:AO14">AD10-AD11-AD13-AD12</f>
        <v>-151.62430318570256</v>
      </c>
      <c r="AE14" s="99">
        <f t="shared" si="11"/>
        <v>-27.190242389209402</v>
      </c>
      <c r="AF14" s="99">
        <f t="shared" si="11"/>
        <v>55.860879716929986</v>
      </c>
      <c r="AG14" s="99">
        <f t="shared" si="11"/>
        <v>138.91364667202177</v>
      </c>
      <c r="AH14" s="99">
        <f t="shared" si="11"/>
        <v>304.7372160710184</v>
      </c>
      <c r="AI14" s="99">
        <f t="shared" si="11"/>
        <v>429.17787556484245</v>
      </c>
      <c r="AJ14" s="99">
        <f t="shared" si="11"/>
        <v>512.2356348607137</v>
      </c>
      <c r="AK14" s="99">
        <f t="shared" si="11"/>
        <v>471.14135572247756</v>
      </c>
      <c r="AL14" s="99">
        <f t="shared" si="11"/>
        <v>264.51047397093515</v>
      </c>
      <c r="AM14" s="99">
        <f t="shared" si="11"/>
        <v>99.26586948417538</v>
      </c>
      <c r="AN14" s="99">
        <f t="shared" si="11"/>
        <v>-107.36159580209059</v>
      </c>
      <c r="AO14" s="99">
        <f t="shared" si="11"/>
        <v>-148.44904189419304</v>
      </c>
      <c r="AP14" s="97">
        <f t="shared" si="8"/>
        <v>1841.217768791919</v>
      </c>
      <c r="AQ14" s="99">
        <f>AQ10-AQ11-AQ13-AQ12</f>
        <v>1887.1370650048843</v>
      </c>
      <c r="AR14" s="99">
        <f>AR10-AR11-AR13-AR12</f>
        <v>1936.1686920003417</v>
      </c>
      <c r="AS14" s="99">
        <f>AS10-AS11-AS13-AS12</f>
        <v>1988.5376404222097</v>
      </c>
      <c r="AT14" s="99">
        <f>AT10-AT11-AT13-AT12</f>
        <v>2044.485165506247</v>
      </c>
      <c r="AU14" s="99">
        <f>AU10-AU11-AU13-AU12</f>
        <v>2104.269962848711</v>
      </c>
    </row>
    <row r="15" spans="1:47" ht="15" customHeight="1">
      <c r="A15" s="101" t="str">
        <f>Исх!A20</f>
        <v>Подоходный налог ИП, соц.налог</v>
      </c>
      <c r="B15" s="96">
        <f>P15+AC15+AP15+AQ15+AR15+AS15+AT15+AU15</f>
        <v>363.05890669545477</v>
      </c>
      <c r="C15" s="97"/>
      <c r="D15" s="132">
        <f>IF(D14+C17&lt;0,0,IF(C17&lt;0,(C17+D14)*Исх!$C$20,D14*Исх!$C$20))</f>
        <v>0</v>
      </c>
      <c r="E15" s="132">
        <f>IF(E14+D17&lt;0,0,IF(D17&lt;0,(D17+E14)*Исх!$C$20,E14*Исх!$C$20))</f>
        <v>0</v>
      </c>
      <c r="F15" s="132">
        <f>IF(F14+E17&lt;0,0,IF(E17&lt;0,(E17+F14)*Исх!$C$20,F14*Исх!$C$20))</f>
        <v>0</v>
      </c>
      <c r="G15" s="132">
        <f>IF(G14+F17&lt;0,0,IF(F17&lt;0,(F17+G14)*Исх!$C$20,G14*Исх!$C$20))</f>
        <v>0</v>
      </c>
      <c r="H15" s="132">
        <f>IF(H14+G17&lt;0,0,IF(G17&lt;0,(G17+H14)*Исх!$C$20,H14*Исх!$C$20))</f>
        <v>0</v>
      </c>
      <c r="I15" s="132">
        <f>IF(I14+H17&lt;0,0,IF(H17&lt;0,(H17+I14)*Исх!$C$20,I14*Исх!$C$20))</f>
        <v>0</v>
      </c>
      <c r="J15" s="132">
        <f>IF(J14+I17&lt;0,0,IF(I17&lt;0,(I17+J14)*Исх!$C$20,J14*Исх!$C$20))</f>
        <v>0</v>
      </c>
      <c r="K15" s="132">
        <f>IF(K14+J17&lt;0,0,IF(J17&lt;0,(J17+K14)*Исх!$C$20,K14*Исх!$C$20))</f>
        <v>0</v>
      </c>
      <c r="L15" s="132">
        <f>IF(L14+K17&lt;0,0,IF(K17&lt;0,(K17+L14)*Исх!$C$20,L14*Исх!$C$20))</f>
        <v>0</v>
      </c>
      <c r="M15" s="132">
        <f>IF(M14+L17&lt;0,0,IF(L17&lt;0,(L17+M14)*Исх!$C$20,M14*Исх!$C$20))</f>
        <v>0</v>
      </c>
      <c r="N15" s="132">
        <f>IF(N14+M17&lt;0,0,IF(M17&lt;0,(M17+N14)*Исх!$C$20,N14*Исх!$C$20))</f>
        <v>0</v>
      </c>
      <c r="O15" s="132">
        <f>IF(O14+N17&lt;0,0,IF(N17&lt;0,(N17+O14)*Исх!$C$20,O14*Исх!$C$20))</f>
        <v>0</v>
      </c>
      <c r="P15" s="97">
        <f t="shared" si="6"/>
        <v>0</v>
      </c>
      <c r="Q15" s="132">
        <f>IF(Q14+P17&lt;0,0,IF(P17&lt;0,(P17+Q14)*Исх!$C$20,Q14*Исх!$C$20))</f>
        <v>0</v>
      </c>
      <c r="R15" s="132">
        <f>IF(R14+Q17&lt;0,0,IF(Q17&lt;0,(Q17+R14)*Исх!$C$20,R14*Исх!$C$20))</f>
        <v>0</v>
      </c>
      <c r="S15" s="132">
        <f>IF(S14+R17&lt;0,0,IF(R17&lt;0,(R17+S14)*Исх!$C$20,S14*Исх!$C$20))</f>
        <v>0</v>
      </c>
      <c r="T15" s="132">
        <f>IF(T14+S17&lt;0,0,IF(S17&lt;0,(S17+T14)*Исх!$C$20,T14*Исх!$C$20))</f>
        <v>0</v>
      </c>
      <c r="U15" s="132">
        <f>IF(U14+T17&lt;0,0,IF(T17&lt;0,(T17+U14)*Исх!$C$20,U14*Исх!$C$20))</f>
        <v>0</v>
      </c>
      <c r="V15" s="132">
        <f>IF(V14+U17&lt;0,0,IF(U17&lt;0,(U17+V14)*Исх!$C$20,V14*Исх!$C$20))</f>
        <v>0</v>
      </c>
      <c r="W15" s="132">
        <f>IF(W14+V17&lt;0,0,IF(V17&lt;0,(V17+W14)*Исх!$C$20,W14*Исх!$C$20))</f>
        <v>6.293468497469999</v>
      </c>
      <c r="X15" s="132">
        <f>IF(X14+W17&lt;0,0,IF(W17&lt;0,(W17+X14)*Исх!$C$20,X14*Исх!$C$20))</f>
        <v>6.046785850297495</v>
      </c>
      <c r="Y15" s="132">
        <f>IF(Y14+X17&lt;0,0,IF(X17&lt;0,(X17+Y14)*Исх!$C$20,Y14*Исх!$C$20))</f>
        <v>3.5016345492974987</v>
      </c>
      <c r="Z15" s="132">
        <f>IF(Z14+Y17&lt;0,0,IF(Y17&lt;0,(Y17+Z14)*Исх!$C$20,Z14*Исх!$C$20))</f>
        <v>1.6009878290267345</v>
      </c>
      <c r="AA15" s="132">
        <f>IF(AA14+Z17&lt;0,0,IF(Z17&lt;0,(Z17+AA14)*Исх!$C$20,AA14*Исх!$C$20))</f>
        <v>-3.693146028170399</v>
      </c>
      <c r="AB15" s="132">
        <f>IF(AB14+AA17&lt;0,0,IF(AA17&lt;0,(AA17+AB14)*Исх!$C$20,AB14*Исх!$C$20))</f>
        <v>-4.745312839695976</v>
      </c>
      <c r="AC15" s="97">
        <f t="shared" si="7"/>
        <v>9.004417858225352</v>
      </c>
      <c r="AD15" s="132">
        <f>IF(AD14+AC17&lt;0,0,IF(AC17&lt;0,(AC17+AD14)*Исх!$C$20,AD14*Исх!$C$20))</f>
        <v>-4.548729095571076</v>
      </c>
      <c r="AE15" s="132">
        <f>IF(AE14+AD17&lt;0,0,IF(AD17&lt;0,(AD17+AE14)*Исх!$C$20,AE14*Исх!$C$20))</f>
        <v>-0.815707271676282</v>
      </c>
      <c r="AF15" s="132">
        <f>IF(AF14+AE17&lt;0,0,IF(AE17&lt;0,(AE17+AF14)*Исх!$C$20,AF14*Исх!$C$20))</f>
        <v>1.6758263915078995</v>
      </c>
      <c r="AG15" s="132">
        <f>IF(AG14+AF17&lt;0,0,IF(AF17&lt;0,(AF17+AG14)*Исх!$C$20,AG14*Исх!$C$20))</f>
        <v>4.167409400160653</v>
      </c>
      <c r="AH15" s="132">
        <f>IF(AH14+AG17&lt;0,0,IF(AG17&lt;0,(AG17+AH14)*Исх!$C$20,AH14*Исх!$C$20))</f>
        <v>9.142116482130552</v>
      </c>
      <c r="AI15" s="132">
        <f>IF(AI14+AH17&lt;0,0,IF(AH17&lt;0,(AH17+AI14)*Исх!$C$20,AI14*Исх!$C$20))</f>
        <v>12.875336266945274</v>
      </c>
      <c r="AJ15" s="132">
        <f>IF(AJ14+AI17&lt;0,0,IF(AI17&lt;0,(AI17+AJ14)*Исх!$C$20,AJ14*Исх!$C$20))</f>
        <v>15.367069045821411</v>
      </c>
      <c r="AK15" s="132">
        <f>IF(AK14+AJ17&lt;0,0,IF(AJ17&lt;0,(AJ17+AK14)*Исх!$C$20,AK14*Исх!$C$20))</f>
        <v>14.134240671674327</v>
      </c>
      <c r="AL15" s="132">
        <f>IF(AL14+AK17&lt;0,0,IF(AK17&lt;0,(AK17+AL14)*Исх!$C$20,AL14*Исх!$C$20))</f>
        <v>7.935314219128054</v>
      </c>
      <c r="AM15" s="132">
        <f>IF(AM14+AL17&lt;0,0,IF(AL17&lt;0,(AL17+AM14)*Исх!$C$20,AM14*Исх!$C$20))</f>
        <v>2.9779760845252614</v>
      </c>
      <c r="AN15" s="132">
        <f>IF(AN14+AM17&lt;0,0,IF(AM17&lt;0,(AM17+AN14)*Исх!$C$20,AN14*Исх!$C$20))</f>
        <v>-3.2208478740627178</v>
      </c>
      <c r="AO15" s="132">
        <f>IF(AO14+AN17&lt;0,0,IF(AN17&lt;0,(AN17+AO14)*Исх!$C$20,AO14*Исх!$C$20))</f>
        <v>-4.453471256825791</v>
      </c>
      <c r="AP15" s="97">
        <f t="shared" si="8"/>
        <v>55.236533063757555</v>
      </c>
      <c r="AQ15" s="132">
        <f>IF(AQ14+AP17&lt;0,0,IF(AP17&lt;0,(AP17+AQ14)*Исх!$C$20,AQ14*Исх!$C$20))</f>
        <v>56.61411195014653</v>
      </c>
      <c r="AR15" s="132">
        <f>IF(AR14+AQ17&lt;0,0,IF(AQ17&lt;0,(AQ17+AR14)*Исх!$C$20,AR14*Исх!$C$20))</f>
        <v>58.08506076001025</v>
      </c>
      <c r="AS15" s="132">
        <f>IF(AS14+AR17&lt;0,0,IF(AR17&lt;0,(AR17+AS14)*Исх!$C$20,AS14*Исх!$C$20))</f>
        <v>59.656129212666286</v>
      </c>
      <c r="AT15" s="132">
        <f>IF(AT14+AS17&lt;0,0,IF(AS17&lt;0,(AS17+AT14)*Исх!$C$20,AT14*Исх!$C$20))</f>
        <v>61.33455496518741</v>
      </c>
      <c r="AU15" s="132">
        <f>IF(AU14+AT17&lt;0,0,IF(AT17&lt;0,(AT17+AU14)*Исх!$C$20,AU14*Исх!$C$20))</f>
        <v>63.128098885461334</v>
      </c>
    </row>
    <row r="16" spans="1:47" ht="15" customHeight="1">
      <c r="A16" s="101" t="s">
        <v>4</v>
      </c>
      <c r="B16" s="96">
        <f>B14-B15</f>
        <v>11738.904649819704</v>
      </c>
      <c r="C16" s="100"/>
      <c r="D16" s="99">
        <f aca="true" t="shared" si="12" ref="D16:Q16">D14-D15</f>
        <v>0</v>
      </c>
      <c r="E16" s="99">
        <f>E14-E15</f>
        <v>0</v>
      </c>
      <c r="F16" s="99">
        <f t="shared" si="12"/>
        <v>0</v>
      </c>
      <c r="G16" s="99">
        <f t="shared" si="12"/>
        <v>0</v>
      </c>
      <c r="H16" s="99">
        <f t="shared" si="12"/>
        <v>0</v>
      </c>
      <c r="I16" s="99">
        <f t="shared" si="12"/>
        <v>0</v>
      </c>
      <c r="J16" s="99">
        <f t="shared" si="12"/>
        <v>0</v>
      </c>
      <c r="K16" s="99">
        <f t="shared" si="12"/>
        <v>0</v>
      </c>
      <c r="L16" s="99">
        <f t="shared" si="12"/>
        <v>0</v>
      </c>
      <c r="M16" s="99">
        <f t="shared" si="12"/>
        <v>0</v>
      </c>
      <c r="N16" s="99">
        <f t="shared" si="12"/>
        <v>0</v>
      </c>
      <c r="O16" s="99">
        <f t="shared" si="12"/>
        <v>-24.808492216666664</v>
      </c>
      <c r="P16" s="97">
        <f t="shared" si="6"/>
        <v>-24.808492216666664</v>
      </c>
      <c r="Q16" s="99">
        <f t="shared" si="12"/>
        <v>-193.48459902916667</v>
      </c>
      <c r="R16" s="99">
        <f aca="true" t="shared" si="13" ref="R16:AR16">R14-R15</f>
        <v>-193.48459902916667</v>
      </c>
      <c r="S16" s="99">
        <f t="shared" si="13"/>
        <v>-87.4366281541667</v>
      </c>
      <c r="T16" s="99">
        <f t="shared" si="13"/>
        <v>-52.08730452916669</v>
      </c>
      <c r="U16" s="99">
        <f t="shared" si="13"/>
        <v>18.611342720833274</v>
      </c>
      <c r="V16" s="99">
        <f t="shared" si="13"/>
        <v>335.8869581182498</v>
      </c>
      <c r="W16" s="99">
        <f t="shared" si="13"/>
        <v>400.2921368707803</v>
      </c>
      <c r="X16" s="99">
        <f t="shared" si="13"/>
        <v>195.51274249295238</v>
      </c>
      <c r="Y16" s="99">
        <f t="shared" si="13"/>
        <v>113.21951709395248</v>
      </c>
      <c r="Z16" s="99">
        <f t="shared" si="13"/>
        <v>51.765273138531086</v>
      </c>
      <c r="AA16" s="99">
        <f t="shared" si="13"/>
        <v>-119.41172157750957</v>
      </c>
      <c r="AB16" s="99">
        <f t="shared" si="13"/>
        <v>-153.43178181683658</v>
      </c>
      <c r="AC16" s="97">
        <f t="shared" si="7"/>
        <v>315.9513362992865</v>
      </c>
      <c r="AD16" s="99">
        <f aca="true" t="shared" si="14" ref="AD16:AO16">AD14-AD15</f>
        <v>-147.07557409013148</v>
      </c>
      <c r="AE16" s="99">
        <f t="shared" si="14"/>
        <v>-26.37453511753312</v>
      </c>
      <c r="AF16" s="99">
        <f t="shared" si="14"/>
        <v>54.18505332542209</v>
      </c>
      <c r="AG16" s="99">
        <f t="shared" si="14"/>
        <v>134.7462372718611</v>
      </c>
      <c r="AH16" s="99">
        <f t="shared" si="14"/>
        <v>295.5950995888878</v>
      </c>
      <c r="AI16" s="99">
        <f t="shared" si="14"/>
        <v>416.30253929789717</v>
      </c>
      <c r="AJ16" s="99">
        <f t="shared" si="14"/>
        <v>496.8685658148923</v>
      </c>
      <c r="AK16" s="99">
        <f t="shared" si="14"/>
        <v>457.00711505080324</v>
      </c>
      <c r="AL16" s="99">
        <f t="shared" si="14"/>
        <v>256.5751597518071</v>
      </c>
      <c r="AM16" s="99">
        <f t="shared" si="14"/>
        <v>96.28789339965012</v>
      </c>
      <c r="AN16" s="99">
        <f t="shared" si="14"/>
        <v>-104.14074792802788</v>
      </c>
      <c r="AO16" s="99">
        <f t="shared" si="14"/>
        <v>-143.99557063736725</v>
      </c>
      <c r="AP16" s="97">
        <f t="shared" si="8"/>
        <v>1785.981235728161</v>
      </c>
      <c r="AQ16" s="99">
        <f t="shared" si="13"/>
        <v>1830.5229530547379</v>
      </c>
      <c r="AR16" s="99">
        <f t="shared" si="13"/>
        <v>1878.0836312403314</v>
      </c>
      <c r="AS16" s="99">
        <f>AS14-AS15</f>
        <v>1928.8815112095435</v>
      </c>
      <c r="AT16" s="99">
        <f>AT14-AT15</f>
        <v>1983.1506105410597</v>
      </c>
      <c r="AU16" s="99">
        <f>AU14-AU15</f>
        <v>2041.1418639632498</v>
      </c>
    </row>
    <row r="17" spans="1:47" ht="15" customHeight="1">
      <c r="A17" s="101" t="s">
        <v>32</v>
      </c>
      <c r="B17" s="102">
        <f>AU17</f>
        <v>11738.904649819704</v>
      </c>
      <c r="C17" s="103"/>
      <c r="D17" s="99">
        <f>C17+D16</f>
        <v>0</v>
      </c>
      <c r="E17" s="99">
        <f>D17+E16</f>
        <v>0</v>
      </c>
      <c r="F17" s="99">
        <f aca="true" t="shared" si="15" ref="F17:O17">E17+F16</f>
        <v>0</v>
      </c>
      <c r="G17" s="99">
        <f t="shared" si="15"/>
        <v>0</v>
      </c>
      <c r="H17" s="99">
        <f t="shared" si="15"/>
        <v>0</v>
      </c>
      <c r="I17" s="99">
        <f t="shared" si="15"/>
        <v>0</v>
      </c>
      <c r="J17" s="99">
        <f t="shared" si="15"/>
        <v>0</v>
      </c>
      <c r="K17" s="99">
        <f t="shared" si="15"/>
        <v>0</v>
      </c>
      <c r="L17" s="99">
        <f t="shared" si="15"/>
        <v>0</v>
      </c>
      <c r="M17" s="99">
        <f t="shared" si="15"/>
        <v>0</v>
      </c>
      <c r="N17" s="99">
        <f t="shared" si="15"/>
        <v>0</v>
      </c>
      <c r="O17" s="99">
        <f t="shared" si="15"/>
        <v>-24.808492216666664</v>
      </c>
      <c r="P17" s="97">
        <f>O17</f>
        <v>-24.808492216666664</v>
      </c>
      <c r="Q17" s="99">
        <f>P17+Q16</f>
        <v>-218.29309124583335</v>
      </c>
      <c r="R17" s="99">
        <f aca="true" t="shared" si="16" ref="R17:AA17">Q17+R16</f>
        <v>-411.77769027500005</v>
      </c>
      <c r="S17" s="99">
        <f t="shared" si="16"/>
        <v>-499.2143184291667</v>
      </c>
      <c r="T17" s="99">
        <f t="shared" si="16"/>
        <v>-551.3016229583334</v>
      </c>
      <c r="U17" s="99">
        <f t="shared" si="16"/>
        <v>-532.6902802375001</v>
      </c>
      <c r="V17" s="99">
        <f t="shared" si="16"/>
        <v>-196.8033221192503</v>
      </c>
      <c r="W17" s="99">
        <f t="shared" si="16"/>
        <v>203.48881475153001</v>
      </c>
      <c r="X17" s="99">
        <f t="shared" si="16"/>
        <v>399.0015572444824</v>
      </c>
      <c r="Y17" s="99">
        <f t="shared" si="16"/>
        <v>512.2210743384348</v>
      </c>
      <c r="Z17" s="99">
        <f t="shared" si="16"/>
        <v>563.9863474769659</v>
      </c>
      <c r="AA17" s="99">
        <f t="shared" si="16"/>
        <v>444.5746258994563</v>
      </c>
      <c r="AB17" s="99">
        <f>AA17+AB16</f>
        <v>291.1428440826197</v>
      </c>
      <c r="AC17" s="97">
        <f>AB17</f>
        <v>291.1428440826197</v>
      </c>
      <c r="AD17" s="99">
        <f aca="true" t="shared" si="17" ref="AD17:AO17">AC17+AD16</f>
        <v>144.06726999248824</v>
      </c>
      <c r="AE17" s="99">
        <f t="shared" si="17"/>
        <v>117.69273487495511</v>
      </c>
      <c r="AF17" s="99">
        <f t="shared" si="17"/>
        <v>171.8777882003772</v>
      </c>
      <c r="AG17" s="99">
        <f t="shared" si="17"/>
        <v>306.6240254722383</v>
      </c>
      <c r="AH17" s="99">
        <f t="shared" si="17"/>
        <v>602.2191250611261</v>
      </c>
      <c r="AI17" s="99">
        <f t="shared" si="17"/>
        <v>1018.5216643590232</v>
      </c>
      <c r="AJ17" s="99">
        <f t="shared" si="17"/>
        <v>1515.3902301739156</v>
      </c>
      <c r="AK17" s="99">
        <f t="shared" si="17"/>
        <v>1972.3973452247187</v>
      </c>
      <c r="AL17" s="99">
        <f t="shared" si="17"/>
        <v>2228.9725049765257</v>
      </c>
      <c r="AM17" s="99">
        <f t="shared" si="17"/>
        <v>2325.260398376176</v>
      </c>
      <c r="AN17" s="99">
        <f t="shared" si="17"/>
        <v>2221.119650448148</v>
      </c>
      <c r="AO17" s="99">
        <f t="shared" si="17"/>
        <v>2077.124079810781</v>
      </c>
      <c r="AP17" s="97">
        <f>AO17</f>
        <v>2077.124079810781</v>
      </c>
      <c r="AQ17" s="99">
        <f>AP17+AQ16</f>
        <v>3907.6470328655187</v>
      </c>
      <c r="AR17" s="99">
        <f>AQ17+AR16</f>
        <v>5785.73066410585</v>
      </c>
      <c r="AS17" s="99">
        <f>AR17+AS16</f>
        <v>7714.612175315394</v>
      </c>
      <c r="AT17" s="99">
        <f>AS17+AT16</f>
        <v>9697.762785856454</v>
      </c>
      <c r="AU17" s="99">
        <f>AT17+AU16</f>
        <v>11738.904649819704</v>
      </c>
    </row>
    <row r="18" spans="1:190" ht="1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</row>
    <row r="19" spans="1:47" ht="12.75" hidden="1">
      <c r="A19" s="106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60" s="110" customFormat="1" ht="12.75" hidden="1">
      <c r="A20" s="328" t="s">
        <v>3</v>
      </c>
      <c r="B20" s="331" t="s">
        <v>89</v>
      </c>
      <c r="C20" s="107"/>
      <c r="D20" s="321">
        <f>D3</f>
        <v>2013</v>
      </c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4"/>
      <c r="Q20" s="321">
        <f>Q3</f>
        <v>2014</v>
      </c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4"/>
      <c r="AD20" s="320">
        <f>AD3</f>
        <v>2015</v>
      </c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2"/>
      <c r="AQ20" s="108">
        <f>AQ3</f>
        <v>2016</v>
      </c>
      <c r="AR20" s="108">
        <f>AR3</f>
        <v>2017</v>
      </c>
      <c r="AS20" s="108">
        <f>AS3</f>
        <v>2018</v>
      </c>
      <c r="AT20" s="108">
        <f>AT3</f>
        <v>2019</v>
      </c>
      <c r="AU20" s="108">
        <f>AU3</f>
        <v>2020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s="110" customFormat="1" ht="12.75" hidden="1">
      <c r="A21" s="329"/>
      <c r="B21" s="332"/>
      <c r="C21" s="111"/>
      <c r="D21" s="112">
        <f>D4</f>
        <v>1</v>
      </c>
      <c r="E21" s="112">
        <f aca="true" t="shared" si="18" ref="E21:O21">E4</f>
        <v>2</v>
      </c>
      <c r="F21" s="112">
        <f t="shared" si="18"/>
        <v>3</v>
      </c>
      <c r="G21" s="112">
        <f t="shared" si="18"/>
        <v>4</v>
      </c>
      <c r="H21" s="112">
        <f t="shared" si="18"/>
        <v>5</v>
      </c>
      <c r="I21" s="112">
        <f t="shared" si="18"/>
        <v>6</v>
      </c>
      <c r="J21" s="112">
        <f t="shared" si="18"/>
        <v>7</v>
      </c>
      <c r="K21" s="112">
        <f t="shared" si="18"/>
        <v>8</v>
      </c>
      <c r="L21" s="112">
        <f t="shared" si="18"/>
        <v>9</v>
      </c>
      <c r="M21" s="112">
        <f t="shared" si="18"/>
        <v>10</v>
      </c>
      <c r="N21" s="112">
        <f t="shared" si="18"/>
        <v>11</v>
      </c>
      <c r="O21" s="112">
        <f t="shared" si="18"/>
        <v>12</v>
      </c>
      <c r="P21" s="113" t="s">
        <v>0</v>
      </c>
      <c r="Q21" s="112">
        <f>Q4</f>
        <v>1</v>
      </c>
      <c r="R21" s="112">
        <f aca="true" t="shared" si="19" ref="R21:AB21">R4</f>
        <v>2</v>
      </c>
      <c r="S21" s="112">
        <f t="shared" si="19"/>
        <v>3</v>
      </c>
      <c r="T21" s="112">
        <f t="shared" si="19"/>
        <v>4</v>
      </c>
      <c r="U21" s="112">
        <f t="shared" si="19"/>
        <v>5</v>
      </c>
      <c r="V21" s="112">
        <f t="shared" si="19"/>
        <v>6</v>
      </c>
      <c r="W21" s="112">
        <f t="shared" si="19"/>
        <v>7</v>
      </c>
      <c r="X21" s="112">
        <f t="shared" si="19"/>
        <v>8</v>
      </c>
      <c r="Y21" s="112">
        <f t="shared" si="19"/>
        <v>9</v>
      </c>
      <c r="Z21" s="112">
        <f t="shared" si="19"/>
        <v>10</v>
      </c>
      <c r="AA21" s="112">
        <f t="shared" si="19"/>
        <v>11</v>
      </c>
      <c r="AB21" s="112">
        <f t="shared" si="19"/>
        <v>12</v>
      </c>
      <c r="AC21" s="113" t="s">
        <v>0</v>
      </c>
      <c r="AD21" s="112">
        <f>AD4</f>
        <v>1</v>
      </c>
      <c r="AE21" s="112">
        <f aca="true" t="shared" si="20" ref="AE21:AO21">AE4</f>
        <v>2</v>
      </c>
      <c r="AF21" s="112">
        <f t="shared" si="20"/>
        <v>3</v>
      </c>
      <c r="AG21" s="112">
        <f t="shared" si="20"/>
        <v>4</v>
      </c>
      <c r="AH21" s="112">
        <f t="shared" si="20"/>
        <v>5</v>
      </c>
      <c r="AI21" s="112">
        <f t="shared" si="20"/>
        <v>6</v>
      </c>
      <c r="AJ21" s="112">
        <f t="shared" si="20"/>
        <v>7</v>
      </c>
      <c r="AK21" s="112">
        <f t="shared" si="20"/>
        <v>8</v>
      </c>
      <c r="AL21" s="112">
        <f t="shared" si="20"/>
        <v>9</v>
      </c>
      <c r="AM21" s="112">
        <f t="shared" si="20"/>
        <v>10</v>
      </c>
      <c r="AN21" s="112">
        <f t="shared" si="20"/>
        <v>11</v>
      </c>
      <c r="AO21" s="112">
        <f t="shared" si="20"/>
        <v>12</v>
      </c>
      <c r="AP21" s="113" t="s">
        <v>0</v>
      </c>
      <c r="AQ21" s="113" t="s">
        <v>110</v>
      </c>
      <c r="AR21" s="113" t="s">
        <v>110</v>
      </c>
      <c r="AS21" s="113" t="s">
        <v>110</v>
      </c>
      <c r="AT21" s="113" t="s">
        <v>110</v>
      </c>
      <c r="AU21" s="113" t="s">
        <v>110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s="110" customFormat="1" ht="12.75" hidden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</row>
    <row r="23" spans="1:60" s="110" customFormat="1" ht="12.75" hidden="1">
      <c r="A23" s="114" t="s">
        <v>161</v>
      </c>
      <c r="B23" s="96">
        <f>P23+AC23+AP23+AQ23+AR23+AS23+AT23+AU23</f>
        <v>0</v>
      </c>
      <c r="C23" s="116"/>
      <c r="D23" s="116">
        <f aca="true" t="shared" si="21" ref="D23:O23">D5*ндс</f>
        <v>0</v>
      </c>
      <c r="E23" s="116">
        <f t="shared" si="21"/>
        <v>0</v>
      </c>
      <c r="F23" s="116">
        <f t="shared" si="21"/>
        <v>0</v>
      </c>
      <c r="G23" s="116">
        <f t="shared" si="21"/>
        <v>0</v>
      </c>
      <c r="H23" s="116">
        <f t="shared" si="21"/>
        <v>0</v>
      </c>
      <c r="I23" s="116">
        <f t="shared" si="21"/>
        <v>0</v>
      </c>
      <c r="J23" s="116">
        <f t="shared" si="21"/>
        <v>0</v>
      </c>
      <c r="K23" s="116">
        <f t="shared" si="21"/>
        <v>0</v>
      </c>
      <c r="L23" s="116">
        <f t="shared" si="21"/>
        <v>0</v>
      </c>
      <c r="M23" s="116">
        <f t="shared" si="21"/>
        <v>0</v>
      </c>
      <c r="N23" s="116">
        <f t="shared" si="21"/>
        <v>0</v>
      </c>
      <c r="O23" s="116">
        <f t="shared" si="21"/>
        <v>0</v>
      </c>
      <c r="P23" s="117">
        <f>SUM(D23:O23)</f>
        <v>0</v>
      </c>
      <c r="Q23" s="116">
        <f aca="true" t="shared" si="22" ref="Q23:AB23">Q5*ндс</f>
        <v>0</v>
      </c>
      <c r="R23" s="116">
        <f t="shared" si="22"/>
        <v>0</v>
      </c>
      <c r="S23" s="116">
        <f t="shared" si="22"/>
        <v>0</v>
      </c>
      <c r="T23" s="116">
        <f t="shared" si="22"/>
        <v>0</v>
      </c>
      <c r="U23" s="116">
        <f t="shared" si="22"/>
        <v>0</v>
      </c>
      <c r="V23" s="116">
        <f t="shared" si="22"/>
        <v>0</v>
      </c>
      <c r="W23" s="116">
        <f t="shared" si="22"/>
        <v>0</v>
      </c>
      <c r="X23" s="116">
        <f t="shared" si="22"/>
        <v>0</v>
      </c>
      <c r="Y23" s="116">
        <f t="shared" si="22"/>
        <v>0</v>
      </c>
      <c r="Z23" s="116">
        <f t="shared" si="22"/>
        <v>0</v>
      </c>
      <c r="AA23" s="116">
        <f t="shared" si="22"/>
        <v>0</v>
      </c>
      <c r="AB23" s="116">
        <f t="shared" si="22"/>
        <v>0</v>
      </c>
      <c r="AC23" s="117">
        <f>SUM(Q23:AB23)</f>
        <v>0</v>
      </c>
      <c r="AD23" s="116">
        <f aca="true" t="shared" si="23" ref="AD23:AO23">AD5*ндс</f>
        <v>0</v>
      </c>
      <c r="AE23" s="116">
        <f t="shared" si="23"/>
        <v>0</v>
      </c>
      <c r="AF23" s="116">
        <f t="shared" si="23"/>
        <v>0</v>
      </c>
      <c r="AG23" s="116">
        <f t="shared" si="23"/>
        <v>0</v>
      </c>
      <c r="AH23" s="116">
        <f t="shared" si="23"/>
        <v>0</v>
      </c>
      <c r="AI23" s="116">
        <f t="shared" si="23"/>
        <v>0</v>
      </c>
      <c r="AJ23" s="116">
        <f t="shared" si="23"/>
        <v>0</v>
      </c>
      <c r="AK23" s="116">
        <f t="shared" si="23"/>
        <v>0</v>
      </c>
      <c r="AL23" s="116">
        <f t="shared" si="23"/>
        <v>0</v>
      </c>
      <c r="AM23" s="116">
        <f t="shared" si="23"/>
        <v>0</v>
      </c>
      <c r="AN23" s="116">
        <f t="shared" si="23"/>
        <v>0</v>
      </c>
      <c r="AO23" s="116">
        <f t="shared" si="23"/>
        <v>0</v>
      </c>
      <c r="AP23" s="117">
        <f>SUM(AD23:AO23)</f>
        <v>0</v>
      </c>
      <c r="AQ23" s="116">
        <f>AQ5*ндс</f>
        <v>0</v>
      </c>
      <c r="AR23" s="116">
        <f>AR5*ндс</f>
        <v>0</v>
      </c>
      <c r="AS23" s="116">
        <f>AS5*ндс</f>
        <v>0</v>
      </c>
      <c r="AT23" s="116">
        <f>AT5*ндс</f>
        <v>0</v>
      </c>
      <c r="AU23" s="116">
        <f>AU5*ндс</f>
        <v>0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2.75" hidden="1">
      <c r="A24" s="114" t="s">
        <v>162</v>
      </c>
      <c r="B24" s="96">
        <f>P24+AC24+AP24+AQ24+AR24+AS24+AT24+AU24</f>
        <v>0</v>
      </c>
      <c r="C24" s="116"/>
      <c r="D24" s="116"/>
      <c r="E24" s="116"/>
      <c r="F24" s="116"/>
      <c r="G24" s="116"/>
      <c r="H24" s="116"/>
      <c r="I24" s="281">
        <f>('1-Ф3'!I12/Исх!$C$19-'2-ф2'!I8)*ндс</f>
        <v>0</v>
      </c>
      <c r="J24" s="116"/>
      <c r="K24" s="116"/>
      <c r="L24" s="116"/>
      <c r="M24" s="116"/>
      <c r="N24" s="116"/>
      <c r="O24" s="116">
        <f>('1-Ф3'!O12/Исх!$C$19)*ндс</f>
        <v>0</v>
      </c>
      <c r="P24" s="117">
        <f>SUM(D24:O24)</f>
        <v>0</v>
      </c>
      <c r="Q24" s="116">
        <f>('1-Ф3'!Q12/Исх!$C$19+Q11-Пост!$D$5-Пост!$D$16-Пост!$D$19)*ндс</f>
        <v>0</v>
      </c>
      <c r="R24" s="116">
        <f>('1-Ф3'!R12/Исх!$C$19+R11-Пост!$D$5-Пост!$D$16-Пост!$D$19)*ндс</f>
        <v>0</v>
      </c>
      <c r="S24" s="116">
        <f>('1-Ф3'!S12/Исх!$C$19+S11-Пост!$D$5-Пост!$D$16-Пост!$D$19)*ндс</f>
        <v>0</v>
      </c>
      <c r="T24" s="116">
        <f>('1-Ф3'!T12/Исх!$C$19+T11-Пост!$D$5-Пост!$D$16-Пост!$D$19)*ндс</f>
        <v>0</v>
      </c>
      <c r="U24" s="116">
        <f>('1-Ф3'!U12/Исх!$C$19+U11-Пост!$D$5-Пост!$D$16-Пост!$D$19)*ндс</f>
        <v>0</v>
      </c>
      <c r="V24" s="116">
        <f>('1-Ф3'!V12/Исх!$C$19+V11-Пост!$D$5-Пост!$D$16-Пост!$D$19)*ндс</f>
        <v>0</v>
      </c>
      <c r="W24" s="116">
        <f>('1-Ф3'!W12/Исх!$C$19+W11-Пост!$D$5-Пост!$D$16-Пост!$D$19)*ндс</f>
        <v>0</v>
      </c>
      <c r="X24" s="116">
        <f>('1-Ф3'!X12/Исх!$C$19+X11-Пост!$D$5-Пост!$D$16-Пост!$D$19)*ндс</f>
        <v>0</v>
      </c>
      <c r="Y24" s="116">
        <f>('1-Ф3'!Y12/Исх!$C$19+Y11-Пост!$D$5-Пост!$D$16-Пост!$D$19)*ндс</f>
        <v>0</v>
      </c>
      <c r="Z24" s="116">
        <f>('1-Ф3'!Z12/Исх!$C$19+Z11-Пост!$D$5-Пост!$D$16-Пост!$D$19)*ндс</f>
        <v>0</v>
      </c>
      <c r="AA24" s="116">
        <f>('1-Ф3'!AA12/Исх!$C$19+AA11-Пост!$D$5-Пост!$D$16-Пост!$D$19)*ндс</f>
        <v>0</v>
      </c>
      <c r="AB24" s="116">
        <f>('1-Ф3'!AB12/Исх!$C$19+AB11-Пост!$D$5-Пост!$D$16-Пост!$D$19)*ндс</f>
        <v>0</v>
      </c>
      <c r="AC24" s="117">
        <f>SUM(Q24:AB24)</f>
        <v>0</v>
      </c>
      <c r="AD24" s="116">
        <f>('1-Ф3'!AD12/Исх!$C$19+AD11-Пост!$E$5-Пост!$E$16-Пост!$E$19)*ндс</f>
        <v>0</v>
      </c>
      <c r="AE24" s="116">
        <f>('1-Ф3'!AE12/Исх!$C$19+AE11-Пост!$E$5-Пост!$E$16-Пост!$E$19)*ндс</f>
        <v>0</v>
      </c>
      <c r="AF24" s="116">
        <f>('1-Ф3'!AF12/Исх!$C$19+AF11-Пост!$E$5-Пост!$E$16-Пост!$E$19)*ндс</f>
        <v>0</v>
      </c>
      <c r="AG24" s="116">
        <f>('1-Ф3'!AG12/Исх!$C$19+AG11-Пост!$E$5-Пост!$E$16-Пост!$E$19)*ндс</f>
        <v>0</v>
      </c>
      <c r="AH24" s="116">
        <f>('1-Ф3'!AH12/Исх!$C$19+AH11-Пост!$E$5-Пост!$E$16-Пост!$E$19)*ндс</f>
        <v>0</v>
      </c>
      <c r="AI24" s="116">
        <f>('1-Ф3'!AI12/Исх!$C$19+AI11-Пост!$E$5-Пост!$E$16-Пост!$E$19)*ндс</f>
        <v>0</v>
      </c>
      <c r="AJ24" s="116">
        <f>('1-Ф3'!AJ12/Исх!$C$19+AJ11-Пост!$E$5-Пост!$E$16-Пост!$E$19)*ндс</f>
        <v>0</v>
      </c>
      <c r="AK24" s="116">
        <f>('1-Ф3'!AK12/Исх!$C$19+AK11-Пост!$E$5-Пост!$E$16-Пост!$E$19)*ндс</f>
        <v>0</v>
      </c>
      <c r="AL24" s="116">
        <f>('1-Ф3'!AL12/Исх!$C$19+AL11-Пост!$E$5-Пост!$E$16-Пост!$E$19)*ндс</f>
        <v>0</v>
      </c>
      <c r="AM24" s="116">
        <f>('1-Ф3'!AM12/Исх!$C$19+AM11-Пост!$E$5-Пост!$E$16-Пост!$E$19)*ндс</f>
        <v>0</v>
      </c>
      <c r="AN24" s="116">
        <f>('1-Ф3'!AN12/Исх!$C$19+AN11-Пост!$E$5-Пост!$E$16-Пост!$E$19)*ндс</f>
        <v>0</v>
      </c>
      <c r="AO24" s="116">
        <f>('1-Ф3'!AO12/Исх!$C$19+AO11-Пост!$E$5-Пост!$E$16-Пост!$E$19)*ндс</f>
        <v>0</v>
      </c>
      <c r="AP24" s="117">
        <f>SUM(AD24:AO24)</f>
        <v>0</v>
      </c>
      <c r="AQ24" s="116">
        <f>(AQ7+AQ11-(Пост!F5+Пост!F16+Пост!F19)*12)*ндс</f>
        <v>0</v>
      </c>
      <c r="AR24" s="116">
        <f>(AR7+AR11-(Пост!G5+Пост!G16+Пост!G19)*12)*ндс</f>
        <v>0</v>
      </c>
      <c r="AS24" s="116">
        <f>(AS7+AS11-(Пост!H5+Пост!H16+Пост!H19)*12)*ндс</f>
        <v>0</v>
      </c>
      <c r="AT24" s="116">
        <f>(AT7+AT11-(Пост!I5+Пост!I16+Пост!I19)*12)*ндс</f>
        <v>0</v>
      </c>
      <c r="AU24" s="116">
        <f>(AU7+AU11-(Пост!J5+Пост!J16+Пост!J19)*12)*ндс</f>
        <v>0</v>
      </c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2.75" hidden="1">
      <c r="A25" s="114" t="s">
        <v>163</v>
      </c>
      <c r="B25" s="96">
        <f>P25+AC25+AP25+AQ25+AR25+AS25+AT25+AU25</f>
        <v>0</v>
      </c>
      <c r="C25" s="116"/>
      <c r="D25" s="116">
        <f>Инв!E14/Исх!$C$19*ндс</f>
        <v>0</v>
      </c>
      <c r="E25" s="116">
        <f>Инв!F14/Исх!$C$19*ндс</f>
        <v>0</v>
      </c>
      <c r="F25" s="116">
        <f>Инв!G14/Исх!$C$19*ндс</f>
        <v>0</v>
      </c>
      <c r="G25" s="116">
        <f>Инв!H14/Исх!$C$19*ндс</f>
        <v>0</v>
      </c>
      <c r="H25" s="116">
        <f>Инв!I14/Исх!$C$19*ндс</f>
        <v>0</v>
      </c>
      <c r="I25" s="116">
        <f>Инв!J14/Исх!$C$19*ндс</f>
        <v>0</v>
      </c>
      <c r="J25" s="116">
        <f>Инв!K14/Исх!$C$19*ндс</f>
        <v>0</v>
      </c>
      <c r="K25" s="116">
        <f>Инв!L14/Исх!$C$19*ндс</f>
        <v>0</v>
      </c>
      <c r="L25" s="116">
        <f>Инв!M14/Исх!$C$19*ндс</f>
        <v>0</v>
      </c>
      <c r="M25" s="116">
        <f>Инв!N14/Исх!$C$19*ндс</f>
        <v>0</v>
      </c>
      <c r="N25" s="116">
        <f>Инв!O14/Исх!$C$19*ндс</f>
        <v>0</v>
      </c>
      <c r="O25" s="116">
        <f>Инв!P14/Исх!$C$19*ндс</f>
        <v>0</v>
      </c>
      <c r="P25" s="117">
        <f>SUM(D25:O25)</f>
        <v>0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>
        <f>SUM(Q25:AB25)</f>
        <v>0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7">
        <f>SUM(AD25:AO25)</f>
        <v>0</v>
      </c>
      <c r="AQ25" s="117"/>
      <c r="AR25" s="117"/>
      <c r="AS25" s="117"/>
      <c r="AT25" s="117"/>
      <c r="AU25" s="117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s="110" customFormat="1" ht="12.75" hidden="1">
      <c r="A26" s="114" t="s">
        <v>30</v>
      </c>
      <c r="B26" s="96">
        <f>P26+AC26+AP26+AQ26+AR26+AS26+AT26+AU26</f>
        <v>0</v>
      </c>
      <c r="C26" s="116"/>
      <c r="D26" s="116">
        <f>D23-D24-D25</f>
        <v>0</v>
      </c>
      <c r="E26" s="116">
        <f aca="true" t="shared" si="24" ref="E26:O26">E23-E24-E25</f>
        <v>0</v>
      </c>
      <c r="F26" s="116">
        <f t="shared" si="24"/>
        <v>0</v>
      </c>
      <c r="G26" s="116">
        <f t="shared" si="24"/>
        <v>0</v>
      </c>
      <c r="H26" s="116">
        <f t="shared" si="24"/>
        <v>0</v>
      </c>
      <c r="I26" s="116">
        <f t="shared" si="24"/>
        <v>0</v>
      </c>
      <c r="J26" s="116">
        <f t="shared" si="24"/>
        <v>0</v>
      </c>
      <c r="K26" s="116">
        <f t="shared" si="24"/>
        <v>0</v>
      </c>
      <c r="L26" s="116">
        <f t="shared" si="24"/>
        <v>0</v>
      </c>
      <c r="M26" s="116">
        <f t="shared" si="24"/>
        <v>0</v>
      </c>
      <c r="N26" s="116">
        <f t="shared" si="24"/>
        <v>0</v>
      </c>
      <c r="O26" s="116">
        <f t="shared" si="24"/>
        <v>0</v>
      </c>
      <c r="P26" s="117">
        <f>SUM(D26:O26)</f>
        <v>0</v>
      </c>
      <c r="Q26" s="116">
        <f aca="true" t="shared" si="25" ref="Q26:AB26">Q23-Q24-Q25</f>
        <v>0</v>
      </c>
      <c r="R26" s="116">
        <f t="shared" si="25"/>
        <v>0</v>
      </c>
      <c r="S26" s="116">
        <f t="shared" si="25"/>
        <v>0</v>
      </c>
      <c r="T26" s="116">
        <f t="shared" si="25"/>
        <v>0</v>
      </c>
      <c r="U26" s="116">
        <f t="shared" si="25"/>
        <v>0</v>
      </c>
      <c r="V26" s="116">
        <f t="shared" si="25"/>
        <v>0</v>
      </c>
      <c r="W26" s="116">
        <f t="shared" si="25"/>
        <v>0</v>
      </c>
      <c r="X26" s="116">
        <f t="shared" si="25"/>
        <v>0</v>
      </c>
      <c r="Y26" s="116">
        <f t="shared" si="25"/>
        <v>0</v>
      </c>
      <c r="Z26" s="116">
        <f t="shared" si="25"/>
        <v>0</v>
      </c>
      <c r="AA26" s="116">
        <f t="shared" si="25"/>
        <v>0</v>
      </c>
      <c r="AB26" s="116">
        <f t="shared" si="25"/>
        <v>0</v>
      </c>
      <c r="AC26" s="117">
        <f>SUM(Q26:AB26)</f>
        <v>0</v>
      </c>
      <c r="AD26" s="116">
        <f aca="true" t="shared" si="26" ref="AD26:AO26">AD23-AD24-AD25</f>
        <v>0</v>
      </c>
      <c r="AE26" s="116">
        <f t="shared" si="26"/>
        <v>0</v>
      </c>
      <c r="AF26" s="116">
        <f t="shared" si="26"/>
        <v>0</v>
      </c>
      <c r="AG26" s="116">
        <f t="shared" si="26"/>
        <v>0</v>
      </c>
      <c r="AH26" s="116">
        <f t="shared" si="26"/>
        <v>0</v>
      </c>
      <c r="AI26" s="116">
        <f t="shared" si="26"/>
        <v>0</v>
      </c>
      <c r="AJ26" s="116">
        <f t="shared" si="26"/>
        <v>0</v>
      </c>
      <c r="AK26" s="116">
        <f t="shared" si="26"/>
        <v>0</v>
      </c>
      <c r="AL26" s="116">
        <f t="shared" si="26"/>
        <v>0</v>
      </c>
      <c r="AM26" s="116">
        <f t="shared" si="26"/>
        <v>0</v>
      </c>
      <c r="AN26" s="116">
        <f t="shared" si="26"/>
        <v>0</v>
      </c>
      <c r="AO26" s="116">
        <f t="shared" si="26"/>
        <v>0</v>
      </c>
      <c r="AP26" s="117">
        <f>SUM(AD26:AO26)</f>
        <v>0</v>
      </c>
      <c r="AQ26" s="116">
        <f>AQ23-AQ24-AQ25</f>
        <v>0</v>
      </c>
      <c r="AR26" s="116">
        <f>AR23-AR24-AR25</f>
        <v>0</v>
      </c>
      <c r="AS26" s="116">
        <f>AS23-AS24-AS25</f>
        <v>0</v>
      </c>
      <c r="AT26" s="116">
        <f>AT23-AT24-AT25</f>
        <v>0</v>
      </c>
      <c r="AU26" s="116">
        <f>AU23-AU24-AU25</f>
        <v>0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:60" s="110" customFormat="1" ht="12.75" hidden="1">
      <c r="A27" s="114" t="s">
        <v>164</v>
      </c>
      <c r="B27" s="102">
        <f>AU27</f>
        <v>0</v>
      </c>
      <c r="C27" s="116"/>
      <c r="D27" s="116">
        <f>D26</f>
        <v>0</v>
      </c>
      <c r="E27" s="116">
        <f>D27+E26</f>
        <v>0</v>
      </c>
      <c r="F27" s="116">
        <f aca="true" t="shared" si="27" ref="F27:O27">E27+F26</f>
        <v>0</v>
      </c>
      <c r="G27" s="116">
        <f t="shared" si="27"/>
        <v>0</v>
      </c>
      <c r="H27" s="116">
        <f t="shared" si="27"/>
        <v>0</v>
      </c>
      <c r="I27" s="116">
        <f t="shared" si="27"/>
        <v>0</v>
      </c>
      <c r="J27" s="116">
        <f t="shared" si="27"/>
        <v>0</v>
      </c>
      <c r="K27" s="116">
        <f t="shared" si="27"/>
        <v>0</v>
      </c>
      <c r="L27" s="116">
        <f t="shared" si="27"/>
        <v>0</v>
      </c>
      <c r="M27" s="116">
        <f t="shared" si="27"/>
        <v>0</v>
      </c>
      <c r="N27" s="116">
        <f t="shared" si="27"/>
        <v>0</v>
      </c>
      <c r="O27" s="116">
        <f t="shared" si="27"/>
        <v>0</v>
      </c>
      <c r="P27" s="117">
        <f>O27</f>
        <v>0</v>
      </c>
      <c r="Q27" s="116">
        <f aca="true" t="shared" si="28" ref="Q27:AB27">P27+Q26</f>
        <v>0</v>
      </c>
      <c r="R27" s="116">
        <f t="shared" si="28"/>
        <v>0</v>
      </c>
      <c r="S27" s="116">
        <f t="shared" si="28"/>
        <v>0</v>
      </c>
      <c r="T27" s="116">
        <f t="shared" si="28"/>
        <v>0</v>
      </c>
      <c r="U27" s="116">
        <f t="shared" si="28"/>
        <v>0</v>
      </c>
      <c r="V27" s="116">
        <f t="shared" si="28"/>
        <v>0</v>
      </c>
      <c r="W27" s="116">
        <f t="shared" si="28"/>
        <v>0</v>
      </c>
      <c r="X27" s="116">
        <f t="shared" si="28"/>
        <v>0</v>
      </c>
      <c r="Y27" s="116">
        <f t="shared" si="28"/>
        <v>0</v>
      </c>
      <c r="Z27" s="116">
        <f t="shared" si="28"/>
        <v>0</v>
      </c>
      <c r="AA27" s="116">
        <f t="shared" si="28"/>
        <v>0</v>
      </c>
      <c r="AB27" s="116">
        <f t="shared" si="28"/>
        <v>0</v>
      </c>
      <c r="AC27" s="117">
        <f>AB27</f>
        <v>0</v>
      </c>
      <c r="AD27" s="116">
        <f aca="true" t="shared" si="29" ref="AD27:AO27">AC27+AD26</f>
        <v>0</v>
      </c>
      <c r="AE27" s="116">
        <f t="shared" si="29"/>
        <v>0</v>
      </c>
      <c r="AF27" s="116">
        <f t="shared" si="29"/>
        <v>0</v>
      </c>
      <c r="AG27" s="116">
        <f t="shared" si="29"/>
        <v>0</v>
      </c>
      <c r="AH27" s="116">
        <f t="shared" si="29"/>
        <v>0</v>
      </c>
      <c r="AI27" s="116">
        <f t="shared" si="29"/>
        <v>0</v>
      </c>
      <c r="AJ27" s="116">
        <f t="shared" si="29"/>
        <v>0</v>
      </c>
      <c r="AK27" s="116">
        <f t="shared" si="29"/>
        <v>0</v>
      </c>
      <c r="AL27" s="116">
        <f t="shared" si="29"/>
        <v>0</v>
      </c>
      <c r="AM27" s="116">
        <f t="shared" si="29"/>
        <v>0</v>
      </c>
      <c r="AN27" s="116">
        <f t="shared" si="29"/>
        <v>0</v>
      </c>
      <c r="AO27" s="116">
        <f t="shared" si="29"/>
        <v>0</v>
      </c>
      <c r="AP27" s="117">
        <f>AO27</f>
        <v>0</v>
      </c>
      <c r="AQ27" s="116">
        <f>AP27+AQ26</f>
        <v>0</v>
      </c>
      <c r="AR27" s="116">
        <f>AQ27+AR26</f>
        <v>0</v>
      </c>
      <c r="AS27" s="116">
        <f>AR27+AS26</f>
        <v>0</v>
      </c>
      <c r="AT27" s="116">
        <f>AS27+AT26</f>
        <v>0</v>
      </c>
      <c r="AU27" s="116">
        <f>AT27+AU26</f>
        <v>0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8" spans="1:60" s="110" customFormat="1" ht="12.75" hidden="1">
      <c r="A28" s="114" t="s">
        <v>165</v>
      </c>
      <c r="B28" s="96">
        <f>P28+AC28+AP28+AQ28+AR28+AS28+AT28+AU28</f>
        <v>0</v>
      </c>
      <c r="C28" s="116"/>
      <c r="D28" s="116">
        <f>IF(C27+D26&gt;=0,IF(C27&lt;0,C27+D26,D26),0)</f>
        <v>0</v>
      </c>
      <c r="E28" s="116">
        <f aca="true" t="shared" si="30" ref="E28:AU28">IF(D27+E26&gt;=0,IF(D27&lt;0,D27+E26,E26),0)</f>
        <v>0</v>
      </c>
      <c r="F28" s="116">
        <f t="shared" si="30"/>
        <v>0</v>
      </c>
      <c r="G28" s="116">
        <f t="shared" si="30"/>
        <v>0</v>
      </c>
      <c r="H28" s="116">
        <f t="shared" si="30"/>
        <v>0</v>
      </c>
      <c r="I28" s="116">
        <f t="shared" si="30"/>
        <v>0</v>
      </c>
      <c r="J28" s="116">
        <f t="shared" si="30"/>
        <v>0</v>
      </c>
      <c r="K28" s="116">
        <f t="shared" si="30"/>
        <v>0</v>
      </c>
      <c r="L28" s="116">
        <f t="shared" si="30"/>
        <v>0</v>
      </c>
      <c r="M28" s="116">
        <f t="shared" si="30"/>
        <v>0</v>
      </c>
      <c r="N28" s="116">
        <f t="shared" si="30"/>
        <v>0</v>
      </c>
      <c r="O28" s="116">
        <f t="shared" si="30"/>
        <v>0</v>
      </c>
      <c r="P28" s="117">
        <f>SUM(D28:O28)</f>
        <v>0</v>
      </c>
      <c r="Q28" s="116">
        <f t="shared" si="30"/>
        <v>0</v>
      </c>
      <c r="R28" s="116">
        <f t="shared" si="30"/>
        <v>0</v>
      </c>
      <c r="S28" s="116">
        <f t="shared" si="30"/>
        <v>0</v>
      </c>
      <c r="T28" s="116">
        <f t="shared" si="30"/>
        <v>0</v>
      </c>
      <c r="U28" s="116">
        <f t="shared" si="30"/>
        <v>0</v>
      </c>
      <c r="V28" s="116">
        <f t="shared" si="30"/>
        <v>0</v>
      </c>
      <c r="W28" s="116">
        <f t="shared" si="30"/>
        <v>0</v>
      </c>
      <c r="X28" s="116">
        <f t="shared" si="30"/>
        <v>0</v>
      </c>
      <c r="Y28" s="116">
        <f t="shared" si="30"/>
        <v>0</v>
      </c>
      <c r="Z28" s="116">
        <f t="shared" si="30"/>
        <v>0</v>
      </c>
      <c r="AA28" s="116">
        <f t="shared" si="30"/>
        <v>0</v>
      </c>
      <c r="AB28" s="116">
        <f t="shared" si="30"/>
        <v>0</v>
      </c>
      <c r="AC28" s="117">
        <f>SUM(Q28:AB28)</f>
        <v>0</v>
      </c>
      <c r="AD28" s="116">
        <f aca="true" t="shared" si="31" ref="AD28:AO28">IF(AC27+AD26&gt;=0,IF(AC27&lt;0,AC27+AD26,AD26),0)</f>
        <v>0</v>
      </c>
      <c r="AE28" s="116">
        <f t="shared" si="31"/>
        <v>0</v>
      </c>
      <c r="AF28" s="116">
        <f t="shared" si="31"/>
        <v>0</v>
      </c>
      <c r="AG28" s="116">
        <f t="shared" si="31"/>
        <v>0</v>
      </c>
      <c r="AH28" s="116">
        <f t="shared" si="31"/>
        <v>0</v>
      </c>
      <c r="AI28" s="116">
        <f t="shared" si="31"/>
        <v>0</v>
      </c>
      <c r="AJ28" s="116">
        <f t="shared" si="31"/>
        <v>0</v>
      </c>
      <c r="AK28" s="116">
        <f t="shared" si="31"/>
        <v>0</v>
      </c>
      <c r="AL28" s="116">
        <f t="shared" si="31"/>
        <v>0</v>
      </c>
      <c r="AM28" s="116">
        <f t="shared" si="31"/>
        <v>0</v>
      </c>
      <c r="AN28" s="116">
        <f t="shared" si="31"/>
        <v>0</v>
      </c>
      <c r="AO28" s="116">
        <f t="shared" si="31"/>
        <v>0</v>
      </c>
      <c r="AP28" s="117">
        <f>SUM(AD28:AO28)</f>
        <v>0</v>
      </c>
      <c r="AQ28" s="116">
        <f t="shared" si="30"/>
        <v>0</v>
      </c>
      <c r="AR28" s="116">
        <f t="shared" si="30"/>
        <v>0</v>
      </c>
      <c r="AS28" s="116">
        <f t="shared" si="30"/>
        <v>0</v>
      </c>
      <c r="AT28" s="116">
        <f t="shared" si="30"/>
        <v>0</v>
      </c>
      <c r="AU28" s="116">
        <f t="shared" si="30"/>
        <v>0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</row>
    <row r="30" ht="12.75">
      <c r="B30" s="272">
        <f>B23-B24-B25</f>
        <v>0</v>
      </c>
    </row>
  </sheetData>
  <sheetProtection/>
  <mergeCells count="10">
    <mergeCell ref="AD3:AP3"/>
    <mergeCell ref="AD20:AP20"/>
    <mergeCell ref="Q20:AC20"/>
    <mergeCell ref="Q3:AC3"/>
    <mergeCell ref="A3:A4"/>
    <mergeCell ref="A20:A21"/>
    <mergeCell ref="B3:B4"/>
    <mergeCell ref="D20:P20"/>
    <mergeCell ref="B20:B21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H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I22" sqref="I22"/>
    </sheetView>
  </sheetViews>
  <sheetFormatPr defaultColWidth="10.125" defaultRowHeight="12.75" outlineLevelCol="1"/>
  <cols>
    <col min="1" max="1" width="38.125" style="119" customWidth="1"/>
    <col min="2" max="2" width="2.375" style="119" customWidth="1"/>
    <col min="3" max="3" width="7.125" style="119" customWidth="1"/>
    <col min="4" max="4" width="11.375" style="119" customWidth="1" outlineLevel="1"/>
    <col min="5" max="11" width="7.375" style="119" customWidth="1" outlineLevel="1"/>
    <col min="12" max="12" width="8.00390625" style="119" customWidth="1" outlineLevel="1"/>
    <col min="13" max="13" width="7.875" style="119" customWidth="1" outlineLevel="1"/>
    <col min="14" max="15" width="8.125" style="119" customWidth="1" outlineLevel="1"/>
    <col min="16" max="16" width="9.875" style="119" customWidth="1"/>
    <col min="17" max="20" width="8.375" style="119" customWidth="1" outlineLevel="1"/>
    <col min="21" max="26" width="9.125" style="119" customWidth="1" outlineLevel="1"/>
    <col min="27" max="27" width="9.00390625" style="119" customWidth="1" outlineLevel="1"/>
    <col min="28" max="28" width="9.125" style="119" customWidth="1" outlineLevel="1"/>
    <col min="29" max="29" width="10.125" style="119" customWidth="1"/>
    <col min="30" max="39" width="10.25390625" style="119" customWidth="1" outlineLevel="1"/>
    <col min="40" max="40" width="9.00390625" style="119" customWidth="1" outlineLevel="1"/>
    <col min="41" max="41" width="9.125" style="119" customWidth="1" outlineLevel="1"/>
    <col min="42" max="42" width="9.875" style="119" customWidth="1"/>
    <col min="43" max="43" width="9.75390625" style="119" customWidth="1"/>
    <col min="44" max="44" width="9.625" style="119" customWidth="1"/>
    <col min="45" max="47" width="9.75390625" style="119" customWidth="1"/>
    <col min="48" max="16384" width="10.125" style="119" customWidth="1"/>
  </cols>
  <sheetData>
    <row r="1" spans="1:3" ht="12.75">
      <c r="A1" s="62" t="s">
        <v>112</v>
      </c>
      <c r="B1" s="118"/>
      <c r="C1" s="118"/>
    </row>
    <row r="2" spans="1:47" ht="17.25" customHeight="1">
      <c r="A2" s="62"/>
      <c r="C2" s="12" t="str">
        <f>Исх!$C$10</f>
        <v>тыс.тг.</v>
      </c>
      <c r="L2" s="120"/>
      <c r="P2" s="120"/>
      <c r="AC2" s="120"/>
      <c r="AP2" s="120"/>
      <c r="AQ2" s="120"/>
      <c r="AR2" s="120"/>
      <c r="AS2" s="120"/>
      <c r="AT2" s="120"/>
      <c r="AU2" s="120"/>
    </row>
    <row r="3" spans="1:47" ht="12.75" customHeight="1">
      <c r="A3" s="333" t="s">
        <v>3</v>
      </c>
      <c r="B3" s="335"/>
      <c r="C3" s="122"/>
      <c r="D3" s="336">
        <v>2013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>
        <v>2014</v>
      </c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7">
        <f>Q3+1</f>
        <v>2015</v>
      </c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9"/>
      <c r="AQ3" s="123">
        <f>AD3+1</f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</row>
    <row r="4" spans="1:47" ht="12.75">
      <c r="A4" s="334"/>
      <c r="B4" s="335"/>
      <c r="C4" s="124"/>
      <c r="D4" s="125">
        <v>1</v>
      </c>
      <c r="E4" s="125">
        <f>D4+1</f>
        <v>2</v>
      </c>
      <c r="F4" s="125">
        <f aca="true" t="shared" si="0" ref="F4:O4">E4+1</f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 t="shared" si="0"/>
        <v>10</v>
      </c>
      <c r="N4" s="125">
        <f t="shared" si="0"/>
        <v>11</v>
      </c>
      <c r="O4" s="125">
        <f t="shared" si="0"/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110</v>
      </c>
      <c r="AR4" s="121" t="s">
        <v>110</v>
      </c>
      <c r="AS4" s="121" t="s">
        <v>110</v>
      </c>
      <c r="AT4" s="121" t="s">
        <v>110</v>
      </c>
      <c r="AU4" s="121" t="s">
        <v>110</v>
      </c>
    </row>
    <row r="5" spans="1:54" s="130" customFormat="1" ht="15" customHeight="1">
      <c r="A5" s="126" t="s">
        <v>113</v>
      </c>
      <c r="B5" s="127"/>
      <c r="C5" s="128">
        <f>C11+C6</f>
        <v>0</v>
      </c>
      <c r="D5" s="128">
        <f>D11+D6</f>
        <v>0</v>
      </c>
      <c r="E5" s="128">
        <f aca="true" t="shared" si="3" ref="E5:AT5">E11+E6</f>
        <v>0</v>
      </c>
      <c r="F5" s="128">
        <f t="shared" si="3"/>
        <v>0</v>
      </c>
      <c r="G5" s="128">
        <f t="shared" si="3"/>
        <v>0</v>
      </c>
      <c r="H5" s="128">
        <f t="shared" si="3"/>
        <v>0</v>
      </c>
      <c r="I5" s="128">
        <f t="shared" si="3"/>
        <v>0</v>
      </c>
      <c r="J5" s="128">
        <f t="shared" si="3"/>
        <v>0</v>
      </c>
      <c r="K5" s="128">
        <f t="shared" si="3"/>
        <v>0</v>
      </c>
      <c r="L5" s="128">
        <f t="shared" si="3"/>
        <v>0</v>
      </c>
      <c r="M5" s="128">
        <f t="shared" si="3"/>
        <v>0</v>
      </c>
      <c r="N5" s="128">
        <f t="shared" si="3"/>
        <v>4252.8843799999995</v>
      </c>
      <c r="O5" s="128">
        <f t="shared" si="3"/>
        <v>4532.509879999999</v>
      </c>
      <c r="P5" s="128">
        <f t="shared" si="3"/>
        <v>4532.509879999999</v>
      </c>
      <c r="Q5" s="128">
        <f t="shared" si="3"/>
        <v>4845.241139333332</v>
      </c>
      <c r="R5" s="128">
        <f t="shared" si="3"/>
        <v>5157.972398666665</v>
      </c>
      <c r="S5" s="128">
        <f t="shared" si="3"/>
        <v>6644.793833874998</v>
      </c>
      <c r="T5" s="128">
        <f t="shared" si="3"/>
        <v>6617.515021562498</v>
      </c>
      <c r="U5" s="128">
        <f t="shared" si="3"/>
        <v>6660.934856499998</v>
      </c>
      <c r="V5" s="128">
        <f t="shared" si="3"/>
        <v>6996.821814618248</v>
      </c>
      <c r="W5" s="128">
        <f t="shared" si="3"/>
        <v>7397.113951489028</v>
      </c>
      <c r="X5" s="128">
        <f t="shared" si="3"/>
        <v>7592.626693981982</v>
      </c>
      <c r="Y5" s="128">
        <f t="shared" si="3"/>
        <v>7658.893322623157</v>
      </c>
      <c r="Z5" s="128">
        <f t="shared" si="3"/>
        <v>7663.431815459602</v>
      </c>
      <c r="AA5" s="128">
        <f t="shared" si="3"/>
        <v>7496.517824028246</v>
      </c>
      <c r="AB5" s="128">
        <f t="shared" si="3"/>
        <v>7295.306675783413</v>
      </c>
      <c r="AC5" s="128">
        <f t="shared" si="3"/>
        <v>7295.306675783413</v>
      </c>
      <c r="AD5" s="128">
        <f aca="true" t="shared" si="4" ref="AD5:AP5">AD11+AD6</f>
        <v>7100.173022294457</v>
      </c>
      <c r="AE5" s="128">
        <f t="shared" si="4"/>
        <v>7025.460068981605</v>
      </c>
      <c r="AF5" s="128">
        <f t="shared" si="4"/>
        <v>7031.02473000557</v>
      </c>
      <c r="AG5" s="128">
        <f t="shared" si="4"/>
        <v>7116.866956020882</v>
      </c>
      <c r="AH5" s="128">
        <f t="shared" si="4"/>
        <v>7363.272770954223</v>
      </c>
      <c r="AI5" s="128">
        <f t="shared" si="4"/>
        <v>7730.09908810275</v>
      </c>
      <c r="AJ5" s="128">
        <f t="shared" si="4"/>
        <v>8177.202820472401</v>
      </c>
      <c r="AK5" s="128">
        <f t="shared" si="4"/>
        <v>8584.154807216199</v>
      </c>
      <c r="AL5" s="128">
        <f t="shared" si="4"/>
        <v>8790.382850412543</v>
      </c>
      <c r="AM5" s="128">
        <f t="shared" si="4"/>
        <v>8836.02993574349</v>
      </c>
      <c r="AN5" s="128">
        <f t="shared" si="4"/>
        <v>8680.952975033026</v>
      </c>
      <c r="AO5" s="128">
        <f t="shared" si="4"/>
        <v>8485.724063705326</v>
      </c>
      <c r="AP5" s="128">
        <f t="shared" si="4"/>
        <v>8485.724063705326</v>
      </c>
      <c r="AQ5" s="128">
        <f t="shared" si="3"/>
        <v>9677.629810240844</v>
      </c>
      <c r="AR5" s="128">
        <f t="shared" si="3"/>
        <v>10870.930545466503</v>
      </c>
      <c r="AS5" s="128">
        <f t="shared" si="3"/>
        <v>12065.526149739506</v>
      </c>
      <c r="AT5" s="128">
        <f t="shared" si="3"/>
        <v>13261.309265759986</v>
      </c>
      <c r="AU5" s="128">
        <f>AU11+AU6</f>
        <v>14530.794453257222</v>
      </c>
      <c r="AV5" s="129"/>
      <c r="AW5" s="129"/>
      <c r="AX5" s="129"/>
      <c r="AY5" s="129"/>
      <c r="AZ5" s="129"/>
      <c r="BA5" s="129"/>
      <c r="BB5" s="129"/>
    </row>
    <row r="6" spans="1:47" s="130" customFormat="1" ht="15" customHeight="1">
      <c r="A6" s="126" t="s">
        <v>114</v>
      </c>
      <c r="B6" s="127"/>
      <c r="C6" s="128">
        <f>SUM(C7:C10)</f>
        <v>0</v>
      </c>
      <c r="D6" s="128">
        <f>SUM(D7:D10)</f>
        <v>0</v>
      </c>
      <c r="E6" s="128">
        <f aca="true" t="shared" si="5" ref="E6:AT6">SUM(E7:E10)</f>
        <v>0</v>
      </c>
      <c r="F6" s="128">
        <f t="shared" si="5"/>
        <v>0</v>
      </c>
      <c r="G6" s="128">
        <f t="shared" si="5"/>
        <v>0</v>
      </c>
      <c r="H6" s="128">
        <f t="shared" si="5"/>
        <v>0</v>
      </c>
      <c r="I6" s="128">
        <f t="shared" si="5"/>
        <v>0</v>
      </c>
      <c r="J6" s="128">
        <f t="shared" si="5"/>
        <v>0</v>
      </c>
      <c r="K6" s="128">
        <f t="shared" si="5"/>
        <v>0</v>
      </c>
      <c r="L6" s="128">
        <f t="shared" si="5"/>
        <v>0</v>
      </c>
      <c r="M6" s="128">
        <f t="shared" si="5"/>
        <v>0</v>
      </c>
      <c r="N6" s="128">
        <f t="shared" si="5"/>
        <v>1386.9468799999995</v>
      </c>
      <c r="O6" s="128">
        <f t="shared" si="5"/>
        <v>279.6254999999994</v>
      </c>
      <c r="P6" s="128">
        <f t="shared" si="5"/>
        <v>279.6254999999994</v>
      </c>
      <c r="Q6" s="128">
        <f t="shared" si="5"/>
        <v>619.8365249999995</v>
      </c>
      <c r="R6" s="128">
        <f t="shared" si="5"/>
        <v>960.0475499999995</v>
      </c>
      <c r="S6" s="128">
        <f t="shared" si="5"/>
        <v>2474.3487508749995</v>
      </c>
      <c r="T6" s="128">
        <f t="shared" si="5"/>
        <v>2474.5497042291663</v>
      </c>
      <c r="U6" s="128">
        <f t="shared" si="5"/>
        <v>2545.449304833333</v>
      </c>
      <c r="V6" s="128">
        <f t="shared" si="5"/>
        <v>2908.8160286182497</v>
      </c>
      <c r="W6" s="128">
        <f t="shared" si="5"/>
        <v>3336.5879311556964</v>
      </c>
      <c r="X6" s="128">
        <f t="shared" si="5"/>
        <v>3559.5804393153157</v>
      </c>
      <c r="Y6" s="128">
        <f t="shared" si="5"/>
        <v>3653.3268336231577</v>
      </c>
      <c r="Z6" s="128">
        <f t="shared" si="5"/>
        <v>3685.34509212627</v>
      </c>
      <c r="AA6" s="128">
        <f t="shared" si="5"/>
        <v>3545.91086636158</v>
      </c>
      <c r="AB6" s="128">
        <f t="shared" si="5"/>
        <v>3372.179483783414</v>
      </c>
      <c r="AC6" s="128">
        <f t="shared" si="5"/>
        <v>3372.179483783414</v>
      </c>
      <c r="AD6" s="128">
        <f aca="true" t="shared" si="6" ref="AD6:AP6">SUM(AD7:AD10)</f>
        <v>3204.525595961124</v>
      </c>
      <c r="AE6" s="128">
        <f t="shared" si="6"/>
        <v>3157.292408314939</v>
      </c>
      <c r="AF6" s="128">
        <f t="shared" si="6"/>
        <v>3190.33683500557</v>
      </c>
      <c r="AG6" s="128">
        <f t="shared" si="6"/>
        <v>3303.658826687548</v>
      </c>
      <c r="AH6" s="128">
        <f t="shared" si="6"/>
        <v>3577.5444072875557</v>
      </c>
      <c r="AI6" s="128">
        <f t="shared" si="6"/>
        <v>3971.850490102749</v>
      </c>
      <c r="AJ6" s="128">
        <f t="shared" si="6"/>
        <v>4446.433988139067</v>
      </c>
      <c r="AK6" s="128">
        <f t="shared" si="6"/>
        <v>4880.8657405495305</v>
      </c>
      <c r="AL6" s="128">
        <f t="shared" si="6"/>
        <v>5114.573549412542</v>
      </c>
      <c r="AM6" s="128">
        <f t="shared" si="6"/>
        <v>5187.700400410155</v>
      </c>
      <c r="AN6" s="128">
        <f t="shared" si="6"/>
        <v>5060.103205366358</v>
      </c>
      <c r="AO6" s="128">
        <f t="shared" si="6"/>
        <v>4892.354059705323</v>
      </c>
      <c r="AP6" s="128">
        <f t="shared" si="6"/>
        <v>4892.354059705323</v>
      </c>
      <c r="AQ6" s="128">
        <f t="shared" si="5"/>
        <v>6414.016994240843</v>
      </c>
      <c r="AR6" s="128">
        <f t="shared" si="5"/>
        <v>7937.074917466501</v>
      </c>
      <c r="AS6" s="128">
        <f t="shared" si="5"/>
        <v>9461.427709739504</v>
      </c>
      <c r="AT6" s="128">
        <f t="shared" si="5"/>
        <v>10986.968013759984</v>
      </c>
      <c r="AU6" s="128">
        <f>SUM(AU7:AU10)</f>
        <v>12586.21038925722</v>
      </c>
    </row>
    <row r="7" spans="1:47" ht="15" customHeight="1">
      <c r="A7" s="131" t="s">
        <v>115</v>
      </c>
      <c r="B7" s="127"/>
      <c r="C7" s="132"/>
      <c r="D7" s="132">
        <f>'1-Ф3'!D35</f>
        <v>0</v>
      </c>
      <c r="E7" s="132">
        <f>'1-Ф3'!E35</f>
        <v>0</v>
      </c>
      <c r="F7" s="132">
        <f>'1-Ф3'!F35</f>
        <v>0</v>
      </c>
      <c r="G7" s="132">
        <f>'1-Ф3'!G35</f>
        <v>0</v>
      </c>
      <c r="H7" s="132">
        <f>'1-Ф3'!H35</f>
        <v>0</v>
      </c>
      <c r="I7" s="132">
        <f>'1-Ф3'!I35</f>
        <v>0</v>
      </c>
      <c r="J7" s="132">
        <f>'1-Ф3'!J35</f>
        <v>0</v>
      </c>
      <c r="K7" s="132">
        <f>'1-Ф3'!K35</f>
        <v>0</v>
      </c>
      <c r="L7" s="132">
        <f>'1-Ф3'!L35</f>
        <v>0</v>
      </c>
      <c r="M7" s="132">
        <f>'1-Ф3'!M35</f>
        <v>0</v>
      </c>
      <c r="N7" s="132">
        <f>'1-Ф3'!N35</f>
        <v>1386.9468799999995</v>
      </c>
      <c r="O7" s="132">
        <f>'1-Ф3'!O35</f>
        <v>-5.684341886080801E-13</v>
      </c>
      <c r="P7" s="132">
        <f>'1-Ф3'!P35</f>
        <v>-5.684341886080801E-13</v>
      </c>
      <c r="Q7" s="132">
        <f>'1-Ф3'!Q35</f>
        <v>-5.684341886080801E-13</v>
      </c>
      <c r="R7" s="132">
        <f>'1-Ф3'!R35</f>
        <v>-5.684341886080801E-13</v>
      </c>
      <c r="S7" s="132">
        <f>'1-Ф3'!S35</f>
        <v>1315.2777512499995</v>
      </c>
      <c r="T7" s="132">
        <f>'1-Ф3'!T35</f>
        <v>1152.177412604166</v>
      </c>
      <c r="U7" s="132">
        <f>'1-Ф3'!U35</f>
        <v>961.1145239583326</v>
      </c>
      <c r="V7" s="132">
        <f>'1-Ф3'!V35</f>
        <v>1690.2080996182492</v>
      </c>
      <c r="W7" s="132">
        <f>'1-Ф3'!W35</f>
        <v>2623.193374280696</v>
      </c>
      <c r="X7" s="132">
        <f>'1-Ф3'!X35</f>
        <v>2946.8883458403147</v>
      </c>
      <c r="Y7" s="132">
        <f>'1-Ф3'!Y35</f>
        <v>2973.9533792481566</v>
      </c>
      <c r="Z7" s="132">
        <f>'1-Ф3'!Z35</f>
        <v>2813.752408626269</v>
      </c>
      <c r="AA7" s="132">
        <f>'1-Ф3'!AA35</f>
        <v>2133.3826531115783</v>
      </c>
      <c r="AB7" s="132">
        <f>'1-Ф3'!AB35</f>
        <v>1348.9724806584131</v>
      </c>
      <c r="AC7" s="132">
        <f>'1-Ф3'!AC35</f>
        <v>1348.9724806584131</v>
      </c>
      <c r="AD7" s="132">
        <f>'1-Ф3'!AD35</f>
        <v>582.5471888361232</v>
      </c>
      <c r="AE7" s="132">
        <f>'1-Ф3'!AE35</f>
        <v>181.49453518993846</v>
      </c>
      <c r="AF7" s="132">
        <f>'1-Ф3'!AF35</f>
        <v>24.020787880569472</v>
      </c>
      <c r="AG7" s="132">
        <f>'1-Ф3'!AG35</f>
        <v>110.12589756254782</v>
      </c>
      <c r="AH7" s="132">
        <f>'1-Ф3'!AH35</f>
        <v>683.3971801625563</v>
      </c>
      <c r="AI7" s="132">
        <f>'1-Ф3'!AI35</f>
        <v>1622.04090297775</v>
      </c>
      <c r="AJ7" s="132">
        <f>'1-Ф3'!AJ35</f>
        <v>2804.263333014068</v>
      </c>
      <c r="AK7" s="132">
        <f>'1-Ф3'!AK35</f>
        <v>3864.683371424532</v>
      </c>
      <c r="AL7" s="132">
        <f>'1-Ф3'!AL35</f>
        <v>4316.126236287543</v>
      </c>
      <c r="AM7" s="132">
        <f>'1-Ф3'!AM35</f>
        <v>4280.385559285157</v>
      </c>
      <c r="AN7" s="132">
        <f>'1-Ф3'!AN35</f>
        <v>3635.667606241359</v>
      </c>
      <c r="AO7" s="132">
        <f>'1-Ф3'!AO35</f>
        <v>2869.147056580324</v>
      </c>
      <c r="AP7" s="132">
        <f>'1-Ф3'!AP35</f>
        <v>2869.147056580324</v>
      </c>
      <c r="AQ7" s="132">
        <f>'1-Ф3'!AQ35</f>
        <v>4390.809991115844</v>
      </c>
      <c r="AR7" s="132">
        <f>'1-Ф3'!AR35</f>
        <v>5913.867914341502</v>
      </c>
      <c r="AS7" s="132">
        <f>'1-Ф3'!AS35</f>
        <v>7438.220706614506</v>
      </c>
      <c r="AT7" s="132">
        <f>'1-Ф3'!AT35</f>
        <v>8963.761010634986</v>
      </c>
      <c r="AU7" s="132">
        <f>'1-Ф3'!AU35</f>
        <v>10563.00338613222</v>
      </c>
    </row>
    <row r="8" spans="1:47" ht="12.75">
      <c r="A8" s="131" t="s">
        <v>116</v>
      </c>
      <c r="B8" s="127"/>
      <c r="C8" s="132"/>
      <c r="D8" s="132">
        <f>C8+'2-ф2'!D5-'1-Ф3'!D9/Исх!$C$19</f>
        <v>0</v>
      </c>
      <c r="E8" s="132">
        <f>D8+'2-ф2'!E5-'1-Ф3'!E9/Исх!$C$19</f>
        <v>0</v>
      </c>
      <c r="F8" s="132">
        <f>E8+'2-ф2'!F5-'1-Ф3'!F9/Исх!$C$19</f>
        <v>0</v>
      </c>
      <c r="G8" s="132">
        <f>F8+'2-ф2'!G5-'1-Ф3'!G9/Исх!$C$19</f>
        <v>0</v>
      </c>
      <c r="H8" s="132">
        <f>G8+'2-ф2'!H5-'1-Ф3'!H9/Исх!$C$19</f>
        <v>0</v>
      </c>
      <c r="I8" s="132">
        <f>H8+'2-ф2'!I5-'1-Ф3'!I9/Исх!$C$19</f>
        <v>0</v>
      </c>
      <c r="J8" s="132">
        <f>I8+'2-ф2'!J5-'1-Ф3'!J9/Исх!$C$19</f>
        <v>0</v>
      </c>
      <c r="K8" s="132">
        <f>Инв!L24/Исх!$C$19</f>
        <v>0</v>
      </c>
      <c r="L8" s="132">
        <f>Инв!M24/Исх!$C$19</f>
        <v>0</v>
      </c>
      <c r="M8" s="132">
        <f>Инв!N24/Исх!$C$19</f>
        <v>0</v>
      </c>
      <c r="N8" s="132">
        <f>Инв!O24/Исх!$C$19</f>
        <v>0</v>
      </c>
      <c r="O8" s="132">
        <f>Инв!P24/Исх!$C$19</f>
        <v>0</v>
      </c>
      <c r="P8" s="132">
        <f>O8</f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>
        <f>AB8</f>
        <v>0</v>
      </c>
      <c r="AD8" s="132">
        <f>AC8+'2-ф2'!AD5-'1-Ф3'!AD9/Исх!$C$19</f>
        <v>0</v>
      </c>
      <c r="AE8" s="132">
        <f>AD8+'2-ф2'!AE5-'1-Ф3'!AE9/Исх!$C$19</f>
        <v>0</v>
      </c>
      <c r="AF8" s="132">
        <f>AE8+'2-ф2'!AF5-'1-Ф3'!AF9/Исх!$C$19</f>
        <v>0</v>
      </c>
      <c r="AG8" s="132">
        <f>AF8+'2-ф2'!AG5-'1-Ф3'!AG9/Исх!$C$19</f>
        <v>0</v>
      </c>
      <c r="AH8" s="132">
        <f>AG8+'2-ф2'!AH5-'1-Ф3'!AH9/Исх!$C$19</f>
        <v>0</v>
      </c>
      <c r="AI8" s="132">
        <f>AH8+'2-ф2'!AI5-'1-Ф3'!AI9/Исх!$C$19</f>
        <v>0</v>
      </c>
      <c r="AJ8" s="132">
        <f>AI8+'2-ф2'!AJ5-'1-Ф3'!AJ9/Исх!$C$19</f>
        <v>0</v>
      </c>
      <c r="AK8" s="132">
        <f>AJ8+'2-ф2'!AK5-'1-Ф3'!AK9/Исх!$C$19</f>
        <v>0</v>
      </c>
      <c r="AL8" s="132">
        <f>AK8+'2-ф2'!AL5-'1-Ф3'!AL9/Исх!$C$19</f>
        <v>0</v>
      </c>
      <c r="AM8" s="132">
        <f>AL8+'2-ф2'!AM5-'1-Ф3'!AM9/Исх!$C$19</f>
        <v>0</v>
      </c>
      <c r="AN8" s="132">
        <f>AM8+'2-ф2'!AN5-'1-Ф3'!AN9/Исх!$C$19</f>
        <v>0</v>
      </c>
      <c r="AO8" s="132">
        <f>AN8+'2-ф2'!AO5-'1-Ф3'!AO9/Исх!$C$19</f>
        <v>0</v>
      </c>
      <c r="AP8" s="132">
        <f>AO8</f>
        <v>0</v>
      </c>
      <c r="AQ8" s="132">
        <f>AP8+'2-ф2'!AQ5-'1-Ф3'!AQ9/Исх!$C$19</f>
        <v>0</v>
      </c>
      <c r="AR8" s="132">
        <f>AQ8+'2-ф2'!AR5-'1-Ф3'!AR9/Исх!$C$19</f>
        <v>0</v>
      </c>
      <c r="AS8" s="132">
        <f>AR8+'2-ф2'!AS5-'1-Ф3'!AS9/Исх!$C$19</f>
        <v>0</v>
      </c>
      <c r="AT8" s="132">
        <f>AS8+'2-ф2'!AT5-'1-Ф3'!AT9/Исх!$C$19</f>
        <v>0</v>
      </c>
      <c r="AU8" s="132">
        <f>AT8+'2-ф2'!AU5-'1-Ф3'!AU9/Исх!$C$19</f>
        <v>0</v>
      </c>
    </row>
    <row r="9" spans="1:47" ht="15" customHeight="1">
      <c r="A9" s="131" t="s">
        <v>117</v>
      </c>
      <c r="B9" s="127"/>
      <c r="C9" s="132"/>
      <c r="D9" s="132">
        <f>C9+'1-Ф3'!D12/Исх!$C$19-'2-ф2'!D8</f>
        <v>0</v>
      </c>
      <c r="E9" s="132">
        <f>D9+'1-Ф3'!E12/Исх!$C$19-'2-ф2'!E8</f>
        <v>0</v>
      </c>
      <c r="F9" s="132">
        <f>E9+'1-Ф3'!F12/Исх!$C$19-'2-ф2'!F8</f>
        <v>0</v>
      </c>
      <c r="G9" s="132">
        <f>F9+'1-Ф3'!G12/Исх!$C$19-'2-ф2'!G8</f>
        <v>0</v>
      </c>
      <c r="H9" s="132">
        <f>G9+'1-Ф3'!H12/Исх!$C$19-'2-ф2'!H8</f>
        <v>0</v>
      </c>
      <c r="I9" s="132">
        <f>H9+'1-Ф3'!I12/Исх!$C$19-'2-ф2'!I8</f>
        <v>0</v>
      </c>
      <c r="J9" s="132">
        <f>I9+'1-Ф3'!J12/Исх!$C$19-'2-ф2'!J8</f>
        <v>0</v>
      </c>
      <c r="K9" s="132">
        <f>J9+'1-Ф3'!K12/Исх!$C$19-'2-ф2'!K8</f>
        <v>0</v>
      </c>
      <c r="L9" s="132">
        <f>K9+'1-Ф3'!L12/Исх!$C$19-'2-ф2'!L7</f>
        <v>0</v>
      </c>
      <c r="M9" s="132">
        <f>L9+'1-Ф3'!M12/Исх!$C$19-'2-ф2'!M7</f>
        <v>0</v>
      </c>
      <c r="N9" s="132">
        <f>M9+'1-Ф3'!N12/Исх!$C$19+'1-Ф3'!N13-'2-ф2'!N7</f>
        <v>0</v>
      </c>
      <c r="O9" s="132">
        <f>N9+'1-Ф3'!O12/Исх!$C$19+'1-Ф3'!O13-'2-ф2'!O7</f>
        <v>279.6255</v>
      </c>
      <c r="P9" s="132">
        <f>O9</f>
        <v>279.6255</v>
      </c>
      <c r="Q9" s="132">
        <f>P9+'1-Ф3'!Q12/Исх!$C$19+'1-Ф3'!Q13-'2-ф2'!Q7</f>
        <v>619.836525</v>
      </c>
      <c r="R9" s="132">
        <f>Q9+'1-Ф3'!R12/Исх!$C$19+'1-Ф3'!R13-'2-ф2'!R7</f>
        <v>960.0475500000001</v>
      </c>
      <c r="S9" s="132">
        <f>R9+'1-Ф3'!S12/Исх!$C$19+'1-Ф3'!S13-'2-ф2'!S7</f>
        <v>1159.0709996250002</v>
      </c>
      <c r="T9" s="132">
        <f>S9+'1-Ф3'!T12/Исх!$C$19+'1-Ф3'!T13-'2-ф2'!T7</f>
        <v>1322.3722916250003</v>
      </c>
      <c r="U9" s="132">
        <f>T9+'1-Ф3'!U12/Исх!$C$19+'1-Ф3'!U13-'2-ф2'!U7</f>
        <v>1584.3347808750004</v>
      </c>
      <c r="V9" s="132">
        <f>U9+'1-Ф3'!V12/Исх!$C$19+'1-Ф3'!V13-'2-ф2'!V7</f>
        <v>1218.6079290000005</v>
      </c>
      <c r="W9" s="132">
        <f>V9+'1-Ф3'!W12/Исх!$C$19+'1-Ф3'!W13-'2-ф2'!W7</f>
        <v>713.3945568750007</v>
      </c>
      <c r="X9" s="132">
        <f>W9+'1-Ф3'!X12/Исх!$C$19+'1-Ф3'!X13-'2-ф2'!X7</f>
        <v>612.692093475001</v>
      </c>
      <c r="Y9" s="132">
        <f>X9+'1-Ф3'!Y12/Исх!$C$19+'1-Ф3'!Y13-'2-ф2'!Y7</f>
        <v>679.3734543750011</v>
      </c>
      <c r="Z9" s="132">
        <f>Y9+'1-Ф3'!Z12/Исх!$C$19+'1-Ф3'!Z13-'2-ф2'!Z7</f>
        <v>871.5926835000013</v>
      </c>
      <c r="AA9" s="132">
        <f>Z9+'1-Ф3'!AA12/Исх!$C$19+'1-Ф3'!AA13-'2-ф2'!AA7</f>
        <v>1412.5282132500013</v>
      </c>
      <c r="AB9" s="132">
        <f>AA9+'1-Ф3'!AB12/Исх!$C$19+'1-Ф3'!AB13-'2-ф2'!AB7</f>
        <v>2023.2070031250012</v>
      </c>
      <c r="AC9" s="132">
        <f>AB9</f>
        <v>2023.2070031250012</v>
      </c>
      <c r="AD9" s="132">
        <f>AC9+'1-Ф3'!AD12/Исх!$C$19+'1-Ф3'!AD13-'2-ф2'!AD7</f>
        <v>2621.978407125001</v>
      </c>
      <c r="AE9" s="132">
        <f>AD9+'1-Ф3'!AE12/Исх!$C$19+'1-Ф3'!AE13-'2-ф2'!AE7</f>
        <v>2975.7978731250005</v>
      </c>
      <c r="AF9" s="132">
        <f>AE9+'1-Ф3'!AF12/Исх!$C$19+'1-Ф3'!AF13-'2-ф2'!AF7</f>
        <v>3166.3160471250003</v>
      </c>
      <c r="AG9" s="132">
        <f>AF9+'1-Ф3'!AG12/Исх!$C$19+'1-Ф3'!AG13-'2-ф2'!AG7</f>
        <v>3193.532929125</v>
      </c>
      <c r="AH9" s="132">
        <f>AG9+'1-Ф3'!AH12/Исх!$C$19+'1-Ф3'!AH13-'2-ф2'!AH7</f>
        <v>2894.1472271249995</v>
      </c>
      <c r="AI9" s="132">
        <f>AH9+'1-Ф3'!AI12/Исх!$C$19+'1-Ф3'!AI13-'2-ф2'!AI7</f>
        <v>2349.8095871249993</v>
      </c>
      <c r="AJ9" s="132">
        <f>AI9+'1-Ф3'!AJ12/Исх!$C$19+'1-Ф3'!AJ13-'2-ф2'!AJ7</f>
        <v>1642.1706551249988</v>
      </c>
      <c r="AK9" s="132">
        <f>AJ9+'1-Ф3'!AK12/Исх!$C$19+'1-Ф3'!AK13-'2-ф2'!AK7</f>
        <v>1016.1823691249988</v>
      </c>
      <c r="AL9" s="132">
        <f>AK9+'1-Ф3'!AL12/Исх!$C$19+'1-Ф3'!AL13-'2-ф2'!AL7</f>
        <v>798.4473131249989</v>
      </c>
      <c r="AM9" s="132">
        <f>AL9+'1-Ф3'!AM12/Исх!$C$19+'1-Ф3'!AM13-'2-ф2'!AM7</f>
        <v>907.3148411249988</v>
      </c>
      <c r="AN9" s="132">
        <f>AM9+'1-Ф3'!AN12/Исх!$C$19+'1-Ф3'!AN13-'2-ф2'!AN7</f>
        <v>1424.435599124999</v>
      </c>
      <c r="AO9" s="132">
        <f>AN9+'1-Ф3'!AO12/Исх!$C$19+'1-Ф3'!AO13-'2-ф2'!AO7</f>
        <v>2023.2070031249991</v>
      </c>
      <c r="AP9" s="132">
        <f>AO9</f>
        <v>2023.2070031249991</v>
      </c>
      <c r="AQ9" s="132">
        <f>AP9+'1-Ф3'!AQ12/Исх!$C$19+'1-Ф3'!AQ13-'2-ф2'!AQ7</f>
        <v>2023.2070031249987</v>
      </c>
      <c r="AR9" s="132">
        <f>AQ9+'1-Ф3'!AR12/Исх!$C$19+'1-Ф3'!AR13-'2-ф2'!AR7</f>
        <v>2023.2070031249987</v>
      </c>
      <c r="AS9" s="132">
        <f>AR9+'1-Ф3'!AS12/Исх!$C$19+'1-Ф3'!AS13-'2-ф2'!AS7</f>
        <v>2023.2070031249987</v>
      </c>
      <c r="AT9" s="132">
        <f>AS9+'1-Ф3'!AT12/Исх!$C$19+'1-Ф3'!AT13-'2-ф2'!AT7</f>
        <v>2023.2070031249987</v>
      </c>
      <c r="AU9" s="132">
        <f>AT9+'1-Ф3'!AU12/Исх!$C$19+'1-Ф3'!AU13-'2-ф2'!AU7</f>
        <v>2023.2070031249987</v>
      </c>
    </row>
    <row r="10" spans="1:47" ht="15" customHeight="1">
      <c r="A10" s="131" t="s">
        <v>118</v>
      </c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f>O10</f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>
        <f>AB10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>
        <f>AO10</f>
        <v>0</v>
      </c>
      <c r="AQ10" s="132"/>
      <c r="AR10" s="132"/>
      <c r="AS10" s="132"/>
      <c r="AT10" s="132"/>
      <c r="AU10" s="132"/>
    </row>
    <row r="11" spans="1:47" ht="15" customHeight="1">
      <c r="A11" s="126" t="s">
        <v>119</v>
      </c>
      <c r="B11" s="127"/>
      <c r="C11" s="128">
        <f aca="true" t="shared" si="7" ref="C11:AT11">SUM(C12:C14)</f>
        <v>0</v>
      </c>
      <c r="D11" s="128">
        <f t="shared" si="7"/>
        <v>0</v>
      </c>
      <c r="E11" s="128">
        <f t="shared" si="7"/>
        <v>0</v>
      </c>
      <c r="F11" s="128">
        <f t="shared" si="7"/>
        <v>0</v>
      </c>
      <c r="G11" s="128">
        <f t="shared" si="7"/>
        <v>0</v>
      </c>
      <c r="H11" s="128">
        <f t="shared" si="7"/>
        <v>0</v>
      </c>
      <c r="I11" s="128">
        <f t="shared" si="7"/>
        <v>0</v>
      </c>
      <c r="J11" s="128">
        <f t="shared" si="7"/>
        <v>0</v>
      </c>
      <c r="K11" s="128">
        <f t="shared" si="7"/>
        <v>0</v>
      </c>
      <c r="L11" s="128">
        <f t="shared" si="7"/>
        <v>0</v>
      </c>
      <c r="M11" s="128">
        <f t="shared" si="7"/>
        <v>0</v>
      </c>
      <c r="N11" s="128">
        <f t="shared" si="7"/>
        <v>2865.9375</v>
      </c>
      <c r="O11" s="128">
        <f t="shared" si="7"/>
        <v>4252.8843799999995</v>
      </c>
      <c r="P11" s="128">
        <f t="shared" si="7"/>
        <v>4252.8843799999995</v>
      </c>
      <c r="Q11" s="128">
        <f t="shared" si="7"/>
        <v>4225.404614333333</v>
      </c>
      <c r="R11" s="128">
        <f t="shared" si="7"/>
        <v>4197.924848666666</v>
      </c>
      <c r="S11" s="128">
        <f t="shared" si="7"/>
        <v>4170.445082999999</v>
      </c>
      <c r="T11" s="128">
        <f t="shared" si="7"/>
        <v>4142.965317333332</v>
      </c>
      <c r="U11" s="128">
        <f t="shared" si="7"/>
        <v>4115.485551666665</v>
      </c>
      <c r="V11" s="128">
        <f t="shared" si="7"/>
        <v>4088.0057859999984</v>
      </c>
      <c r="W11" s="128">
        <f t="shared" si="7"/>
        <v>4060.526020333332</v>
      </c>
      <c r="X11" s="128">
        <f t="shared" si="7"/>
        <v>4033.0462546666654</v>
      </c>
      <c r="Y11" s="128">
        <f t="shared" si="7"/>
        <v>4005.566488999999</v>
      </c>
      <c r="Z11" s="128">
        <f t="shared" si="7"/>
        <v>3978.0867233333324</v>
      </c>
      <c r="AA11" s="128">
        <f t="shared" si="7"/>
        <v>3950.606957666666</v>
      </c>
      <c r="AB11" s="128">
        <f t="shared" si="7"/>
        <v>3923.1271919999995</v>
      </c>
      <c r="AC11" s="128">
        <f t="shared" si="7"/>
        <v>3923.1271919999995</v>
      </c>
      <c r="AD11" s="128">
        <f aca="true" t="shared" si="8" ref="AD11:AP11">SUM(AD12:AD14)</f>
        <v>3895.647426333333</v>
      </c>
      <c r="AE11" s="128">
        <f t="shared" si="8"/>
        <v>3868.1676606666665</v>
      </c>
      <c r="AF11" s="128">
        <f t="shared" si="8"/>
        <v>3840.687895</v>
      </c>
      <c r="AG11" s="128">
        <f t="shared" si="8"/>
        <v>3813.2081293333335</v>
      </c>
      <c r="AH11" s="128">
        <f t="shared" si="8"/>
        <v>3785.728363666667</v>
      </c>
      <c r="AI11" s="128">
        <f t="shared" si="8"/>
        <v>3758.2485980000006</v>
      </c>
      <c r="AJ11" s="128">
        <f t="shared" si="8"/>
        <v>3730.768832333334</v>
      </c>
      <c r="AK11" s="128">
        <f t="shared" si="8"/>
        <v>3703.2890666666676</v>
      </c>
      <c r="AL11" s="128">
        <f t="shared" si="8"/>
        <v>3675.809301000001</v>
      </c>
      <c r="AM11" s="128">
        <f t="shared" si="8"/>
        <v>3648.3295353333347</v>
      </c>
      <c r="AN11" s="128">
        <f t="shared" si="8"/>
        <v>3620.849769666668</v>
      </c>
      <c r="AO11" s="128">
        <f t="shared" si="8"/>
        <v>3593.3700040000017</v>
      </c>
      <c r="AP11" s="128">
        <f t="shared" si="8"/>
        <v>3593.3700040000017</v>
      </c>
      <c r="AQ11" s="128">
        <f t="shared" si="7"/>
        <v>3263.6128160000017</v>
      </c>
      <c r="AR11" s="128">
        <f t="shared" si="7"/>
        <v>2933.8556280000016</v>
      </c>
      <c r="AS11" s="128">
        <f t="shared" si="7"/>
        <v>2604.0984400000016</v>
      </c>
      <c r="AT11" s="128">
        <f t="shared" si="7"/>
        <v>2274.3412520000015</v>
      </c>
      <c r="AU11" s="128">
        <f>SUM(AU12:AU14)</f>
        <v>1944.5840640000015</v>
      </c>
    </row>
    <row r="12" spans="1:47" ht="12.75">
      <c r="A12" s="131" t="s">
        <v>120</v>
      </c>
      <c r="B12" s="133"/>
      <c r="C12" s="132"/>
      <c r="D12" s="132">
        <f>C12+'1-Ф3'!D21/Исх!$C$19-'2-ф2'!D12</f>
        <v>0</v>
      </c>
      <c r="E12" s="132">
        <f>D12+'1-Ф3'!E21/Исх!$C$19-'2-ф2'!E12</f>
        <v>0</v>
      </c>
      <c r="F12" s="132">
        <f>E12+'1-Ф3'!F21/Исх!$C$19-'2-ф2'!F12</f>
        <v>0</v>
      </c>
      <c r="G12" s="132">
        <f>F12+'1-Ф3'!G21/Исх!$C$19-'2-ф2'!G12</f>
        <v>0</v>
      </c>
      <c r="H12" s="132">
        <f>G12+'1-Ф3'!H21/Исх!$C$19-'2-ф2'!H12</f>
        <v>0</v>
      </c>
      <c r="I12" s="132">
        <f>H12+'1-Ф3'!I21/Исх!$C$19-'2-ф2'!I12</f>
        <v>0</v>
      </c>
      <c r="J12" s="132">
        <f>I12+'1-Ф3'!J21/Исх!$C$19-'2-ф2'!J12</f>
        <v>0</v>
      </c>
      <c r="K12" s="132"/>
      <c r="L12" s="132"/>
      <c r="M12" s="132"/>
      <c r="N12" s="132">
        <f>M12+Инв!O14</f>
        <v>2865.9375</v>
      </c>
      <c r="O12" s="132">
        <f>N12+Инв!P14</f>
        <v>4252.8843799999995</v>
      </c>
      <c r="P12" s="132">
        <f>O12</f>
        <v>4252.8843799999995</v>
      </c>
      <c r="Q12" s="132">
        <f>P12-'2-ф2'!Q12</f>
        <v>4225.404614333333</v>
      </c>
      <c r="R12" s="132">
        <f>Q12-'2-ф2'!R12</f>
        <v>4197.924848666666</v>
      </c>
      <c r="S12" s="132">
        <f>R12-'2-ф2'!S12</f>
        <v>4170.445082999999</v>
      </c>
      <c r="T12" s="132">
        <f>S12-'2-ф2'!T12</f>
        <v>4142.965317333332</v>
      </c>
      <c r="U12" s="132">
        <f>T12-'2-ф2'!U12</f>
        <v>4115.485551666665</v>
      </c>
      <c r="V12" s="132">
        <f>U12-'2-ф2'!V12</f>
        <v>4088.0057859999984</v>
      </c>
      <c r="W12" s="132">
        <f>V12-'2-ф2'!W12</f>
        <v>4060.526020333332</v>
      </c>
      <c r="X12" s="132">
        <f>W12-'2-ф2'!X12</f>
        <v>4033.0462546666654</v>
      </c>
      <c r="Y12" s="132">
        <f>X12-'2-ф2'!Y12</f>
        <v>4005.566488999999</v>
      </c>
      <c r="Z12" s="132">
        <f>Y12-'2-ф2'!Z12</f>
        <v>3978.0867233333324</v>
      </c>
      <c r="AA12" s="132">
        <f>Z12-'2-ф2'!AA12</f>
        <v>3950.606957666666</v>
      </c>
      <c r="AB12" s="132">
        <f>AA12-'2-ф2'!AB12</f>
        <v>3923.1271919999995</v>
      </c>
      <c r="AC12" s="132">
        <f>AB12</f>
        <v>3923.1271919999995</v>
      </c>
      <c r="AD12" s="132">
        <f>AC12-'2-ф2'!AD12</f>
        <v>3895.647426333333</v>
      </c>
      <c r="AE12" s="132">
        <f>AD12-'2-ф2'!AE12</f>
        <v>3868.1676606666665</v>
      </c>
      <c r="AF12" s="132">
        <f>AE12-'2-ф2'!AF12</f>
        <v>3840.687895</v>
      </c>
      <c r="AG12" s="132">
        <f>AF12-'2-ф2'!AG12</f>
        <v>3813.2081293333335</v>
      </c>
      <c r="AH12" s="132">
        <f>AG12-'2-ф2'!AH12</f>
        <v>3785.728363666667</v>
      </c>
      <c r="AI12" s="132">
        <f>AH12-'2-ф2'!AI12</f>
        <v>3758.2485980000006</v>
      </c>
      <c r="AJ12" s="132">
        <f>AI12-'2-ф2'!AJ12</f>
        <v>3730.768832333334</v>
      </c>
      <c r="AK12" s="132">
        <f>AJ12-'2-ф2'!AK12</f>
        <v>3703.2890666666676</v>
      </c>
      <c r="AL12" s="132">
        <f>AK12-'2-ф2'!AL12</f>
        <v>3675.809301000001</v>
      </c>
      <c r="AM12" s="132">
        <f>AL12-'2-ф2'!AM12</f>
        <v>3648.3295353333347</v>
      </c>
      <c r="AN12" s="132">
        <f>AM12-'2-ф2'!AN12</f>
        <v>3620.849769666668</v>
      </c>
      <c r="AO12" s="132">
        <f>AN12-'2-ф2'!AO12</f>
        <v>3593.3700040000017</v>
      </c>
      <c r="AP12" s="132">
        <f>AO12</f>
        <v>3593.3700040000017</v>
      </c>
      <c r="AQ12" s="132">
        <f>AP12-'2-ф2'!AQ12</f>
        <v>3263.6128160000017</v>
      </c>
      <c r="AR12" s="132">
        <f>AQ12-'2-ф2'!AR12</f>
        <v>2933.8556280000016</v>
      </c>
      <c r="AS12" s="132">
        <f>AR12-'2-ф2'!AS12</f>
        <v>2604.0984400000016</v>
      </c>
      <c r="AT12" s="132">
        <f>AS12-'2-ф2'!AT12</f>
        <v>2274.3412520000015</v>
      </c>
      <c r="AU12" s="132">
        <f>AT12-'2-ф2'!AU12</f>
        <v>1944.5840640000015</v>
      </c>
    </row>
    <row r="13" spans="1:47" ht="12.75">
      <c r="A13" s="131" t="s">
        <v>246</v>
      </c>
      <c r="B13" s="133"/>
      <c r="C13" s="132"/>
      <c r="D13" s="132">
        <f aca="true" t="shared" si="9" ref="D13:J13">C13</f>
        <v>0</v>
      </c>
      <c r="E13" s="132">
        <f t="shared" si="9"/>
        <v>0</v>
      </c>
      <c r="F13" s="132">
        <f t="shared" si="9"/>
        <v>0</v>
      </c>
      <c r="G13" s="132">
        <f t="shared" si="9"/>
        <v>0</v>
      </c>
      <c r="H13" s="132">
        <f t="shared" si="9"/>
        <v>0</v>
      </c>
      <c r="I13" s="132">
        <f t="shared" si="9"/>
        <v>0</v>
      </c>
      <c r="J13" s="132">
        <f t="shared" si="9"/>
        <v>0</v>
      </c>
      <c r="K13" s="132">
        <f>Инв!L23/Исх!$C$19</f>
        <v>0</v>
      </c>
      <c r="L13" s="132">
        <f>Инв!M23/Исх!$C$19</f>
        <v>0</v>
      </c>
      <c r="M13" s="132">
        <f>Инв!N23/Исх!$C$19</f>
        <v>0</v>
      </c>
      <c r="N13" s="132">
        <f>Инв!O23/Исх!$C$19</f>
        <v>0</v>
      </c>
      <c r="O13" s="132">
        <f>Инв!P23/Исх!$C$19</f>
        <v>0</v>
      </c>
      <c r="P13" s="132">
        <f>O13</f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>
        <f>AB13</f>
        <v>0</v>
      </c>
      <c r="AD13" s="132"/>
      <c r="AE13" s="132">
        <f aca="true" t="shared" si="10" ref="AE13:AO13">AD13</f>
        <v>0</v>
      </c>
      <c r="AF13" s="132">
        <f t="shared" si="10"/>
        <v>0</v>
      </c>
      <c r="AG13" s="132">
        <f t="shared" si="10"/>
        <v>0</v>
      </c>
      <c r="AH13" s="132">
        <f t="shared" si="10"/>
        <v>0</v>
      </c>
      <c r="AI13" s="132">
        <f t="shared" si="10"/>
        <v>0</v>
      </c>
      <c r="AJ13" s="132">
        <f t="shared" si="10"/>
        <v>0</v>
      </c>
      <c r="AK13" s="132">
        <f t="shared" si="10"/>
        <v>0</v>
      </c>
      <c r="AL13" s="132">
        <f t="shared" si="10"/>
        <v>0</v>
      </c>
      <c r="AM13" s="132">
        <f t="shared" si="10"/>
        <v>0</v>
      </c>
      <c r="AN13" s="132">
        <f t="shared" si="10"/>
        <v>0</v>
      </c>
      <c r="AO13" s="132">
        <f t="shared" si="10"/>
        <v>0</v>
      </c>
      <c r="AP13" s="132">
        <f>AO13</f>
        <v>0</v>
      </c>
      <c r="AQ13" s="132">
        <f>AP13</f>
        <v>0</v>
      </c>
      <c r="AR13" s="132">
        <f>AQ13</f>
        <v>0</v>
      </c>
      <c r="AS13" s="132">
        <f>AR13</f>
        <v>0</v>
      </c>
      <c r="AT13" s="132">
        <f>AS13</f>
        <v>0</v>
      </c>
      <c r="AU13" s="132">
        <f>AT13</f>
        <v>0</v>
      </c>
    </row>
    <row r="14" spans="1:47" ht="12.75">
      <c r="A14" s="131" t="s">
        <v>121</v>
      </c>
      <c r="B14" s="133"/>
      <c r="C14" s="132"/>
      <c r="D14" s="132">
        <f>IF('2-ф2'!D27&lt;0,-'2-ф2'!D27,0)</f>
        <v>0</v>
      </c>
      <c r="E14" s="132">
        <f>IF('2-ф2'!E27&lt;0,-'2-ф2'!E27,0)</f>
        <v>0</v>
      </c>
      <c r="F14" s="132">
        <f>IF('2-ф2'!F27&lt;0,-'2-ф2'!F27,0)</f>
        <v>0</v>
      </c>
      <c r="G14" s="132">
        <f>IF('2-ф2'!G27&lt;0,-'2-ф2'!G27,0)</f>
        <v>0</v>
      </c>
      <c r="H14" s="132">
        <f>IF('2-ф2'!H27&lt;0,-'2-ф2'!H27,0)</f>
        <v>0</v>
      </c>
      <c r="I14" s="132">
        <f>IF('2-ф2'!I27&lt;0,-'2-ф2'!I27,0)</f>
        <v>0</v>
      </c>
      <c r="J14" s="132">
        <f>IF('2-ф2'!J27&lt;0,-'2-ф2'!J27,0)</f>
        <v>0</v>
      </c>
      <c r="K14" s="132">
        <f>IF('2-ф2'!K27&lt;0,-'2-ф2'!K27,0)</f>
        <v>0</v>
      </c>
      <c r="L14" s="132">
        <f>IF('2-ф2'!L27&lt;0,-'2-ф2'!L27,0)</f>
        <v>0</v>
      </c>
      <c r="M14" s="132">
        <f>IF('2-ф2'!M27&lt;0,-'2-ф2'!M27,0)</f>
        <v>0</v>
      </c>
      <c r="N14" s="132">
        <f>IF('2-ф2'!N27&lt;0,-'2-ф2'!N27,0)</f>
        <v>0</v>
      </c>
      <c r="O14" s="132">
        <f>IF('2-ф2'!O27&lt;0,-'2-ф2'!O27,0)</f>
        <v>0</v>
      </c>
      <c r="P14" s="132">
        <f>O14</f>
        <v>0</v>
      </c>
      <c r="Q14" s="132">
        <f>IF('2-ф2'!Q27&lt;0,-'2-ф2'!Q27,0)</f>
        <v>0</v>
      </c>
      <c r="R14" s="132">
        <f>IF('2-ф2'!R27&lt;0,-'2-ф2'!R27,0)</f>
        <v>0</v>
      </c>
      <c r="S14" s="132">
        <f>IF('2-ф2'!S27&lt;0,-'2-ф2'!S27,0)</f>
        <v>0</v>
      </c>
      <c r="T14" s="132">
        <f>IF('2-ф2'!T27&lt;0,-'2-ф2'!T27,0)</f>
        <v>0</v>
      </c>
      <c r="U14" s="132">
        <f>IF('2-ф2'!U27&lt;0,-'2-ф2'!U27,0)</f>
        <v>0</v>
      </c>
      <c r="V14" s="132">
        <f>IF('2-ф2'!V27&lt;0,-'2-ф2'!V27,0)</f>
        <v>0</v>
      </c>
      <c r="W14" s="132">
        <f>IF('2-ф2'!W27&lt;0,-'2-ф2'!W27,0)</f>
        <v>0</v>
      </c>
      <c r="X14" s="132">
        <f>IF('2-ф2'!X27&lt;0,-'2-ф2'!X27,0)</f>
        <v>0</v>
      </c>
      <c r="Y14" s="132">
        <f>IF('2-ф2'!Y27&lt;0,-'2-ф2'!Y27,0)</f>
        <v>0</v>
      </c>
      <c r="Z14" s="132">
        <f>IF('2-ф2'!Z27&lt;0,-'2-ф2'!Z27,0)</f>
        <v>0</v>
      </c>
      <c r="AA14" s="132">
        <f>IF('2-ф2'!AA27&lt;0,-'2-ф2'!AA27,0)</f>
        <v>0</v>
      </c>
      <c r="AB14" s="132">
        <f>IF('2-ф2'!AB27&lt;0,-'2-ф2'!AB27,0)</f>
        <v>0</v>
      </c>
      <c r="AC14" s="132">
        <f>AB14</f>
        <v>0</v>
      </c>
      <c r="AD14" s="132">
        <f>IF('2-ф2'!AD27&lt;0,-'2-ф2'!AD27,0)</f>
        <v>0</v>
      </c>
      <c r="AE14" s="132">
        <f>IF('2-ф2'!AE27&lt;0,-'2-ф2'!AE27,0)</f>
        <v>0</v>
      </c>
      <c r="AF14" s="132">
        <f>IF('2-ф2'!AF27&lt;0,-'2-ф2'!AF27,0)</f>
        <v>0</v>
      </c>
      <c r="AG14" s="132">
        <f>IF('2-ф2'!AG27&lt;0,-'2-ф2'!AG27,0)</f>
        <v>0</v>
      </c>
      <c r="AH14" s="132">
        <f>IF('2-ф2'!AH27&lt;0,-'2-ф2'!AH27,0)</f>
        <v>0</v>
      </c>
      <c r="AI14" s="132">
        <f>IF('2-ф2'!AI27&lt;0,-'2-ф2'!AI27,0)</f>
        <v>0</v>
      </c>
      <c r="AJ14" s="132">
        <f>IF('2-ф2'!AJ27&lt;0,-'2-ф2'!AJ27,0)</f>
        <v>0</v>
      </c>
      <c r="AK14" s="132">
        <f>IF('2-ф2'!AK27&lt;0,-'2-ф2'!AK27,0)</f>
        <v>0</v>
      </c>
      <c r="AL14" s="132">
        <f>IF('2-ф2'!AL27&lt;0,-'2-ф2'!AL27,0)</f>
        <v>0</v>
      </c>
      <c r="AM14" s="132">
        <f>IF('2-ф2'!AM27&lt;0,-'2-ф2'!AM27,0)</f>
        <v>0</v>
      </c>
      <c r="AN14" s="132">
        <f>IF('2-ф2'!AN27&lt;0,-'2-ф2'!AN27,0)</f>
        <v>0</v>
      </c>
      <c r="AO14" s="132">
        <f>IF('2-ф2'!AO27&lt;0,-'2-ф2'!AO27,0)</f>
        <v>0</v>
      </c>
      <c r="AP14" s="132">
        <f>AO14</f>
        <v>0</v>
      </c>
      <c r="AQ14" s="132">
        <f>IF('2-ф2'!AQ27&lt;0,-'2-ф2'!AQ27,0)</f>
        <v>0</v>
      </c>
      <c r="AR14" s="132">
        <f>IF('2-ф2'!AR27&lt;0,-'2-ф2'!AR27,0)</f>
        <v>0</v>
      </c>
      <c r="AS14" s="132">
        <f>IF('2-ф2'!AS27&lt;0,-'2-ф2'!AS27,0)</f>
        <v>0</v>
      </c>
      <c r="AT14" s="132">
        <f>IF('2-ф2'!AT27&lt;0,-'2-ф2'!AT27,0)</f>
        <v>0</v>
      </c>
      <c r="AU14" s="132">
        <f>IF('2-ф2'!AU27&lt;0,-'2-ф2'!AU27,0)</f>
        <v>0</v>
      </c>
    </row>
    <row r="15" spans="1:196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</row>
    <row r="16" spans="1:54" s="130" customFormat="1" ht="15" customHeight="1">
      <c r="A16" s="126" t="s">
        <v>122</v>
      </c>
      <c r="B16" s="127"/>
      <c r="C16" s="127">
        <f aca="true" t="shared" si="11" ref="C16:AT16">C21+C24+C17</f>
        <v>0</v>
      </c>
      <c r="D16" s="127">
        <f t="shared" si="11"/>
        <v>0</v>
      </c>
      <c r="E16" s="127">
        <f t="shared" si="11"/>
        <v>0</v>
      </c>
      <c r="F16" s="127">
        <f t="shared" si="11"/>
        <v>0</v>
      </c>
      <c r="G16" s="127">
        <f t="shared" si="11"/>
        <v>0</v>
      </c>
      <c r="H16" s="127">
        <f t="shared" si="11"/>
        <v>0</v>
      </c>
      <c r="I16" s="127">
        <f t="shared" si="11"/>
        <v>0</v>
      </c>
      <c r="J16" s="127">
        <f t="shared" si="11"/>
        <v>0</v>
      </c>
      <c r="K16" s="127">
        <f t="shared" si="11"/>
        <v>0</v>
      </c>
      <c r="L16" s="127">
        <f t="shared" si="11"/>
        <v>0</v>
      </c>
      <c r="M16" s="127">
        <f t="shared" si="11"/>
        <v>0</v>
      </c>
      <c r="N16" s="127">
        <f t="shared" si="11"/>
        <v>4252.8843799999995</v>
      </c>
      <c r="O16" s="127">
        <f t="shared" si="11"/>
        <v>4532.509879999999</v>
      </c>
      <c r="P16" s="127">
        <f t="shared" si="11"/>
        <v>4532.509879999999</v>
      </c>
      <c r="Q16" s="127">
        <f t="shared" si="11"/>
        <v>4845.241139333333</v>
      </c>
      <c r="R16" s="127">
        <f t="shared" si="11"/>
        <v>5157.972398666666</v>
      </c>
      <c r="S16" s="127">
        <f t="shared" si="11"/>
        <v>6644.793833875</v>
      </c>
      <c r="T16" s="127">
        <f t="shared" si="11"/>
        <v>6617.5150215625</v>
      </c>
      <c r="U16" s="127">
        <f t="shared" si="11"/>
        <v>6660.934856499999</v>
      </c>
      <c r="V16" s="127">
        <f t="shared" si="11"/>
        <v>6996.821814618249</v>
      </c>
      <c r="W16" s="127">
        <f t="shared" si="11"/>
        <v>7397.113951489029</v>
      </c>
      <c r="X16" s="127">
        <f t="shared" si="11"/>
        <v>7592.626693981982</v>
      </c>
      <c r="Y16" s="127">
        <f t="shared" si="11"/>
        <v>7658.893322623157</v>
      </c>
      <c r="Z16" s="127">
        <f t="shared" si="11"/>
        <v>7663.431815459601</v>
      </c>
      <c r="AA16" s="127">
        <f t="shared" si="11"/>
        <v>7496.517824028244</v>
      </c>
      <c r="AB16" s="127">
        <f t="shared" si="11"/>
        <v>7295.306675783412</v>
      </c>
      <c r="AC16" s="127">
        <f t="shared" si="11"/>
        <v>7295.306675783412</v>
      </c>
      <c r="AD16" s="127">
        <f aca="true" t="shared" si="12" ref="AD16:AP16">AD21+AD24+AD17</f>
        <v>7100.173022294455</v>
      </c>
      <c r="AE16" s="127">
        <f t="shared" si="12"/>
        <v>7025.460068981603</v>
      </c>
      <c r="AF16" s="127">
        <f t="shared" si="12"/>
        <v>7031.024730005569</v>
      </c>
      <c r="AG16" s="127">
        <f t="shared" si="12"/>
        <v>7116.86695602088</v>
      </c>
      <c r="AH16" s="127">
        <f t="shared" si="12"/>
        <v>7363.272770954221</v>
      </c>
      <c r="AI16" s="127">
        <f t="shared" si="12"/>
        <v>7730.099088102748</v>
      </c>
      <c r="AJ16" s="127">
        <f t="shared" si="12"/>
        <v>8177.202820472399</v>
      </c>
      <c r="AK16" s="127">
        <f t="shared" si="12"/>
        <v>8584.154807216197</v>
      </c>
      <c r="AL16" s="127">
        <f t="shared" si="12"/>
        <v>8790.382850412541</v>
      </c>
      <c r="AM16" s="127">
        <f t="shared" si="12"/>
        <v>8836.029935743489</v>
      </c>
      <c r="AN16" s="127">
        <f t="shared" si="12"/>
        <v>8680.952975033024</v>
      </c>
      <c r="AO16" s="127">
        <f t="shared" si="12"/>
        <v>8485.724063705322</v>
      </c>
      <c r="AP16" s="127">
        <f t="shared" si="12"/>
        <v>8485.724063705322</v>
      </c>
      <c r="AQ16" s="127">
        <f t="shared" si="11"/>
        <v>9677.629810240844</v>
      </c>
      <c r="AR16" s="127">
        <f t="shared" si="11"/>
        <v>10870.930545466503</v>
      </c>
      <c r="AS16" s="127">
        <f t="shared" si="11"/>
        <v>12065.526149739504</v>
      </c>
      <c r="AT16" s="127">
        <f t="shared" si="11"/>
        <v>13261.309265759985</v>
      </c>
      <c r="AU16" s="127">
        <f>AU21+AU24+AU17</f>
        <v>14530.79445325722</v>
      </c>
      <c r="AV16" s="129"/>
      <c r="AW16" s="129"/>
      <c r="AX16" s="129"/>
      <c r="AY16" s="129"/>
      <c r="AZ16" s="129"/>
      <c r="BA16" s="129"/>
      <c r="BB16" s="129"/>
    </row>
    <row r="17" spans="1:47" ht="15" customHeight="1">
      <c r="A17" s="126" t="s">
        <v>123</v>
      </c>
      <c r="B17" s="127"/>
      <c r="C17" s="127">
        <f aca="true" t="shared" si="13" ref="C17:AT17">SUM(C18:C20)</f>
        <v>0</v>
      </c>
      <c r="D17" s="127">
        <f t="shared" si="13"/>
        <v>0</v>
      </c>
      <c r="E17" s="127">
        <f t="shared" si="13"/>
        <v>0</v>
      </c>
      <c r="F17" s="127">
        <f t="shared" si="13"/>
        <v>0</v>
      </c>
      <c r="G17" s="127">
        <f t="shared" si="13"/>
        <v>0</v>
      </c>
      <c r="H17" s="127">
        <f t="shared" si="13"/>
        <v>0</v>
      </c>
      <c r="I17" s="127">
        <f t="shared" si="13"/>
        <v>0</v>
      </c>
      <c r="J17" s="127">
        <f t="shared" si="13"/>
        <v>0</v>
      </c>
      <c r="K17" s="127">
        <f t="shared" si="13"/>
        <v>0</v>
      </c>
      <c r="L17" s="127">
        <f t="shared" si="13"/>
        <v>0</v>
      </c>
      <c r="M17" s="127">
        <f t="shared" si="13"/>
        <v>0</v>
      </c>
      <c r="N17" s="127">
        <f t="shared" si="13"/>
        <v>0</v>
      </c>
      <c r="O17" s="127">
        <f t="shared" si="13"/>
        <v>24.808492216666664</v>
      </c>
      <c r="P17" s="127">
        <f t="shared" si="13"/>
        <v>24.808492216666664</v>
      </c>
      <c r="Q17" s="127">
        <f t="shared" si="13"/>
        <v>49.61698443333333</v>
      </c>
      <c r="R17" s="127">
        <f t="shared" si="13"/>
        <v>74.42547665</v>
      </c>
      <c r="S17" s="127">
        <f t="shared" si="13"/>
        <v>99.23396886666666</v>
      </c>
      <c r="T17" s="127">
        <f t="shared" si="13"/>
        <v>124.04246108333332</v>
      </c>
      <c r="U17" s="127">
        <f t="shared" si="13"/>
        <v>0</v>
      </c>
      <c r="V17" s="127">
        <f t="shared" si="13"/>
        <v>0</v>
      </c>
      <c r="W17" s="127">
        <f t="shared" si="13"/>
        <v>0</v>
      </c>
      <c r="X17" s="127">
        <f t="shared" si="13"/>
        <v>0</v>
      </c>
      <c r="Y17" s="127">
        <f t="shared" si="13"/>
        <v>0</v>
      </c>
      <c r="Z17" s="127">
        <f t="shared" si="13"/>
        <v>0</v>
      </c>
      <c r="AA17" s="127">
        <f t="shared" si="13"/>
        <v>0</v>
      </c>
      <c r="AB17" s="127">
        <f t="shared" si="13"/>
        <v>0</v>
      </c>
      <c r="AC17" s="127">
        <f t="shared" si="13"/>
        <v>0</v>
      </c>
      <c r="AD17" s="127">
        <f aca="true" t="shared" si="14" ref="AD17:AP17">SUM(AD18:AD20)</f>
        <v>0</v>
      </c>
      <c r="AE17" s="127">
        <f t="shared" si="14"/>
        <v>0</v>
      </c>
      <c r="AF17" s="127">
        <f t="shared" si="14"/>
        <v>0</v>
      </c>
      <c r="AG17" s="127">
        <f t="shared" si="14"/>
        <v>0</v>
      </c>
      <c r="AH17" s="127">
        <f t="shared" si="14"/>
        <v>0</v>
      </c>
      <c r="AI17" s="127">
        <f t="shared" si="14"/>
        <v>0</v>
      </c>
      <c r="AJ17" s="127">
        <f t="shared" si="14"/>
        <v>0</v>
      </c>
      <c r="AK17" s="127">
        <f t="shared" si="14"/>
        <v>0</v>
      </c>
      <c r="AL17" s="127">
        <f t="shared" si="14"/>
        <v>0</v>
      </c>
      <c r="AM17" s="127">
        <f t="shared" si="14"/>
        <v>0</v>
      </c>
      <c r="AN17" s="127">
        <f t="shared" si="14"/>
        <v>0</v>
      </c>
      <c r="AO17" s="127">
        <f t="shared" si="14"/>
        <v>0</v>
      </c>
      <c r="AP17" s="127">
        <f t="shared" si="14"/>
        <v>0</v>
      </c>
      <c r="AQ17" s="127">
        <f t="shared" si="13"/>
        <v>0</v>
      </c>
      <c r="AR17" s="127">
        <f t="shared" si="13"/>
        <v>0</v>
      </c>
      <c r="AS17" s="127">
        <f t="shared" si="13"/>
        <v>0</v>
      </c>
      <c r="AT17" s="127">
        <f t="shared" si="13"/>
        <v>0</v>
      </c>
      <c r="AU17" s="127">
        <f>SUM(AU18:AU20)</f>
        <v>0</v>
      </c>
    </row>
    <row r="18" spans="1:47" ht="12.75" hidden="1">
      <c r="A18" s="131" t="s">
        <v>124</v>
      </c>
      <c r="B18" s="133"/>
      <c r="C18" s="133"/>
      <c r="D18" s="133">
        <f>C18</f>
        <v>0</v>
      </c>
      <c r="E18" s="133">
        <f>D18</f>
        <v>0</v>
      </c>
      <c r="F18" s="133">
        <f aca="true" t="shared" si="15" ref="F18:O18">E18</f>
        <v>0</v>
      </c>
      <c r="G18" s="133">
        <f t="shared" si="15"/>
        <v>0</v>
      </c>
      <c r="H18" s="133">
        <f t="shared" si="15"/>
        <v>0</v>
      </c>
      <c r="I18" s="133">
        <f t="shared" si="15"/>
        <v>0</v>
      </c>
      <c r="J18" s="133">
        <f t="shared" si="15"/>
        <v>0</v>
      </c>
      <c r="K18" s="133">
        <f t="shared" si="15"/>
        <v>0</v>
      </c>
      <c r="L18" s="133">
        <f t="shared" si="15"/>
        <v>0</v>
      </c>
      <c r="M18" s="133">
        <f t="shared" si="15"/>
        <v>0</v>
      </c>
      <c r="N18" s="133">
        <f t="shared" si="15"/>
        <v>0</v>
      </c>
      <c r="O18" s="133">
        <f t="shared" si="15"/>
        <v>0</v>
      </c>
      <c r="P18" s="133">
        <f>O18</f>
        <v>0</v>
      </c>
      <c r="Q18" s="133">
        <f>P18</f>
        <v>0</v>
      </c>
      <c r="R18" s="133">
        <f>Q18</f>
        <v>0</v>
      </c>
      <c r="S18" s="133">
        <f>R18</f>
        <v>0</v>
      </c>
      <c r="T18" s="133">
        <f>S18</f>
        <v>0</v>
      </c>
      <c r="U18" s="133">
        <f aca="true" t="shared" si="16" ref="U18:AR18">T18</f>
        <v>0</v>
      </c>
      <c r="V18" s="133">
        <f t="shared" si="16"/>
        <v>0</v>
      </c>
      <c r="W18" s="133">
        <f t="shared" si="16"/>
        <v>0</v>
      </c>
      <c r="X18" s="133">
        <f t="shared" si="16"/>
        <v>0</v>
      </c>
      <c r="Y18" s="133">
        <f t="shared" si="16"/>
        <v>0</v>
      </c>
      <c r="Z18" s="133">
        <f t="shared" si="16"/>
        <v>0</v>
      </c>
      <c r="AA18" s="133">
        <f t="shared" si="16"/>
        <v>0</v>
      </c>
      <c r="AB18" s="133">
        <f t="shared" si="16"/>
        <v>0</v>
      </c>
      <c r="AC18" s="133">
        <f t="shared" si="16"/>
        <v>0</v>
      </c>
      <c r="AD18" s="133">
        <f aca="true" t="shared" si="17" ref="AD18:AO18">AC18</f>
        <v>0</v>
      </c>
      <c r="AE18" s="133">
        <f t="shared" si="17"/>
        <v>0</v>
      </c>
      <c r="AF18" s="133">
        <f t="shared" si="17"/>
        <v>0</v>
      </c>
      <c r="AG18" s="133">
        <f t="shared" si="17"/>
        <v>0</v>
      </c>
      <c r="AH18" s="133">
        <f t="shared" si="17"/>
        <v>0</v>
      </c>
      <c r="AI18" s="133">
        <f t="shared" si="17"/>
        <v>0</v>
      </c>
      <c r="AJ18" s="133">
        <f t="shared" si="17"/>
        <v>0</v>
      </c>
      <c r="AK18" s="133">
        <f t="shared" si="17"/>
        <v>0</v>
      </c>
      <c r="AL18" s="133">
        <f t="shared" si="17"/>
        <v>0</v>
      </c>
      <c r="AM18" s="133">
        <f t="shared" si="17"/>
        <v>0</v>
      </c>
      <c r="AN18" s="133">
        <f t="shared" si="17"/>
        <v>0</v>
      </c>
      <c r="AO18" s="133">
        <f t="shared" si="17"/>
        <v>0</v>
      </c>
      <c r="AP18" s="133">
        <f t="shared" si="16"/>
        <v>0</v>
      </c>
      <c r="AQ18" s="133">
        <f t="shared" si="16"/>
        <v>0</v>
      </c>
      <c r="AR18" s="133">
        <f t="shared" si="16"/>
        <v>0</v>
      </c>
      <c r="AS18" s="133">
        <f>AR18</f>
        <v>0</v>
      </c>
      <c r="AT18" s="133">
        <f>AS18</f>
        <v>0</v>
      </c>
      <c r="AU18" s="133">
        <f>AT18</f>
        <v>0</v>
      </c>
    </row>
    <row r="19" spans="1:48" ht="25.5">
      <c r="A19" s="131" t="s">
        <v>125</v>
      </c>
      <c r="B19" s="133"/>
      <c r="C19" s="133"/>
      <c r="D19" s="133">
        <f>C19+'2-ф2'!D13-'1-Ф3'!D15-кр!C23</f>
        <v>0</v>
      </c>
      <c r="E19" s="133">
        <f>D19+'2-ф2'!E13-'1-Ф3'!E15-кр!D23</f>
        <v>0</v>
      </c>
      <c r="F19" s="133">
        <f>E19+'2-ф2'!F13-'1-Ф3'!F15-кр!E23</f>
        <v>0</v>
      </c>
      <c r="G19" s="133">
        <f>F19+'2-ф2'!G13-'1-Ф3'!G15-кр!F23</f>
        <v>0</v>
      </c>
      <c r="H19" s="133">
        <f>G19+'2-ф2'!H13-'1-Ф3'!H15-кр!G23</f>
        <v>0</v>
      </c>
      <c r="I19" s="133">
        <f>H19+'2-ф2'!I13-'1-Ф3'!I15-кр!H23</f>
        <v>0</v>
      </c>
      <c r="J19" s="133">
        <f>I19+'2-ф2'!J13-'1-Ф3'!J15-кр!I23</f>
        <v>0</v>
      </c>
      <c r="K19" s="133">
        <f>J19+'2-ф2'!K13-'1-Ф3'!K15-кр!J23</f>
        <v>0</v>
      </c>
      <c r="L19" s="133">
        <f>K19+'2-ф2'!L13-'1-Ф3'!L15-кр!K23</f>
        <v>0</v>
      </c>
      <c r="M19" s="133">
        <f>L19+'2-ф2'!M13-'1-Ф3'!M15-кр!L23</f>
        <v>0</v>
      </c>
      <c r="N19" s="133">
        <f>M19+'2-ф2'!N13-'1-Ф3'!N15-кр!M23</f>
        <v>0</v>
      </c>
      <c r="O19" s="133">
        <f>N19+'2-ф2'!O13-'1-Ф3'!O15-кр!N23</f>
        <v>24.808492216666664</v>
      </c>
      <c r="P19" s="133">
        <f>O19</f>
        <v>24.808492216666664</v>
      </c>
      <c r="Q19" s="133">
        <f>P19+'2-ф2'!Q13-'1-Ф3'!Q15-кр!P23</f>
        <v>49.61698443333333</v>
      </c>
      <c r="R19" s="133">
        <f>Q19+'2-ф2'!R13-'1-Ф3'!R15-кр!Q23</f>
        <v>74.42547665</v>
      </c>
      <c r="S19" s="133">
        <f>R19+'2-ф2'!S13-'1-Ф3'!S15-кр!R23</f>
        <v>99.23396886666666</v>
      </c>
      <c r="T19" s="133">
        <f>S19+'2-ф2'!T13-'1-Ф3'!T15-кр!S23</f>
        <v>124.04246108333332</v>
      </c>
      <c r="U19" s="133">
        <f>T19+'2-ф2'!U13-'1-Ф3'!U15-кр!T23</f>
        <v>0</v>
      </c>
      <c r="V19" s="133">
        <f>U19+'2-ф2'!V13-'1-Ф3'!V15-кр!U23</f>
        <v>0</v>
      </c>
      <c r="W19" s="133">
        <f>V19+'2-ф2'!W13-'1-Ф3'!W15-кр!V23</f>
        <v>0</v>
      </c>
      <c r="X19" s="133">
        <f>W19+'2-ф2'!X13-'1-Ф3'!X15-кр!W23</f>
        <v>0</v>
      </c>
      <c r="Y19" s="133">
        <f>X19+'2-ф2'!Y13-'1-Ф3'!Y15-кр!X23</f>
        <v>0</v>
      </c>
      <c r="Z19" s="133">
        <f>Y19+'2-ф2'!Z13-'1-Ф3'!Z15-кр!Y23</f>
        <v>0</v>
      </c>
      <c r="AA19" s="133">
        <f>Z19+'2-ф2'!AA13-'1-Ф3'!AA15-кр!Z23</f>
        <v>0</v>
      </c>
      <c r="AB19" s="133">
        <f>AA19+'2-ф2'!AB13-'1-Ф3'!AB15-кр!AA23</f>
        <v>0</v>
      </c>
      <c r="AC19" s="133">
        <f>AB19</f>
        <v>0</v>
      </c>
      <c r="AD19" s="133">
        <f>AC19+'2-ф2'!AD13-'1-Ф3'!AD15-кр!AC23</f>
        <v>0</v>
      </c>
      <c r="AE19" s="133">
        <f>AD19+'2-ф2'!AE13-'1-Ф3'!AE15-кр!AD23</f>
        <v>0</v>
      </c>
      <c r="AF19" s="133">
        <f>AE19+'2-ф2'!AF13-'1-Ф3'!AF15-кр!AE23</f>
        <v>0</v>
      </c>
      <c r="AG19" s="133">
        <f>AF19+'2-ф2'!AG13-'1-Ф3'!AG15-кр!AF23</f>
        <v>0</v>
      </c>
      <c r="AH19" s="133">
        <f>AG19+'2-ф2'!AH13-'1-Ф3'!AH15-кр!AG23</f>
        <v>0</v>
      </c>
      <c r="AI19" s="133">
        <f>AH19+'2-ф2'!AI13-'1-Ф3'!AI15-кр!AH23</f>
        <v>0</v>
      </c>
      <c r="AJ19" s="133">
        <f>AI19+'2-ф2'!AJ13-'1-Ф3'!AJ15-кр!AI23</f>
        <v>0</v>
      </c>
      <c r="AK19" s="133">
        <f>AJ19+'2-ф2'!AK13-'1-Ф3'!AK15-кр!AJ23</f>
        <v>0</v>
      </c>
      <c r="AL19" s="133">
        <f>AK19+'2-ф2'!AL13-'1-Ф3'!AL15-кр!AK23</f>
        <v>0</v>
      </c>
      <c r="AM19" s="133">
        <f>AL19+'2-ф2'!AM13-'1-Ф3'!AM15-кр!AL23</f>
        <v>0</v>
      </c>
      <c r="AN19" s="133">
        <f>AM19+'2-ф2'!AN13-'1-Ф3'!AN15-кр!AM23</f>
        <v>0</v>
      </c>
      <c r="AO19" s="133">
        <f>AN19+'2-ф2'!AO13-'1-Ф3'!AO15-кр!AN23</f>
        <v>0</v>
      </c>
      <c r="AP19" s="133">
        <f>AO19</f>
        <v>0</v>
      </c>
      <c r="AQ19" s="133">
        <f>AP19+'2-ф2'!AQ13-'1-Ф3'!AQ15</f>
        <v>0</v>
      </c>
      <c r="AR19" s="133">
        <f>AQ19+'2-ф2'!AR13-'1-Ф3'!AR15</f>
        <v>0</v>
      </c>
      <c r="AS19" s="133">
        <f>AR19+'2-ф2'!AS13-'1-Ф3'!AS15</f>
        <v>0</v>
      </c>
      <c r="AT19" s="133">
        <f>AS19+'2-ф2'!AT13-'1-Ф3'!AT15</f>
        <v>0</v>
      </c>
      <c r="AU19" s="133">
        <f>AT19+'2-ф2'!AU13-'1-Ф3'!AU15</f>
        <v>0</v>
      </c>
      <c r="AV19" s="120"/>
    </row>
    <row r="20" spans="1:47" ht="12.75">
      <c r="A20" s="131" t="s">
        <v>127</v>
      </c>
      <c r="B20" s="133"/>
      <c r="C20" s="133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3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3">
        <f>AB20</f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33">
        <f>AO20</f>
        <v>0</v>
      </c>
      <c r="AQ20" s="133"/>
      <c r="AR20" s="133"/>
      <c r="AS20" s="133"/>
      <c r="AT20" s="133"/>
      <c r="AU20" s="133"/>
    </row>
    <row r="21" spans="1:47" ht="15" customHeight="1">
      <c r="A21" s="126" t="s">
        <v>128</v>
      </c>
      <c r="B21" s="127"/>
      <c r="C21" s="127">
        <f aca="true" t="shared" si="18" ref="C21:AT21">SUM(C22:C23)</f>
        <v>0</v>
      </c>
      <c r="D21" s="127">
        <f t="shared" si="18"/>
        <v>0</v>
      </c>
      <c r="E21" s="127">
        <f t="shared" si="18"/>
        <v>0</v>
      </c>
      <c r="F21" s="127">
        <f t="shared" si="18"/>
        <v>0</v>
      </c>
      <c r="G21" s="127">
        <f t="shared" si="18"/>
        <v>0</v>
      </c>
      <c r="H21" s="127">
        <f t="shared" si="18"/>
        <v>0</v>
      </c>
      <c r="I21" s="127">
        <f t="shared" si="18"/>
        <v>0</v>
      </c>
      <c r="J21" s="127">
        <f t="shared" si="18"/>
        <v>0</v>
      </c>
      <c r="K21" s="127">
        <f t="shared" si="18"/>
        <v>0</v>
      </c>
      <c r="L21" s="127">
        <f t="shared" si="18"/>
        <v>0</v>
      </c>
      <c r="M21" s="127">
        <f t="shared" si="18"/>
        <v>0</v>
      </c>
      <c r="N21" s="127">
        <f t="shared" si="18"/>
        <v>4252.8843799999995</v>
      </c>
      <c r="O21" s="127">
        <f t="shared" si="18"/>
        <v>4252.8843799999995</v>
      </c>
      <c r="P21" s="127">
        <f t="shared" si="18"/>
        <v>4252.8843799999995</v>
      </c>
      <c r="Q21" s="127">
        <f t="shared" si="18"/>
        <v>4252.8843799999995</v>
      </c>
      <c r="R21" s="127">
        <f t="shared" si="18"/>
        <v>4252.8843799999995</v>
      </c>
      <c r="S21" s="127">
        <f t="shared" si="18"/>
        <v>4252.8843799999995</v>
      </c>
      <c r="T21" s="127">
        <f t="shared" si="18"/>
        <v>4252.8843799999995</v>
      </c>
      <c r="U21" s="127">
        <f t="shared" si="18"/>
        <v>4401.735333299999</v>
      </c>
      <c r="V21" s="127">
        <f t="shared" si="18"/>
        <v>4401.735333299999</v>
      </c>
      <c r="W21" s="127">
        <f t="shared" si="18"/>
        <v>4401.735333299999</v>
      </c>
      <c r="X21" s="127">
        <f t="shared" si="18"/>
        <v>4401.735333299999</v>
      </c>
      <c r="Y21" s="127">
        <f t="shared" si="18"/>
        <v>4354.782444847221</v>
      </c>
      <c r="Z21" s="127">
        <f t="shared" si="18"/>
        <v>4307.555664545135</v>
      </c>
      <c r="AA21" s="127">
        <f t="shared" si="18"/>
        <v>4260.053394691287</v>
      </c>
      <c r="AB21" s="127">
        <f t="shared" si="18"/>
        <v>4212.274028263292</v>
      </c>
      <c r="AC21" s="127">
        <f t="shared" si="18"/>
        <v>4212.274028263292</v>
      </c>
      <c r="AD21" s="127">
        <f aca="true" t="shared" si="19" ref="AD21:AP21">SUM(AD22:AD23)</f>
        <v>4164.215948864467</v>
      </c>
      <c r="AE21" s="127">
        <f t="shared" si="19"/>
        <v>4115.877530669149</v>
      </c>
      <c r="AF21" s="127">
        <f t="shared" si="19"/>
        <v>4067.257138367691</v>
      </c>
      <c r="AG21" s="127">
        <f t="shared" si="19"/>
        <v>4018.3531271111415</v>
      </c>
      <c r="AH21" s="127">
        <f t="shared" si="19"/>
        <v>3969.1638424555954</v>
      </c>
      <c r="AI21" s="127">
        <f t="shared" si="19"/>
        <v>3919.687620306225</v>
      </c>
      <c r="AJ21" s="127">
        <f t="shared" si="19"/>
        <v>3869.9227868609837</v>
      </c>
      <c r="AK21" s="127">
        <f t="shared" si="19"/>
        <v>3819.8676585539783</v>
      </c>
      <c r="AL21" s="127">
        <f t="shared" si="19"/>
        <v>3769.5205419985155</v>
      </c>
      <c r="AM21" s="127">
        <f t="shared" si="19"/>
        <v>3718.8797339298126</v>
      </c>
      <c r="AN21" s="127">
        <f t="shared" si="19"/>
        <v>3667.9435211473756</v>
      </c>
      <c r="AO21" s="127">
        <f t="shared" si="19"/>
        <v>3616.710180457041</v>
      </c>
      <c r="AP21" s="127">
        <f t="shared" si="19"/>
        <v>3616.710180457041</v>
      </c>
      <c r="AQ21" s="127">
        <f t="shared" si="18"/>
        <v>2978.0929739378244</v>
      </c>
      <c r="AR21" s="127">
        <f t="shared" si="18"/>
        <v>2293.3100779231513</v>
      </c>
      <c r="AS21" s="127">
        <f t="shared" si="18"/>
        <v>1559.0241709866095</v>
      </c>
      <c r="AT21" s="127">
        <f t="shared" si="18"/>
        <v>771.6566764660312</v>
      </c>
      <c r="AU21" s="127">
        <f>SUM(AU22:AU23)</f>
        <v>1.6328272067767102E-11</v>
      </c>
    </row>
    <row r="22" spans="1:47" ht="12.75">
      <c r="A22" s="131" t="s">
        <v>126</v>
      </c>
      <c r="B22" s="133"/>
      <c r="C22" s="127"/>
      <c r="D22" s="133">
        <f>кр!C27</f>
        <v>0</v>
      </c>
      <c r="E22" s="133">
        <f>кр!D27</f>
        <v>0</v>
      </c>
      <c r="F22" s="133">
        <f>кр!E27</f>
        <v>0</v>
      </c>
      <c r="G22" s="133">
        <f>кр!F27</f>
        <v>0</v>
      </c>
      <c r="H22" s="133">
        <f>кр!G27</f>
        <v>0</v>
      </c>
      <c r="I22" s="133">
        <f>кр!H27</f>
        <v>0</v>
      </c>
      <c r="J22" s="133">
        <f>кр!I27</f>
        <v>0</v>
      </c>
      <c r="K22" s="133">
        <f>кр!J27</f>
        <v>0</v>
      </c>
      <c r="L22" s="133">
        <f>кр!K27</f>
        <v>0</v>
      </c>
      <c r="M22" s="133">
        <f>кр!L27</f>
        <v>0</v>
      </c>
      <c r="N22" s="133">
        <f>кр!M27</f>
        <v>4252.8843799999995</v>
      </c>
      <c r="O22" s="133">
        <f>кр!N27</f>
        <v>4252.8843799999995</v>
      </c>
      <c r="P22" s="133">
        <f>кр!O27</f>
        <v>4252.8843799999995</v>
      </c>
      <c r="Q22" s="133">
        <f>кр!P27</f>
        <v>4252.8843799999995</v>
      </c>
      <c r="R22" s="133">
        <f>кр!Q27</f>
        <v>4252.8843799999995</v>
      </c>
      <c r="S22" s="133">
        <f>кр!R27</f>
        <v>4252.8843799999995</v>
      </c>
      <c r="T22" s="133">
        <f>кр!S27</f>
        <v>4252.8843799999995</v>
      </c>
      <c r="U22" s="133">
        <f>кр!T27</f>
        <v>4401.735333299999</v>
      </c>
      <c r="V22" s="133">
        <f>кр!U27</f>
        <v>4401.735333299999</v>
      </c>
      <c r="W22" s="133">
        <f>кр!V27</f>
        <v>4401.735333299999</v>
      </c>
      <c r="X22" s="133">
        <f>кр!W27</f>
        <v>4401.735333299999</v>
      </c>
      <c r="Y22" s="133">
        <f>кр!X27</f>
        <v>4354.782444847221</v>
      </c>
      <c r="Z22" s="133">
        <f>кр!Y27</f>
        <v>4307.555664545135</v>
      </c>
      <c r="AA22" s="133">
        <f>кр!Z27</f>
        <v>4260.053394691287</v>
      </c>
      <c r="AB22" s="133">
        <f>кр!AA27</f>
        <v>4212.274028263292</v>
      </c>
      <c r="AC22" s="133">
        <f>кр!AB27</f>
        <v>4212.274028263292</v>
      </c>
      <c r="AD22" s="133">
        <f>кр!AC27</f>
        <v>4164.215948864467</v>
      </c>
      <c r="AE22" s="133">
        <f>кр!AD27</f>
        <v>4115.877530669149</v>
      </c>
      <c r="AF22" s="133">
        <f>кр!AE27</f>
        <v>4067.257138367691</v>
      </c>
      <c r="AG22" s="133">
        <f>кр!AF27</f>
        <v>4018.3531271111415</v>
      </c>
      <c r="AH22" s="133">
        <f>кр!AG27</f>
        <v>3969.1638424555954</v>
      </c>
      <c r="AI22" s="133">
        <f>кр!AH27</f>
        <v>3919.687620306225</v>
      </c>
      <c r="AJ22" s="133">
        <f>кр!AI27</f>
        <v>3869.9227868609837</v>
      </c>
      <c r="AK22" s="133">
        <f>кр!AJ27</f>
        <v>3819.8676585539783</v>
      </c>
      <c r="AL22" s="133">
        <f>кр!AK27</f>
        <v>3769.5205419985155</v>
      </c>
      <c r="AM22" s="133">
        <f>кр!AL27</f>
        <v>3718.8797339298126</v>
      </c>
      <c r="AN22" s="133">
        <f>кр!AM27</f>
        <v>3667.9435211473756</v>
      </c>
      <c r="AO22" s="133">
        <f>кр!AN27</f>
        <v>3616.710180457041</v>
      </c>
      <c r="AP22" s="133">
        <f>кр!AO27</f>
        <v>3616.710180457041</v>
      </c>
      <c r="AQ22" s="133">
        <f>кр!BB27</f>
        <v>2978.0929739378244</v>
      </c>
      <c r="AR22" s="133">
        <f>кр!BO27</f>
        <v>2293.3100779231513</v>
      </c>
      <c r="AS22" s="133">
        <f>кр!CB27</f>
        <v>1559.0241709866095</v>
      </c>
      <c r="AT22" s="133">
        <f>кр!CO27</f>
        <v>771.6566764660312</v>
      </c>
      <c r="AU22" s="133">
        <f>кр!DB27</f>
        <v>1.6328272067767102E-11</v>
      </c>
    </row>
    <row r="23" spans="1:47" ht="15" customHeight="1" hidden="1">
      <c r="A23" s="131" t="s">
        <v>129</v>
      </c>
      <c r="B23" s="133"/>
      <c r="C23" s="133"/>
      <c r="D23" s="133">
        <f>C23</f>
        <v>0</v>
      </c>
      <c r="E23" s="133">
        <f>D23</f>
        <v>0</v>
      </c>
      <c r="F23" s="133">
        <f aca="true" t="shared" si="20" ref="F23:AU23">E23</f>
        <v>0</v>
      </c>
      <c r="G23" s="133">
        <f t="shared" si="20"/>
        <v>0</v>
      </c>
      <c r="H23" s="133">
        <f t="shared" si="20"/>
        <v>0</v>
      </c>
      <c r="I23" s="133">
        <f t="shared" si="20"/>
        <v>0</v>
      </c>
      <c r="J23" s="133">
        <f t="shared" si="20"/>
        <v>0</v>
      </c>
      <c r="K23" s="133">
        <f t="shared" si="20"/>
        <v>0</v>
      </c>
      <c r="L23" s="133">
        <f t="shared" si="20"/>
        <v>0</v>
      </c>
      <c r="M23" s="133">
        <f t="shared" si="20"/>
        <v>0</v>
      </c>
      <c r="N23" s="133">
        <f t="shared" si="20"/>
        <v>0</v>
      </c>
      <c r="O23" s="133">
        <f t="shared" si="20"/>
        <v>0</v>
      </c>
      <c r="P23" s="133">
        <f t="shared" si="20"/>
        <v>0</v>
      </c>
      <c r="Q23" s="133">
        <f t="shared" si="20"/>
        <v>0</v>
      </c>
      <c r="R23" s="133">
        <f t="shared" si="20"/>
        <v>0</v>
      </c>
      <c r="S23" s="133">
        <f t="shared" si="20"/>
        <v>0</v>
      </c>
      <c r="T23" s="133">
        <f t="shared" si="20"/>
        <v>0</v>
      </c>
      <c r="U23" s="133">
        <f t="shared" si="20"/>
        <v>0</v>
      </c>
      <c r="V23" s="133">
        <f t="shared" si="20"/>
        <v>0</v>
      </c>
      <c r="W23" s="133">
        <f t="shared" si="20"/>
        <v>0</v>
      </c>
      <c r="X23" s="133">
        <f t="shared" si="20"/>
        <v>0</v>
      </c>
      <c r="Y23" s="133">
        <f t="shared" si="20"/>
        <v>0</v>
      </c>
      <c r="Z23" s="133">
        <f t="shared" si="20"/>
        <v>0</v>
      </c>
      <c r="AA23" s="133">
        <f t="shared" si="20"/>
        <v>0</v>
      </c>
      <c r="AB23" s="133">
        <f t="shared" si="20"/>
        <v>0</v>
      </c>
      <c r="AC23" s="127">
        <f aca="true" t="shared" si="21" ref="AC23:AP23">AB23</f>
        <v>0</v>
      </c>
      <c r="AD23" s="133">
        <f t="shared" si="21"/>
        <v>0</v>
      </c>
      <c r="AE23" s="133">
        <f t="shared" si="21"/>
        <v>0</v>
      </c>
      <c r="AF23" s="133">
        <f t="shared" si="21"/>
        <v>0</v>
      </c>
      <c r="AG23" s="133">
        <f t="shared" si="21"/>
        <v>0</v>
      </c>
      <c r="AH23" s="133">
        <f t="shared" si="21"/>
        <v>0</v>
      </c>
      <c r="AI23" s="133">
        <f t="shared" si="21"/>
        <v>0</v>
      </c>
      <c r="AJ23" s="133">
        <f t="shared" si="21"/>
        <v>0</v>
      </c>
      <c r="AK23" s="133">
        <f t="shared" si="21"/>
        <v>0</v>
      </c>
      <c r="AL23" s="133">
        <f t="shared" si="21"/>
        <v>0</v>
      </c>
      <c r="AM23" s="133">
        <f t="shared" si="21"/>
        <v>0</v>
      </c>
      <c r="AN23" s="133">
        <f t="shared" si="21"/>
        <v>0</v>
      </c>
      <c r="AO23" s="133">
        <f t="shared" si="21"/>
        <v>0</v>
      </c>
      <c r="AP23" s="127">
        <f t="shared" si="21"/>
        <v>0</v>
      </c>
      <c r="AQ23" s="133">
        <f t="shared" si="20"/>
        <v>0</v>
      </c>
      <c r="AR23" s="133">
        <f t="shared" si="20"/>
        <v>0</v>
      </c>
      <c r="AS23" s="133">
        <f t="shared" si="20"/>
        <v>0</v>
      </c>
      <c r="AT23" s="133">
        <f t="shared" si="20"/>
        <v>0</v>
      </c>
      <c r="AU23" s="133">
        <f t="shared" si="20"/>
        <v>0</v>
      </c>
    </row>
    <row r="24" spans="1:47" s="130" customFormat="1" ht="15" customHeight="1">
      <c r="A24" s="126" t="s">
        <v>130</v>
      </c>
      <c r="B24" s="127"/>
      <c r="C24" s="127">
        <f aca="true" t="shared" si="22" ref="C24:AT24">SUM(C25:C26)</f>
        <v>0</v>
      </c>
      <c r="D24" s="127">
        <f t="shared" si="22"/>
        <v>0</v>
      </c>
      <c r="E24" s="127">
        <f t="shared" si="22"/>
        <v>0</v>
      </c>
      <c r="F24" s="127">
        <f t="shared" si="22"/>
        <v>0</v>
      </c>
      <c r="G24" s="127">
        <f t="shared" si="22"/>
        <v>0</v>
      </c>
      <c r="H24" s="127">
        <f t="shared" si="22"/>
        <v>0</v>
      </c>
      <c r="I24" s="127">
        <f t="shared" si="22"/>
        <v>0</v>
      </c>
      <c r="J24" s="127">
        <f t="shared" si="22"/>
        <v>0</v>
      </c>
      <c r="K24" s="127">
        <f t="shared" si="22"/>
        <v>0</v>
      </c>
      <c r="L24" s="127">
        <f t="shared" si="22"/>
        <v>0</v>
      </c>
      <c r="M24" s="127">
        <f t="shared" si="22"/>
        <v>0</v>
      </c>
      <c r="N24" s="127">
        <f t="shared" si="22"/>
        <v>0</v>
      </c>
      <c r="O24" s="127">
        <f t="shared" si="22"/>
        <v>254.81700778333334</v>
      </c>
      <c r="P24" s="127">
        <f t="shared" si="22"/>
        <v>254.81700778333334</v>
      </c>
      <c r="Q24" s="127">
        <f t="shared" si="22"/>
        <v>542.7397749</v>
      </c>
      <c r="R24" s="127">
        <f t="shared" si="22"/>
        <v>830.6625420166666</v>
      </c>
      <c r="S24" s="127">
        <f t="shared" si="22"/>
        <v>2292.6754850083335</v>
      </c>
      <c r="T24" s="127">
        <f t="shared" si="22"/>
        <v>2240.588180479167</v>
      </c>
      <c r="U24" s="127">
        <f t="shared" si="22"/>
        <v>2259.1995232</v>
      </c>
      <c r="V24" s="127">
        <f t="shared" si="22"/>
        <v>2595.0864813182498</v>
      </c>
      <c r="W24" s="127">
        <f t="shared" si="22"/>
        <v>2995.37861818903</v>
      </c>
      <c r="X24" s="127">
        <f t="shared" si="22"/>
        <v>3190.8913606819824</v>
      </c>
      <c r="Y24" s="127">
        <f t="shared" si="22"/>
        <v>3304.110877775935</v>
      </c>
      <c r="Z24" s="127">
        <f t="shared" si="22"/>
        <v>3355.876150914466</v>
      </c>
      <c r="AA24" s="127">
        <f t="shared" si="22"/>
        <v>3236.4644293369565</v>
      </c>
      <c r="AB24" s="127">
        <f t="shared" si="22"/>
        <v>3083.03264752012</v>
      </c>
      <c r="AC24" s="127">
        <f t="shared" si="22"/>
        <v>3083.03264752012</v>
      </c>
      <c r="AD24" s="127">
        <f aca="true" t="shared" si="23" ref="AD24:AP24">SUM(AD25:AD26)</f>
        <v>2935.957073429988</v>
      </c>
      <c r="AE24" s="127">
        <f t="shared" si="23"/>
        <v>2909.582538312455</v>
      </c>
      <c r="AF24" s="127">
        <f t="shared" si="23"/>
        <v>2963.7675916378776</v>
      </c>
      <c r="AG24" s="127">
        <f t="shared" si="23"/>
        <v>3098.5138289097385</v>
      </c>
      <c r="AH24" s="127">
        <f t="shared" si="23"/>
        <v>3394.1089284986265</v>
      </c>
      <c r="AI24" s="127">
        <f t="shared" si="23"/>
        <v>3810.4114677965235</v>
      </c>
      <c r="AJ24" s="127">
        <f t="shared" si="23"/>
        <v>4307.280033611416</v>
      </c>
      <c r="AK24" s="127">
        <f t="shared" si="23"/>
        <v>4764.287148662219</v>
      </c>
      <c r="AL24" s="127">
        <f t="shared" si="23"/>
        <v>5020.862308414025</v>
      </c>
      <c r="AM24" s="127">
        <f t="shared" si="23"/>
        <v>5117.150201813676</v>
      </c>
      <c r="AN24" s="127">
        <f t="shared" si="23"/>
        <v>5013.009453885648</v>
      </c>
      <c r="AO24" s="127">
        <f t="shared" si="23"/>
        <v>4869.013883248281</v>
      </c>
      <c r="AP24" s="127">
        <f t="shared" si="23"/>
        <v>4869.013883248281</v>
      </c>
      <c r="AQ24" s="127">
        <f t="shared" si="22"/>
        <v>6699.536836303019</v>
      </c>
      <c r="AR24" s="127">
        <f t="shared" si="22"/>
        <v>8577.620467543351</v>
      </c>
      <c r="AS24" s="127">
        <f t="shared" si="22"/>
        <v>10506.501978752895</v>
      </c>
      <c r="AT24" s="127">
        <f t="shared" si="22"/>
        <v>12489.652589293953</v>
      </c>
      <c r="AU24" s="127">
        <f>SUM(AU25:AU26)</f>
        <v>14530.794453257204</v>
      </c>
    </row>
    <row r="25" spans="1:47" ht="15" customHeight="1">
      <c r="A25" s="131" t="s">
        <v>131</v>
      </c>
      <c r="B25" s="127"/>
      <c r="C25" s="133"/>
      <c r="D25" s="133">
        <f>C25+'1-Ф3'!D28</f>
        <v>0</v>
      </c>
      <c r="E25" s="133">
        <f>D25+'1-Ф3'!E28</f>
        <v>0</v>
      </c>
      <c r="F25" s="133">
        <f>E25+'1-Ф3'!F28</f>
        <v>0</v>
      </c>
      <c r="G25" s="133">
        <f>F25+'1-Ф3'!G28</f>
        <v>0</v>
      </c>
      <c r="H25" s="133">
        <f>G25+'1-Ф3'!H28</f>
        <v>0</v>
      </c>
      <c r="I25" s="133">
        <f>H25+'1-Ф3'!I28</f>
        <v>0</v>
      </c>
      <c r="J25" s="133">
        <f>I25+'1-Ф3'!J28</f>
        <v>0</v>
      </c>
      <c r="K25" s="133">
        <f>J25+'1-Ф3'!K28</f>
        <v>0</v>
      </c>
      <c r="L25" s="133">
        <f>K25+'1-Ф3'!L28</f>
        <v>0</v>
      </c>
      <c r="M25" s="133">
        <f>L25+'1-Ф3'!M28</f>
        <v>0</v>
      </c>
      <c r="N25" s="133">
        <f>M25+'1-Ф3'!N28</f>
        <v>0</v>
      </c>
      <c r="O25" s="133">
        <f>N25+'1-Ф3'!O28</f>
        <v>279.6255</v>
      </c>
      <c r="P25" s="133">
        <f>O25</f>
        <v>279.6255</v>
      </c>
      <c r="Q25" s="133">
        <f>P25+'1-Ф3'!Q28</f>
        <v>761.0328661458334</v>
      </c>
      <c r="R25" s="133">
        <f>Q25+'1-Ф3'!R28</f>
        <v>1242.4402322916667</v>
      </c>
      <c r="S25" s="133">
        <f>R25+'1-Ф3'!S28</f>
        <v>2791.8898034375</v>
      </c>
      <c r="T25" s="133">
        <f>S25+'1-Ф3'!T28</f>
        <v>2791.8898034375</v>
      </c>
      <c r="U25" s="133">
        <f>T25+'1-Ф3'!U28</f>
        <v>2791.8898034375</v>
      </c>
      <c r="V25" s="133">
        <f>U25+'1-Ф3'!V28</f>
        <v>2791.8898034375</v>
      </c>
      <c r="W25" s="133">
        <f>V25+'1-Ф3'!W28</f>
        <v>2791.8898034375</v>
      </c>
      <c r="X25" s="133">
        <f>W25+'1-Ф3'!X28</f>
        <v>2791.8898034375</v>
      </c>
      <c r="Y25" s="133">
        <f>X25+'1-Ф3'!Y28</f>
        <v>2791.8898034375</v>
      </c>
      <c r="Z25" s="133">
        <f>Y25+'1-Ф3'!Z28</f>
        <v>2791.8898034375</v>
      </c>
      <c r="AA25" s="133">
        <f>Z25+'1-Ф3'!AA28</f>
        <v>2791.8898034375</v>
      </c>
      <c r="AB25" s="133">
        <f>AA25+'1-Ф3'!AB28</f>
        <v>2791.8898034375</v>
      </c>
      <c r="AC25" s="133">
        <f>AB25</f>
        <v>2791.8898034375</v>
      </c>
      <c r="AD25" s="133">
        <f>AC25+'1-Ф3'!AD28</f>
        <v>2791.8898034375</v>
      </c>
      <c r="AE25" s="133">
        <f>AD25+'1-Ф3'!AE28</f>
        <v>2791.8898034375</v>
      </c>
      <c r="AF25" s="133">
        <f>AE25+'1-Ф3'!AF28</f>
        <v>2791.8898034375</v>
      </c>
      <c r="AG25" s="133">
        <f>AF25+'1-Ф3'!AG28</f>
        <v>2791.8898034375</v>
      </c>
      <c r="AH25" s="133">
        <f>AG25+'1-Ф3'!AH28</f>
        <v>2791.8898034375</v>
      </c>
      <c r="AI25" s="133">
        <f>AH25+'1-Ф3'!AI28</f>
        <v>2791.8898034375</v>
      </c>
      <c r="AJ25" s="133">
        <f>AI25+'1-Ф3'!AJ28</f>
        <v>2791.8898034375</v>
      </c>
      <c r="AK25" s="133">
        <f>AJ25+'1-Ф3'!AK28</f>
        <v>2791.8898034375</v>
      </c>
      <c r="AL25" s="133">
        <f>AK25+'1-Ф3'!AL28</f>
        <v>2791.8898034375</v>
      </c>
      <c r="AM25" s="133">
        <f>AL25+'1-Ф3'!AM28</f>
        <v>2791.8898034375</v>
      </c>
      <c r="AN25" s="133">
        <f>AM25+'1-Ф3'!AN28</f>
        <v>2791.8898034375</v>
      </c>
      <c r="AO25" s="133">
        <f>AN25+'1-Ф3'!AO28</f>
        <v>2791.8898034375</v>
      </c>
      <c r="AP25" s="133">
        <f>AO25</f>
        <v>2791.8898034375</v>
      </c>
      <c r="AQ25" s="133">
        <f>AP25+'1-Ф3'!AQ28</f>
        <v>2791.8898034375</v>
      </c>
      <c r="AR25" s="133">
        <f>AQ25+'1-Ф3'!AR28</f>
        <v>2791.8898034375</v>
      </c>
      <c r="AS25" s="133">
        <f>AR25+'1-Ф3'!AS28</f>
        <v>2791.8898034375</v>
      </c>
      <c r="AT25" s="133">
        <f>AS25+'1-Ф3'!AT28</f>
        <v>2791.8898034375</v>
      </c>
      <c r="AU25" s="133">
        <f>AT25+'1-Ф3'!AU28</f>
        <v>2791.8898034375</v>
      </c>
    </row>
    <row r="26" spans="1:47" ht="15" customHeight="1">
      <c r="A26" s="131" t="s">
        <v>132</v>
      </c>
      <c r="B26" s="127"/>
      <c r="C26" s="133"/>
      <c r="D26" s="133">
        <f>'2-ф2'!D17</f>
        <v>0</v>
      </c>
      <c r="E26" s="133">
        <f>'2-ф2'!E17</f>
        <v>0</v>
      </c>
      <c r="F26" s="133">
        <f>'2-ф2'!F17</f>
        <v>0</v>
      </c>
      <c r="G26" s="133">
        <f>'2-ф2'!G17</f>
        <v>0</v>
      </c>
      <c r="H26" s="133">
        <f>'2-ф2'!H17</f>
        <v>0</v>
      </c>
      <c r="I26" s="133">
        <f>'2-ф2'!I17</f>
        <v>0</v>
      </c>
      <c r="J26" s="133">
        <f>'2-ф2'!J17</f>
        <v>0</v>
      </c>
      <c r="K26" s="133">
        <f>'2-ф2'!K17</f>
        <v>0</v>
      </c>
      <c r="L26" s="133">
        <f>'2-ф2'!L17</f>
        <v>0</v>
      </c>
      <c r="M26" s="133">
        <f>'2-ф2'!M17</f>
        <v>0</v>
      </c>
      <c r="N26" s="133">
        <f>'2-ф2'!N17</f>
        <v>0</v>
      </c>
      <c r="O26" s="133">
        <f>'2-ф2'!O17</f>
        <v>-24.808492216666664</v>
      </c>
      <c r="P26" s="133">
        <f>'2-ф2'!P17</f>
        <v>-24.808492216666664</v>
      </c>
      <c r="Q26" s="133">
        <f>'2-ф2'!Q17</f>
        <v>-218.29309124583335</v>
      </c>
      <c r="R26" s="133">
        <f>'2-ф2'!R17</f>
        <v>-411.77769027500005</v>
      </c>
      <c r="S26" s="133">
        <f>'2-ф2'!S17</f>
        <v>-499.2143184291667</v>
      </c>
      <c r="T26" s="133">
        <f>'2-ф2'!T17</f>
        <v>-551.3016229583334</v>
      </c>
      <c r="U26" s="133">
        <f>'2-ф2'!U17</f>
        <v>-532.6902802375001</v>
      </c>
      <c r="V26" s="133">
        <f>'2-ф2'!V17</f>
        <v>-196.8033221192503</v>
      </c>
      <c r="W26" s="133">
        <f>'2-ф2'!W17</f>
        <v>203.48881475153001</v>
      </c>
      <c r="X26" s="133">
        <f>'2-ф2'!X17</f>
        <v>399.0015572444824</v>
      </c>
      <c r="Y26" s="133">
        <f>'2-ф2'!Y17</f>
        <v>512.2210743384348</v>
      </c>
      <c r="Z26" s="133">
        <f>'2-ф2'!Z17</f>
        <v>563.9863474769659</v>
      </c>
      <c r="AA26" s="133">
        <f>'2-ф2'!AA17</f>
        <v>444.5746258994563</v>
      </c>
      <c r="AB26" s="133">
        <f>'2-ф2'!AB17</f>
        <v>291.1428440826197</v>
      </c>
      <c r="AC26" s="133">
        <f>'2-ф2'!AC17</f>
        <v>291.1428440826197</v>
      </c>
      <c r="AD26" s="133">
        <f>'2-ф2'!AD17</f>
        <v>144.06726999248824</v>
      </c>
      <c r="AE26" s="133">
        <f>'2-ф2'!AE17</f>
        <v>117.69273487495511</v>
      </c>
      <c r="AF26" s="133">
        <f>'2-ф2'!AF17</f>
        <v>171.8777882003772</v>
      </c>
      <c r="AG26" s="133">
        <f>'2-ф2'!AG17</f>
        <v>306.6240254722383</v>
      </c>
      <c r="AH26" s="133">
        <f>'2-ф2'!AH17</f>
        <v>602.2191250611261</v>
      </c>
      <c r="AI26" s="133">
        <f>'2-ф2'!AI17</f>
        <v>1018.5216643590232</v>
      </c>
      <c r="AJ26" s="133">
        <f>'2-ф2'!AJ17</f>
        <v>1515.3902301739156</v>
      </c>
      <c r="AK26" s="133">
        <f>'2-ф2'!AK17</f>
        <v>1972.3973452247187</v>
      </c>
      <c r="AL26" s="133">
        <f>'2-ф2'!AL17</f>
        <v>2228.9725049765257</v>
      </c>
      <c r="AM26" s="133">
        <f>'2-ф2'!AM17</f>
        <v>2325.260398376176</v>
      </c>
      <c r="AN26" s="133">
        <f>'2-ф2'!AN17</f>
        <v>2221.119650448148</v>
      </c>
      <c r="AO26" s="133">
        <f>'2-ф2'!AO17</f>
        <v>2077.124079810781</v>
      </c>
      <c r="AP26" s="133">
        <f>'2-ф2'!AP17</f>
        <v>2077.124079810781</v>
      </c>
      <c r="AQ26" s="133">
        <f>'2-ф2'!AQ17</f>
        <v>3907.6470328655187</v>
      </c>
      <c r="AR26" s="133">
        <f>'2-ф2'!AR17</f>
        <v>5785.73066410585</v>
      </c>
      <c r="AS26" s="133">
        <f>'2-ф2'!AS17</f>
        <v>7714.612175315394</v>
      </c>
      <c r="AT26" s="133">
        <f>'2-ф2'!AT17</f>
        <v>9697.762785856454</v>
      </c>
      <c r="AU26" s="133">
        <f>'2-ф2'!AU17</f>
        <v>11738.904649819704</v>
      </c>
    </row>
    <row r="28" spans="1:47" ht="12.75">
      <c r="A28" s="136" t="s">
        <v>133</v>
      </c>
      <c r="B28" s="137"/>
      <c r="C28" s="138">
        <f aca="true" t="shared" si="24" ref="C28:AT28">C5-C16</f>
        <v>0</v>
      </c>
      <c r="D28" s="261">
        <f t="shared" si="24"/>
        <v>0</v>
      </c>
      <c r="E28" s="261">
        <f t="shared" si="24"/>
        <v>0</v>
      </c>
      <c r="F28" s="261">
        <f t="shared" si="24"/>
        <v>0</v>
      </c>
      <c r="G28" s="261">
        <f t="shared" si="24"/>
        <v>0</v>
      </c>
      <c r="H28" s="261">
        <f t="shared" si="24"/>
        <v>0</v>
      </c>
      <c r="I28" s="261">
        <f t="shared" si="24"/>
        <v>0</v>
      </c>
      <c r="J28" s="261">
        <f t="shared" si="24"/>
        <v>0</v>
      </c>
      <c r="K28" s="261">
        <f t="shared" si="24"/>
        <v>0</v>
      </c>
      <c r="L28" s="261">
        <f aca="true" t="shared" si="25" ref="L28:Q28">L5-L16</f>
        <v>0</v>
      </c>
      <c r="M28" s="261">
        <f t="shared" si="25"/>
        <v>0</v>
      </c>
      <c r="N28" s="261">
        <f t="shared" si="25"/>
        <v>0</v>
      </c>
      <c r="O28" s="261">
        <f t="shared" si="25"/>
        <v>0</v>
      </c>
      <c r="P28" s="261">
        <f t="shared" si="25"/>
        <v>0</v>
      </c>
      <c r="Q28" s="261">
        <f t="shared" si="25"/>
        <v>0</v>
      </c>
      <c r="R28" s="261">
        <f t="shared" si="24"/>
        <v>0</v>
      </c>
      <c r="S28" s="261">
        <f t="shared" si="24"/>
        <v>0</v>
      </c>
      <c r="T28" s="261">
        <f t="shared" si="24"/>
        <v>0</v>
      </c>
      <c r="U28" s="261">
        <f t="shared" si="24"/>
        <v>0</v>
      </c>
      <c r="V28" s="261">
        <f t="shared" si="24"/>
        <v>0</v>
      </c>
      <c r="W28" s="261">
        <f t="shared" si="24"/>
        <v>0</v>
      </c>
      <c r="X28" s="261">
        <f t="shared" si="24"/>
        <v>0</v>
      </c>
      <c r="Y28" s="261">
        <f t="shared" si="24"/>
        <v>0</v>
      </c>
      <c r="Z28" s="261">
        <f t="shared" si="24"/>
        <v>0</v>
      </c>
      <c r="AA28" s="261">
        <f t="shared" si="24"/>
        <v>0</v>
      </c>
      <c r="AB28" s="261">
        <f t="shared" si="24"/>
        <v>0</v>
      </c>
      <c r="AC28" s="261">
        <f t="shared" si="24"/>
        <v>0</v>
      </c>
      <c r="AD28" s="261">
        <f t="shared" si="24"/>
        <v>0</v>
      </c>
      <c r="AE28" s="261">
        <f t="shared" si="24"/>
        <v>0</v>
      </c>
      <c r="AF28" s="261">
        <f aca="true" t="shared" si="26" ref="AF28:AP28">AF5-AF16</f>
        <v>0</v>
      </c>
      <c r="AG28" s="261">
        <f t="shared" si="26"/>
        <v>0</v>
      </c>
      <c r="AH28" s="261">
        <f t="shared" si="26"/>
        <v>0</v>
      </c>
      <c r="AI28" s="261">
        <f t="shared" si="26"/>
        <v>0</v>
      </c>
      <c r="AJ28" s="261">
        <f t="shared" si="26"/>
        <v>0</v>
      </c>
      <c r="AK28" s="261">
        <f t="shared" si="26"/>
        <v>0</v>
      </c>
      <c r="AL28" s="261">
        <f t="shared" si="26"/>
        <v>0</v>
      </c>
      <c r="AM28" s="261">
        <f t="shared" si="26"/>
        <v>0</v>
      </c>
      <c r="AN28" s="261">
        <f t="shared" si="26"/>
        <v>0</v>
      </c>
      <c r="AO28" s="261">
        <f t="shared" si="26"/>
        <v>0</v>
      </c>
      <c r="AP28" s="261">
        <f t="shared" si="26"/>
        <v>0</v>
      </c>
      <c r="AQ28" s="261">
        <f t="shared" si="24"/>
        <v>0</v>
      </c>
      <c r="AR28" s="261">
        <f t="shared" si="24"/>
        <v>0</v>
      </c>
      <c r="AS28" s="261">
        <f t="shared" si="24"/>
        <v>0</v>
      </c>
      <c r="AT28" s="261">
        <f t="shared" si="24"/>
        <v>0</v>
      </c>
      <c r="AU28" s="261">
        <f>AU5-AU16</f>
        <v>0</v>
      </c>
    </row>
    <row r="29" spans="11:47" ht="12.75" hidden="1"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</row>
    <row r="30" spans="1:47" ht="12.75" hidden="1">
      <c r="A30" s="119" t="s">
        <v>132</v>
      </c>
      <c r="K30" s="298"/>
      <c r="L30" s="298" t="e">
        <f>'[45]ф2'!L32</f>
        <v>#REF!</v>
      </c>
      <c r="M30" s="298" t="e">
        <f>'[45]ф2'!M32</f>
        <v>#REF!</v>
      </c>
      <c r="N30" s="298" t="e">
        <f>'[45]ф2'!N32</f>
        <v>#REF!</v>
      </c>
      <c r="O30" s="298" t="e">
        <f>'[45]ф2'!O32</f>
        <v>#REF!</v>
      </c>
      <c r="P30" s="298" t="e">
        <f>'[45]ф2'!P32</f>
        <v>#REF!</v>
      </c>
      <c r="Q30" s="298">
        <f>'[45]ф2'!Q32</f>
        <v>109.48954266069855</v>
      </c>
      <c r="R30" s="298">
        <f>'[45]ф2'!R32</f>
        <v>109.48954266069855</v>
      </c>
      <c r="S30" s="298">
        <f>'[45]ф2'!S32</f>
        <v>108.45296951069854</v>
      </c>
      <c r="T30" s="298">
        <f>'[45]ф2'!T32</f>
        <v>106.37982321069852</v>
      </c>
      <c r="U30" s="298">
        <f>'[45]ф2'!U32</f>
        <v>103.27010376069849</v>
      </c>
      <c r="V30" s="298">
        <f>'[45]ф2'!V32</f>
        <v>103.27010376069849</v>
      </c>
      <c r="W30" s="298">
        <f>'[45]ф2'!W32</f>
        <v>103.27010376069849</v>
      </c>
      <c r="X30" s="298">
        <f>'[45]ф2'!X32</f>
        <v>99.20125340855881</v>
      </c>
      <c r="Y30" s="298">
        <f>'[45]ф2'!Y32</f>
        <v>99.20125340855881</v>
      </c>
      <c r="Z30" s="298">
        <f>'[45]ф2'!Z32</f>
        <v>99.20125340855881</v>
      </c>
      <c r="AA30" s="298">
        <f>'[45]ф2'!AA32</f>
        <v>99.20125340855881</v>
      </c>
      <c r="AB30" s="298">
        <f>'[45]ф2'!AB32</f>
        <v>82.61608300855879</v>
      </c>
      <c r="AC30" s="298">
        <f>AC26-P26</f>
        <v>315.95133629928637</v>
      </c>
      <c r="AD30" s="298" t="e">
        <f>'[45]ф2'!AD32</f>
        <v>#REF!</v>
      </c>
      <c r="AE30" s="298" t="e">
        <f>'[45]ф2'!AE32</f>
        <v>#REF!</v>
      </c>
      <c r="AF30" s="298" t="e">
        <f>'[45]ф2'!AF32</f>
        <v>#REF!</v>
      </c>
      <c r="AG30" s="298" t="e">
        <f>'[45]ф2'!AG32</f>
        <v>#REF!</v>
      </c>
      <c r="AH30" s="298" t="e">
        <f>'[45]ф2'!AH32</f>
        <v>#REF!</v>
      </c>
      <c r="AI30" s="298" t="e">
        <f>'[45]ф2'!AI32</f>
        <v>#REF!</v>
      </c>
      <c r="AJ30" s="298" t="e">
        <f>'[45]ф2'!AJ32</f>
        <v>#REF!</v>
      </c>
      <c r="AK30" s="298" t="e">
        <f>'[45]ф2'!AK32</f>
        <v>#REF!</v>
      </c>
      <c r="AL30" s="298" t="e">
        <f>'[45]ф2'!AL32</f>
        <v>#REF!</v>
      </c>
      <c r="AM30" s="298" t="e">
        <f>'[45]ф2'!AM32</f>
        <v>#REF!</v>
      </c>
      <c r="AN30" s="298" t="e">
        <f>'[45]ф2'!AN32</f>
        <v>#REF!</v>
      </c>
      <c r="AO30" s="298" t="e">
        <f>'[45]ф2'!AO32</f>
        <v>#REF!</v>
      </c>
      <c r="AP30" s="298">
        <f>AP26-AC26</f>
        <v>1785.9812357281612</v>
      </c>
      <c r="AQ30" s="298">
        <f>AQ26-AP26</f>
        <v>1830.5229530547376</v>
      </c>
      <c r="AR30" s="298">
        <f>AR26-AQ26</f>
        <v>1878.0836312403317</v>
      </c>
      <c r="AS30" s="298">
        <f>AS26-AR26</f>
        <v>1928.8815112095435</v>
      </c>
      <c r="AT30" s="298">
        <f>AT26-AS26</f>
        <v>1983.15061054106</v>
      </c>
      <c r="AU30" s="298">
        <f>AU26-AT26</f>
        <v>2041.1418639632502</v>
      </c>
    </row>
    <row r="31" spans="1:47" ht="12.75" hidden="1">
      <c r="A31" s="119" t="s">
        <v>134</v>
      </c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>
        <f>(AC8+AC10+AC13+AC14)-(P8+P10+P13+P14)</f>
        <v>0</v>
      </c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>
        <f>(AP8+AP10+AP13+AP14)-(AC8+AC10+AC13+AC14)</f>
        <v>0</v>
      </c>
      <c r="AQ31" s="298">
        <f>(AQ8+AQ10+AQ13+AQ14)-(AP8+AP10+AP13+AP14)</f>
        <v>0</v>
      </c>
      <c r="AR31" s="298">
        <f>(AR8+AR10+AR13+AR14)-(AQ8+AQ10+AQ13+AQ14)</f>
        <v>0</v>
      </c>
      <c r="AS31" s="298">
        <f>(AS8+AS10+AS13+AS14)-(AR8+AR10+AR13+AR14)</f>
        <v>0</v>
      </c>
      <c r="AT31" s="298">
        <f>(AT8+AT10+AT13+AT14)-(AS8+AS10+AS13+AS14)</f>
        <v>0</v>
      </c>
      <c r="AU31" s="298">
        <f>(AU8+AU10+AU13+AU14)-(AT8+AT10+AT13+AT14)</f>
        <v>0</v>
      </c>
    </row>
    <row r="32" spans="1:47" ht="12.75" hidden="1">
      <c r="A32" s="119" t="s">
        <v>135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>
        <f>AC9-P9</f>
        <v>1743.5815031250013</v>
      </c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>
        <f>AP9-AC9</f>
        <v>-2.0463630789890885E-12</v>
      </c>
      <c r="AQ32" s="298">
        <f>AQ9-AP9</f>
        <v>0</v>
      </c>
      <c r="AR32" s="298">
        <f>AR9-AQ9</f>
        <v>0</v>
      </c>
      <c r="AS32" s="298">
        <f>AS9-AR9</f>
        <v>0</v>
      </c>
      <c r="AT32" s="298">
        <f>AT9-AS9</f>
        <v>0</v>
      </c>
      <c r="AU32" s="298">
        <f>AU9-AT9</f>
        <v>0</v>
      </c>
    </row>
    <row r="33" spans="1:47" ht="12.75" hidden="1">
      <c r="A33" s="119" t="s">
        <v>136</v>
      </c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>
        <f>(AC21+AC17)-(P21+P17)</f>
        <v>-65.41884395337365</v>
      </c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>
        <f>(AP21+AP17)-(AC21+AC17)</f>
        <v>-595.563847806251</v>
      </c>
      <c r="AQ33" s="298">
        <f>(AQ21+AQ17)-(AP21+AP17)</f>
        <v>-638.6172065192168</v>
      </c>
      <c r="AR33" s="298">
        <f>(AR21+AR17)-(AQ21+AQ17)</f>
        <v>-684.782896014673</v>
      </c>
      <c r="AS33" s="298">
        <f>(AS21+AS17)-(AR21+AR17)</f>
        <v>-734.2859069365418</v>
      </c>
      <c r="AT33" s="298">
        <f>(AT21+AT17)-(AS21+AS17)</f>
        <v>-787.3674945205784</v>
      </c>
      <c r="AU33" s="298">
        <f>(AU21+AU17)-(AT21+AT17)</f>
        <v>-771.6566764660148</v>
      </c>
    </row>
    <row r="34" spans="1:47" ht="12.75" hidden="1">
      <c r="A34" s="119" t="s">
        <v>137</v>
      </c>
      <c r="K34" s="298"/>
      <c r="L34" s="298">
        <f aca="true" t="shared" si="27" ref="L34:Q34">L31+L32+L33</f>
        <v>0</v>
      </c>
      <c r="M34" s="298">
        <f t="shared" si="27"/>
        <v>0</v>
      </c>
      <c r="N34" s="298">
        <f t="shared" si="27"/>
        <v>0</v>
      </c>
      <c r="O34" s="298">
        <f t="shared" si="27"/>
        <v>0</v>
      </c>
      <c r="P34" s="298">
        <f t="shared" si="27"/>
        <v>0</v>
      </c>
      <c r="Q34" s="298">
        <f t="shared" si="27"/>
        <v>0</v>
      </c>
      <c r="R34" s="298">
        <f aca="true" t="shared" si="28" ref="R34:AB34">R31+R32+R33</f>
        <v>0</v>
      </c>
      <c r="S34" s="298">
        <f t="shared" si="28"/>
        <v>0</v>
      </c>
      <c r="T34" s="298">
        <f t="shared" si="28"/>
        <v>0</v>
      </c>
      <c r="U34" s="298">
        <f t="shared" si="28"/>
        <v>0</v>
      </c>
      <c r="V34" s="298">
        <f t="shared" si="28"/>
        <v>0</v>
      </c>
      <c r="W34" s="298">
        <f t="shared" si="28"/>
        <v>0</v>
      </c>
      <c r="X34" s="298">
        <f t="shared" si="28"/>
        <v>0</v>
      </c>
      <c r="Y34" s="298">
        <f t="shared" si="28"/>
        <v>0</v>
      </c>
      <c r="Z34" s="298">
        <f t="shared" si="28"/>
        <v>0</v>
      </c>
      <c r="AA34" s="298">
        <f t="shared" si="28"/>
        <v>0</v>
      </c>
      <c r="AB34" s="298">
        <f t="shared" si="28"/>
        <v>0</v>
      </c>
      <c r="AC34" s="298">
        <f>-AC31+AC32+AC33</f>
        <v>1678.1626591716276</v>
      </c>
      <c r="AD34" s="298">
        <f aca="true" t="shared" si="29" ref="AD34:AO34">AD31+AD32+AD33</f>
        <v>0</v>
      </c>
      <c r="AE34" s="298">
        <f t="shared" si="29"/>
        <v>0</v>
      </c>
      <c r="AF34" s="298">
        <f t="shared" si="29"/>
        <v>0</v>
      </c>
      <c r="AG34" s="298">
        <f t="shared" si="29"/>
        <v>0</v>
      </c>
      <c r="AH34" s="298">
        <f t="shared" si="29"/>
        <v>0</v>
      </c>
      <c r="AI34" s="298">
        <f t="shared" si="29"/>
        <v>0</v>
      </c>
      <c r="AJ34" s="298">
        <f t="shared" si="29"/>
        <v>0</v>
      </c>
      <c r="AK34" s="298">
        <f t="shared" si="29"/>
        <v>0</v>
      </c>
      <c r="AL34" s="298">
        <f t="shared" si="29"/>
        <v>0</v>
      </c>
      <c r="AM34" s="298">
        <f t="shared" si="29"/>
        <v>0</v>
      </c>
      <c r="AN34" s="298">
        <f t="shared" si="29"/>
        <v>0</v>
      </c>
      <c r="AO34" s="298">
        <f t="shared" si="29"/>
        <v>0</v>
      </c>
      <c r="AP34" s="298">
        <f aca="true" t="shared" si="30" ref="AP34:AU34">-AP31+AP32+AP33</f>
        <v>-595.5638478062531</v>
      </c>
      <c r="AQ34" s="298">
        <f t="shared" si="30"/>
        <v>-638.6172065192168</v>
      </c>
      <c r="AR34" s="298">
        <f t="shared" si="30"/>
        <v>-684.782896014673</v>
      </c>
      <c r="AS34" s="298">
        <f t="shared" si="30"/>
        <v>-734.2859069365418</v>
      </c>
      <c r="AT34" s="298">
        <f t="shared" si="30"/>
        <v>-787.3674945205784</v>
      </c>
      <c r="AU34" s="298">
        <f t="shared" si="30"/>
        <v>-771.6566764660148</v>
      </c>
    </row>
    <row r="35" spans="1:47" ht="12.75" hidden="1">
      <c r="A35" s="119" t="s">
        <v>77</v>
      </c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>
        <f>'2-ф2'!AC12</f>
        <v>329.75718800000004</v>
      </c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>
        <f>'2-ф2'!AP12</f>
        <v>329.75718800000004</v>
      </c>
      <c r="AQ35" s="298">
        <f>'2-ф2'!AQ12</f>
        <v>329.75718800000004</v>
      </c>
      <c r="AR35" s="298">
        <f>'2-ф2'!AR12</f>
        <v>329.75718800000004</v>
      </c>
      <c r="AS35" s="298">
        <f>'2-ф2'!AS12</f>
        <v>329.75718800000004</v>
      </c>
      <c r="AT35" s="298">
        <f>'2-ф2'!AT12</f>
        <v>329.75718800000004</v>
      </c>
      <c r="AU35" s="298">
        <f>'2-ф2'!AU12</f>
        <v>329.75718800000004</v>
      </c>
    </row>
    <row r="36" spans="1:47" ht="12.75" hidden="1">
      <c r="A36" s="119" t="s">
        <v>138</v>
      </c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>
        <f>-'1-Ф3'!AC21</f>
        <v>0</v>
      </c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>
        <f>-'1-Ф3'!AP21</f>
        <v>0</v>
      </c>
      <c r="AQ36" s="298">
        <f>-'1-Ф3'!AQ21</f>
        <v>0</v>
      </c>
      <c r="AR36" s="298">
        <f>-'1-Ф3'!AR21</f>
        <v>0</v>
      </c>
      <c r="AS36" s="298">
        <f>-'1-Ф3'!AS21</f>
        <v>0</v>
      </c>
      <c r="AT36" s="298">
        <f>-'1-Ф3'!AT21</f>
        <v>0</v>
      </c>
      <c r="AU36" s="298">
        <f>-'1-Ф3'!AU21</f>
        <v>0</v>
      </c>
    </row>
    <row r="37" spans="1:47" ht="12.75" hidden="1">
      <c r="A37" s="119" t="s">
        <v>139</v>
      </c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>
        <f>AC30+AC34+AC35+AC36</f>
        <v>2323.871183470914</v>
      </c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>
        <f aca="true" t="shared" si="31" ref="AP37:AU37">AP30+AP34+AP35+AP36</f>
        <v>1520.1745759219082</v>
      </c>
      <c r="AQ37" s="298">
        <f t="shared" si="31"/>
        <v>1521.662934535521</v>
      </c>
      <c r="AR37" s="298">
        <f t="shared" si="31"/>
        <v>1523.0579232256587</v>
      </c>
      <c r="AS37" s="298">
        <f t="shared" si="31"/>
        <v>1524.3527922730018</v>
      </c>
      <c r="AT37" s="298">
        <f t="shared" si="31"/>
        <v>1525.5403040204815</v>
      </c>
      <c r="AU37" s="298">
        <f t="shared" si="31"/>
        <v>1599.2423754972356</v>
      </c>
    </row>
    <row r="38" spans="11:47" ht="12.75" hidden="1"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</row>
    <row r="39" spans="1:47" ht="12.75" hidden="1">
      <c r="A39" s="119" t="s">
        <v>145</v>
      </c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>
        <f>'1-Ф3'!AC34</f>
        <v>1348.9724806584168</v>
      </c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>
        <f>'1-Ф3'!AP34</f>
        <v>1520.174575921913</v>
      </c>
      <c r="AQ39" s="298">
        <f>'1-Ф3'!AQ34</f>
        <v>1521.6629345355204</v>
      </c>
      <c r="AR39" s="298">
        <f>'1-Ф3'!AR34</f>
        <v>1523.0579232256578</v>
      </c>
      <c r="AS39" s="298">
        <f>'1-Ф3'!AS34</f>
        <v>1524.3527922730036</v>
      </c>
      <c r="AT39" s="298">
        <f>'1-Ф3'!AT34</f>
        <v>1525.5403040204806</v>
      </c>
      <c r="AU39" s="298">
        <f>'1-Ф3'!AU34</f>
        <v>1599.242375497235</v>
      </c>
    </row>
    <row r="40" spans="1:47" ht="12.75" hidden="1">
      <c r="A40" s="136" t="s">
        <v>133</v>
      </c>
      <c r="B40" s="137"/>
      <c r="C40" s="138"/>
      <c r="D40" s="139"/>
      <c r="E40" s="139"/>
      <c r="F40" s="139"/>
      <c r="G40" s="139"/>
      <c r="H40" s="139"/>
      <c r="I40" s="139"/>
      <c r="J40" s="139"/>
      <c r="K40" s="261"/>
      <c r="L40" s="261">
        <f aca="true" t="shared" si="32" ref="L40:Q40">L39-L37</f>
        <v>0</v>
      </c>
      <c r="M40" s="261">
        <f t="shared" si="32"/>
        <v>0</v>
      </c>
      <c r="N40" s="261">
        <f t="shared" si="32"/>
        <v>0</v>
      </c>
      <c r="O40" s="261">
        <f t="shared" si="32"/>
        <v>0</v>
      </c>
      <c r="P40" s="261">
        <f t="shared" si="32"/>
        <v>0</v>
      </c>
      <c r="Q40" s="261">
        <f t="shared" si="32"/>
        <v>0</v>
      </c>
      <c r="R40" s="261">
        <f aca="true" t="shared" si="33" ref="R40:AB40">R39-R37</f>
        <v>0</v>
      </c>
      <c r="S40" s="261">
        <f t="shared" si="33"/>
        <v>0</v>
      </c>
      <c r="T40" s="261">
        <f t="shared" si="33"/>
        <v>0</v>
      </c>
      <c r="U40" s="261">
        <f t="shared" si="33"/>
        <v>0</v>
      </c>
      <c r="V40" s="261">
        <f t="shared" si="33"/>
        <v>0</v>
      </c>
      <c r="W40" s="261">
        <f t="shared" si="33"/>
        <v>0</v>
      </c>
      <c r="X40" s="261">
        <f t="shared" si="33"/>
        <v>0</v>
      </c>
      <c r="Y40" s="261">
        <f t="shared" si="33"/>
        <v>0</v>
      </c>
      <c r="Z40" s="261">
        <f t="shared" si="33"/>
        <v>0</v>
      </c>
      <c r="AA40" s="261">
        <f t="shared" si="33"/>
        <v>0</v>
      </c>
      <c r="AB40" s="261">
        <f t="shared" si="33"/>
        <v>0</v>
      </c>
      <c r="AC40" s="261">
        <f aca="true" t="shared" si="34" ref="AC40:AT40">AC39-AC37</f>
        <v>-974.898702812497</v>
      </c>
      <c r="AD40" s="261">
        <f t="shared" si="34"/>
        <v>0</v>
      </c>
      <c r="AE40" s="261">
        <f t="shared" si="34"/>
        <v>0</v>
      </c>
      <c r="AF40" s="261">
        <f t="shared" si="34"/>
        <v>0</v>
      </c>
      <c r="AG40" s="261">
        <f t="shared" si="34"/>
        <v>0</v>
      </c>
      <c r="AH40" s="261">
        <f t="shared" si="34"/>
        <v>0</v>
      </c>
      <c r="AI40" s="261">
        <f t="shared" si="34"/>
        <v>0</v>
      </c>
      <c r="AJ40" s="261">
        <f t="shared" si="34"/>
        <v>0</v>
      </c>
      <c r="AK40" s="261">
        <f t="shared" si="34"/>
        <v>0</v>
      </c>
      <c r="AL40" s="261">
        <f t="shared" si="34"/>
        <v>0</v>
      </c>
      <c r="AM40" s="261">
        <f t="shared" si="34"/>
        <v>0</v>
      </c>
      <c r="AN40" s="261">
        <f t="shared" si="34"/>
        <v>0</v>
      </c>
      <c r="AO40" s="261">
        <f t="shared" si="34"/>
        <v>0</v>
      </c>
      <c r="AP40" s="261">
        <f t="shared" si="34"/>
        <v>4.774847184307873E-12</v>
      </c>
      <c r="AQ40" s="261">
        <f t="shared" si="34"/>
        <v>0</v>
      </c>
      <c r="AR40" s="261">
        <f t="shared" si="34"/>
        <v>0</v>
      </c>
      <c r="AS40" s="261">
        <f t="shared" si="34"/>
        <v>1.8189894035458565E-12</v>
      </c>
      <c r="AT40" s="261">
        <f t="shared" si="34"/>
        <v>0</v>
      </c>
      <c r="AU40" s="261">
        <f>AU39-AU37</f>
        <v>0</v>
      </c>
    </row>
    <row r="41" spans="11:47" ht="12.75">
      <c r="K41" s="298">
        <f>K28-J28</f>
        <v>0</v>
      </c>
      <c r="L41" s="298">
        <f aca="true" t="shared" si="35" ref="L41:Q41">L28-K28</f>
        <v>0</v>
      </c>
      <c r="M41" s="298">
        <f t="shared" si="35"/>
        <v>0</v>
      </c>
      <c r="N41" s="298">
        <f t="shared" si="35"/>
        <v>0</v>
      </c>
      <c r="O41" s="298">
        <f t="shared" si="35"/>
        <v>0</v>
      </c>
      <c r="P41" s="298">
        <f t="shared" si="35"/>
        <v>0</v>
      </c>
      <c r="Q41" s="298">
        <f t="shared" si="35"/>
        <v>0</v>
      </c>
      <c r="R41" s="298">
        <f>R28-Q28</f>
        <v>0</v>
      </c>
      <c r="S41" s="298">
        <f aca="true" t="shared" si="36" ref="S41:AU41">S28-R28</f>
        <v>0</v>
      </c>
      <c r="T41" s="298">
        <f t="shared" si="36"/>
        <v>0</v>
      </c>
      <c r="U41" s="298">
        <f t="shared" si="36"/>
        <v>0</v>
      </c>
      <c r="V41" s="298">
        <f t="shared" si="36"/>
        <v>0</v>
      </c>
      <c r="W41" s="298">
        <f t="shared" si="36"/>
        <v>0</v>
      </c>
      <c r="X41" s="298">
        <f t="shared" si="36"/>
        <v>0</v>
      </c>
      <c r="Y41" s="298">
        <f t="shared" si="36"/>
        <v>0</v>
      </c>
      <c r="Z41" s="298">
        <f t="shared" si="36"/>
        <v>0</v>
      </c>
      <c r="AA41" s="298">
        <f t="shared" si="36"/>
        <v>0</v>
      </c>
      <c r="AB41" s="298">
        <f t="shared" si="36"/>
        <v>0</v>
      </c>
      <c r="AC41" s="298">
        <f>AC28-AB28</f>
        <v>0</v>
      </c>
      <c r="AD41" s="298">
        <f>AD28-AC28</f>
        <v>0</v>
      </c>
      <c r="AE41" s="298">
        <f>AE28-AD28</f>
        <v>0</v>
      </c>
      <c r="AF41" s="298">
        <f>AF28-AE28</f>
        <v>0</v>
      </c>
      <c r="AG41" s="298">
        <f t="shared" si="36"/>
        <v>0</v>
      </c>
      <c r="AH41" s="298">
        <f t="shared" si="36"/>
        <v>0</v>
      </c>
      <c r="AI41" s="298">
        <f t="shared" si="36"/>
        <v>0</v>
      </c>
      <c r="AJ41" s="298">
        <f t="shared" si="36"/>
        <v>0</v>
      </c>
      <c r="AK41" s="298">
        <f t="shared" si="36"/>
        <v>0</v>
      </c>
      <c r="AL41" s="298">
        <f t="shared" si="36"/>
        <v>0</v>
      </c>
      <c r="AM41" s="298">
        <f t="shared" si="36"/>
        <v>0</v>
      </c>
      <c r="AN41" s="298">
        <f t="shared" si="36"/>
        <v>0</v>
      </c>
      <c r="AO41" s="298">
        <f t="shared" si="36"/>
        <v>0</v>
      </c>
      <c r="AP41" s="298">
        <f t="shared" si="36"/>
        <v>0</v>
      </c>
      <c r="AQ41" s="298">
        <f t="shared" si="36"/>
        <v>0</v>
      </c>
      <c r="AR41" s="298">
        <f t="shared" si="36"/>
        <v>0</v>
      </c>
      <c r="AS41" s="298">
        <f t="shared" si="36"/>
        <v>0</v>
      </c>
      <c r="AT41" s="298">
        <f t="shared" si="36"/>
        <v>0</v>
      </c>
      <c r="AU41" s="298">
        <f t="shared" si="36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45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L36" sqref="L36"/>
    </sheetView>
  </sheetViews>
  <sheetFormatPr defaultColWidth="9.00390625" defaultRowHeight="12.75"/>
  <cols>
    <col min="1" max="1" width="31.25390625" style="78" customWidth="1"/>
    <col min="2" max="2" width="16.125" style="78" customWidth="1"/>
    <col min="3" max="3" width="10.75390625" style="78" customWidth="1"/>
    <col min="4" max="4" width="5.375" style="78" customWidth="1"/>
    <col min="5" max="5" width="7.00390625" style="78" bestFit="1" customWidth="1"/>
    <col min="6" max="6" width="5.875" style="78" customWidth="1"/>
    <col min="7" max="8" width="5.75390625" style="78" bestFit="1" customWidth="1"/>
    <col min="9" max="9" width="6.375" style="78" bestFit="1" customWidth="1"/>
    <col min="10" max="10" width="8.75390625" style="78" bestFit="1" customWidth="1"/>
    <col min="11" max="11" width="7.625" style="78" bestFit="1" customWidth="1"/>
    <col min="12" max="12" width="19.00390625" style="78" customWidth="1"/>
    <col min="13" max="13" width="8.00390625" style="78" bestFit="1" customWidth="1"/>
    <col min="14" max="14" width="14.375" style="78" customWidth="1"/>
    <col min="15" max="16384" width="9.125" style="78" customWidth="1"/>
  </cols>
  <sheetData>
    <row r="1" spans="1:3" ht="15.75" customHeight="1">
      <c r="A1" s="340" t="s">
        <v>39</v>
      </c>
      <c r="B1" s="340"/>
      <c r="C1" s="340"/>
    </row>
    <row r="2" spans="1:14" ht="12" customHeight="1">
      <c r="A2" s="62"/>
      <c r="N2" s="248">
        <f>'1-Ф3'!$B$2</f>
        <v>-5.684341886080801E-13</v>
      </c>
    </row>
    <row r="3" spans="1:14" ht="12.75">
      <c r="A3" s="79" t="s">
        <v>28</v>
      </c>
      <c r="B3" s="80" t="s">
        <v>40</v>
      </c>
      <c r="C3" s="80" t="s">
        <v>8</v>
      </c>
      <c r="N3" s="248">
        <f>'Осн.пок-ли'!B6</f>
        <v>2791.8898034374997</v>
      </c>
    </row>
    <row r="4" ht="12.75">
      <c r="A4" s="62" t="s">
        <v>147</v>
      </c>
    </row>
    <row r="5" spans="1:4" ht="12.75">
      <c r="A5" s="81" t="s">
        <v>101</v>
      </c>
      <c r="B5" s="81"/>
      <c r="C5" s="234">
        <v>152.85</v>
      </c>
      <c r="D5" s="78" t="s">
        <v>292</v>
      </c>
    </row>
    <row r="6" spans="1:4" ht="12.75">
      <c r="A6" s="81" t="s">
        <v>316</v>
      </c>
      <c r="B6" s="81"/>
      <c r="C6" s="234">
        <v>18.83</v>
      </c>
      <c r="D6" s="78" t="s">
        <v>292</v>
      </c>
    </row>
    <row r="7" spans="1:4" ht="12.75">
      <c r="A7" s="81" t="s">
        <v>156</v>
      </c>
      <c r="B7" s="81"/>
      <c r="C7" s="234">
        <v>4.64</v>
      </c>
      <c r="D7" s="78" t="s">
        <v>292</v>
      </c>
    </row>
    <row r="8" spans="1:4" ht="12.75">
      <c r="A8" s="81" t="s">
        <v>73</v>
      </c>
      <c r="B8" s="81"/>
      <c r="C8" s="160">
        <f>20%*C9+C36*(1-C20)*(1-C9)</f>
        <v>0.12025208871579948</v>
      </c>
      <c r="D8" s="78" t="s">
        <v>157</v>
      </c>
    </row>
    <row r="9" spans="1:3" ht="12.75">
      <c r="A9" s="81" t="s">
        <v>207</v>
      </c>
      <c r="B9" s="81"/>
      <c r="C9" s="160">
        <f>'1-Ф3'!B28/'1-Ф3'!B27</f>
        <v>0.3963065004981035</v>
      </c>
    </row>
    <row r="10" spans="1:3" ht="12.75">
      <c r="A10" s="81" t="s">
        <v>140</v>
      </c>
      <c r="B10" s="81"/>
      <c r="C10" s="85" t="s">
        <v>59</v>
      </c>
    </row>
    <row r="11" ht="12.75">
      <c r="A11" s="62" t="s">
        <v>141</v>
      </c>
    </row>
    <row r="12" spans="1:4" ht="12.75">
      <c r="A12" s="81" t="s">
        <v>47</v>
      </c>
      <c r="B12" s="83" t="s">
        <v>42</v>
      </c>
      <c r="C12" s="84">
        <v>0.1</v>
      </c>
      <c r="D12" s="78" t="s">
        <v>212</v>
      </c>
    </row>
    <row r="13" spans="1:4" ht="12.75">
      <c r="A13" s="81" t="s">
        <v>52</v>
      </c>
      <c r="B13" s="83" t="s">
        <v>42</v>
      </c>
      <c r="C13" s="84">
        <v>0.05</v>
      </c>
      <c r="D13" s="78" t="s">
        <v>212</v>
      </c>
    </row>
    <row r="14" spans="1:4" ht="12.75">
      <c r="A14" s="81" t="s">
        <v>48</v>
      </c>
      <c r="B14" s="83" t="s">
        <v>42</v>
      </c>
      <c r="C14" s="84">
        <v>0.1</v>
      </c>
      <c r="D14" s="78" t="s">
        <v>212</v>
      </c>
    </row>
    <row r="15" spans="1:4" ht="12.75" hidden="1">
      <c r="A15" s="81" t="s">
        <v>50</v>
      </c>
      <c r="B15" s="83" t="s">
        <v>42</v>
      </c>
      <c r="C15" s="84">
        <f>11%*0</f>
        <v>0</v>
      </c>
      <c r="D15" s="78" t="s">
        <v>212</v>
      </c>
    </row>
    <row r="16" spans="1:4" ht="12.75">
      <c r="A16" s="81" t="s">
        <v>111</v>
      </c>
      <c r="B16" s="83" t="s">
        <v>59</v>
      </c>
      <c r="C16" s="86">
        <v>18.66</v>
      </c>
      <c r="D16" s="78" t="s">
        <v>212</v>
      </c>
    </row>
    <row r="17" spans="1:4" ht="12.75">
      <c r="A17" s="81" t="s">
        <v>2</v>
      </c>
      <c r="B17" s="83"/>
      <c r="C17" s="244">
        <v>0.015</v>
      </c>
      <c r="D17" s="78" t="s">
        <v>212</v>
      </c>
    </row>
    <row r="18" spans="1:4" ht="12.75" hidden="1">
      <c r="A18" s="81" t="s">
        <v>41</v>
      </c>
      <c r="B18" s="83" t="s">
        <v>42</v>
      </c>
      <c r="C18" s="84">
        <f>12%*0</f>
        <v>0</v>
      </c>
      <c r="D18" s="78" t="s">
        <v>212</v>
      </c>
    </row>
    <row r="19" spans="1:4" ht="12.75" hidden="1">
      <c r="A19" s="81" t="s">
        <v>60</v>
      </c>
      <c r="B19" s="81"/>
      <c r="C19" s="82">
        <v>1</v>
      </c>
      <c r="D19" s="78" t="s">
        <v>212</v>
      </c>
    </row>
    <row r="20" spans="1:4" ht="12.75">
      <c r="A20" s="81" t="s">
        <v>334</v>
      </c>
      <c r="B20" s="81"/>
      <c r="C20" s="84">
        <v>0.03</v>
      </c>
      <c r="D20" s="78" t="s">
        <v>212</v>
      </c>
    </row>
    <row r="21" ht="12.75">
      <c r="A21" s="62" t="s">
        <v>196</v>
      </c>
    </row>
    <row r="22" spans="1:4" ht="12.75">
      <c r="A22" s="81" t="s">
        <v>314</v>
      </c>
      <c r="B22" s="83" t="s">
        <v>315</v>
      </c>
      <c r="C22" s="234">
        <f>5.5/C25</f>
        <v>0.6875</v>
      </c>
      <c r="D22" s="276" t="s">
        <v>335</v>
      </c>
    </row>
    <row r="23" spans="1:5" ht="12.75">
      <c r="A23" s="81" t="s">
        <v>208</v>
      </c>
      <c r="B23" s="83" t="s">
        <v>201</v>
      </c>
      <c r="C23" s="145">
        <v>25</v>
      </c>
      <c r="D23" s="78" t="s">
        <v>294</v>
      </c>
      <c r="E23" s="248"/>
    </row>
    <row r="24" spans="1:5" ht="12.75">
      <c r="A24" s="81" t="s">
        <v>312</v>
      </c>
      <c r="B24" s="83" t="s">
        <v>313</v>
      </c>
      <c r="C24" s="146">
        <f>Инв!B9</f>
        <v>3</v>
      </c>
      <c r="E24" s="248"/>
    </row>
    <row r="25" spans="1:5" ht="12.75">
      <c r="A25" s="81" t="s">
        <v>311</v>
      </c>
      <c r="B25" s="83" t="s">
        <v>254</v>
      </c>
      <c r="C25" s="145">
        <v>8</v>
      </c>
      <c r="E25" s="248"/>
    </row>
    <row r="26" ht="12.75">
      <c r="A26" s="62" t="s">
        <v>209</v>
      </c>
    </row>
    <row r="27" spans="1:4" ht="12.75">
      <c r="A27" s="81" t="str">
        <f>A22</f>
        <v>Обрезанный торец песчаника</v>
      </c>
      <c r="B27" s="83" t="s">
        <v>325</v>
      </c>
      <c r="C27" s="146">
        <f>C22*C25*C23*C24</f>
        <v>412.5</v>
      </c>
      <c r="D27" s="276" t="s">
        <v>228</v>
      </c>
    </row>
    <row r="28" ht="12.75">
      <c r="A28" s="62" t="s">
        <v>210</v>
      </c>
    </row>
    <row r="29" spans="1:5" ht="12.75">
      <c r="A29" s="81" t="str">
        <f>A27</f>
        <v>Обрезанный торец песчаника</v>
      </c>
      <c r="B29" s="83" t="s">
        <v>317</v>
      </c>
      <c r="C29" s="145">
        <f>120*$C$6*1.1</f>
        <v>2485.56</v>
      </c>
      <c r="E29" s="310" t="s">
        <v>343</v>
      </c>
    </row>
    <row r="30" spans="1:5" ht="12.75">
      <c r="A30" s="290" t="s">
        <v>319</v>
      </c>
      <c r="B30" s="83" t="s">
        <v>320</v>
      </c>
      <c r="C30" s="145">
        <f>30*$C$6</f>
        <v>564.9</v>
      </c>
      <c r="E30" s="310" t="s">
        <v>344</v>
      </c>
    </row>
    <row r="31" spans="1:3" ht="12.75">
      <c r="A31" s="290" t="s">
        <v>257</v>
      </c>
      <c r="B31" s="83" t="s">
        <v>318</v>
      </c>
      <c r="C31" s="234">
        <f>12.49*$C$19</f>
        <v>12.49</v>
      </c>
    </row>
    <row r="32" ht="12.75">
      <c r="A32" s="62" t="s">
        <v>295</v>
      </c>
    </row>
    <row r="33" spans="1:3" ht="12.75">
      <c r="A33" s="81" t="s">
        <v>321</v>
      </c>
      <c r="B33" s="83" t="s">
        <v>322</v>
      </c>
      <c r="C33" s="234">
        <f>8/5</f>
        <v>1.6</v>
      </c>
    </row>
    <row r="34" spans="1:4" ht="12.75">
      <c r="A34" s="290" t="s">
        <v>323</v>
      </c>
      <c r="B34" s="83" t="s">
        <v>42</v>
      </c>
      <c r="C34" s="296">
        <v>0.3</v>
      </c>
      <c r="D34" s="78" t="s">
        <v>324</v>
      </c>
    </row>
    <row r="35" ht="12.75">
      <c r="A35" s="62" t="s">
        <v>148</v>
      </c>
    </row>
    <row r="36" spans="1:4" ht="12.75">
      <c r="A36" s="81" t="s">
        <v>57</v>
      </c>
      <c r="B36" s="83" t="s">
        <v>42</v>
      </c>
      <c r="C36" s="84">
        <v>0.07</v>
      </c>
      <c r="D36" s="78" t="s">
        <v>297</v>
      </c>
    </row>
    <row r="37" spans="1:3" ht="12.75">
      <c r="A37" s="81" t="s">
        <v>149</v>
      </c>
      <c r="B37" s="83" t="s">
        <v>150</v>
      </c>
      <c r="C37" s="234">
        <v>7</v>
      </c>
    </row>
    <row r="38" spans="1:3" ht="12.75">
      <c r="A38" s="81" t="s">
        <v>151</v>
      </c>
      <c r="B38" s="83" t="s">
        <v>153</v>
      </c>
      <c r="C38" s="145">
        <v>9</v>
      </c>
    </row>
    <row r="39" spans="1:3" ht="12.75">
      <c r="A39" s="81" t="s">
        <v>152</v>
      </c>
      <c r="B39" s="83" t="s">
        <v>153</v>
      </c>
      <c r="C39" s="145">
        <v>6</v>
      </c>
    </row>
    <row r="41" ht="12.75">
      <c r="A41" s="62" t="s">
        <v>240</v>
      </c>
    </row>
    <row r="42" spans="1:14" ht="12.75">
      <c r="A42" s="81" t="s">
        <v>215</v>
      </c>
      <c r="B42" s="83" t="s">
        <v>216</v>
      </c>
      <c r="C42" s="83" t="s">
        <v>217</v>
      </c>
      <c r="D42" s="83" t="s">
        <v>218</v>
      </c>
      <c r="E42" s="83" t="s">
        <v>219</v>
      </c>
      <c r="F42" s="83" t="s">
        <v>220</v>
      </c>
      <c r="G42" s="83" t="s">
        <v>221</v>
      </c>
      <c r="H42" s="83" t="s">
        <v>222</v>
      </c>
      <c r="I42" s="83" t="s">
        <v>223</v>
      </c>
      <c r="J42" s="83" t="s">
        <v>224</v>
      </c>
      <c r="K42" s="83" t="s">
        <v>225</v>
      </c>
      <c r="L42" s="83" t="s">
        <v>226</v>
      </c>
      <c r="M42" s="83" t="s">
        <v>227</v>
      </c>
      <c r="N42" s="273" t="s">
        <v>233</v>
      </c>
    </row>
    <row r="43" spans="1:14" ht="12.75">
      <c r="A43" s="81" t="s">
        <v>285</v>
      </c>
      <c r="B43" s="253">
        <v>0.01</v>
      </c>
      <c r="C43" s="253">
        <v>0.04</v>
      </c>
      <c r="D43" s="253">
        <v>0.06</v>
      </c>
      <c r="E43" s="253">
        <v>0.08</v>
      </c>
      <c r="F43" s="253">
        <v>0.12</v>
      </c>
      <c r="G43" s="253">
        <v>0.15</v>
      </c>
      <c r="H43" s="253">
        <v>0.17</v>
      </c>
      <c r="I43" s="253">
        <v>0.16</v>
      </c>
      <c r="J43" s="253">
        <v>0.11</v>
      </c>
      <c r="K43" s="253">
        <v>0.07</v>
      </c>
      <c r="L43" s="253">
        <v>0.02</v>
      </c>
      <c r="M43" s="253">
        <v>0.01</v>
      </c>
      <c r="N43" s="297">
        <f>SUM(B43:M43)</f>
        <v>1</v>
      </c>
    </row>
    <row r="44" spans="1:2" ht="12.75">
      <c r="A44" s="148"/>
      <c r="B44" s="148"/>
    </row>
    <row r="45" spans="1:2" ht="12.75">
      <c r="A45" s="148" t="s">
        <v>286</v>
      </c>
      <c r="B45" s="308">
        <f>1/12</f>
        <v>0.08333333333333333</v>
      </c>
    </row>
  </sheetData>
  <sheetProtection/>
  <mergeCells count="1">
    <mergeCell ref="A1:C1"/>
  </mergeCells>
  <hyperlinks>
    <hyperlink ref="E29" r:id="rId1" display="http://satu.kz/p1441313-dekorativnyj-kamen-peschanik.html"/>
    <hyperlink ref="E30" r:id="rId2" display="http://box-idei.blogspot.com/2010/03/peschanik.html"/>
  </hyperlinks>
  <printOptions/>
  <pageMargins left="0.66" right="0.22" top="0.5" bottom="1.32" header="0.23" footer="0.17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8.875" defaultRowHeight="12.75"/>
  <cols>
    <col min="1" max="1" width="28.125" style="78" customWidth="1"/>
    <col min="2" max="2" width="7.875" style="78" bestFit="1" customWidth="1"/>
    <col min="3" max="3" width="13.00390625" style="78" customWidth="1"/>
    <col min="4" max="4" width="19.00390625" style="78" bestFit="1" customWidth="1"/>
    <col min="5" max="5" width="28.875" style="78" bestFit="1" customWidth="1"/>
    <col min="6" max="6" width="19.00390625" style="78" bestFit="1" customWidth="1"/>
    <col min="7" max="7" width="8.75390625" style="78" customWidth="1"/>
    <col min="8" max="8" width="19.00390625" style="78" bestFit="1" customWidth="1"/>
    <col min="9" max="9" width="7.375" style="78" bestFit="1" customWidth="1"/>
    <col min="10" max="16384" width="8.875" style="78" customWidth="1"/>
  </cols>
  <sheetData>
    <row r="1" ht="12.75">
      <c r="A1" s="62" t="s">
        <v>197</v>
      </c>
    </row>
    <row r="2" ht="12.75">
      <c r="A2" s="62"/>
    </row>
    <row r="3" ht="12.75">
      <c r="F3" s="248"/>
    </row>
    <row r="4" spans="1:3" ht="12.75" customHeight="1">
      <c r="A4" s="300" t="s">
        <v>184</v>
      </c>
      <c r="B4" s="299" t="s">
        <v>213</v>
      </c>
      <c r="C4" s="301" t="s">
        <v>214</v>
      </c>
    </row>
    <row r="5" spans="1:3" ht="12.75">
      <c r="A5" s="81" t="str">
        <f>Исх!A22</f>
        <v>Обрезанный торец песчаника</v>
      </c>
      <c r="B5" s="232" t="s">
        <v>322</v>
      </c>
      <c r="C5" s="232">
        <f>Исх!$C$29</f>
        <v>2485.56</v>
      </c>
    </row>
    <row r="9" spans="1:9" ht="12.75" customHeight="1">
      <c r="A9" s="347" t="s">
        <v>184</v>
      </c>
      <c r="B9" s="345" t="s">
        <v>213</v>
      </c>
      <c r="C9" s="350" t="s">
        <v>291</v>
      </c>
      <c r="D9" s="349" t="s">
        <v>287</v>
      </c>
      <c r="E9" s="349"/>
      <c r="F9" s="341" t="s">
        <v>256</v>
      </c>
      <c r="G9" s="342"/>
      <c r="H9" s="343" t="s">
        <v>242</v>
      </c>
      <c r="I9" s="344"/>
    </row>
    <row r="10" spans="1:9" ht="12.75">
      <c r="A10" s="348"/>
      <c r="B10" s="346"/>
      <c r="C10" s="351"/>
      <c r="D10" s="249" t="s">
        <v>288</v>
      </c>
      <c r="E10" s="249" t="s">
        <v>289</v>
      </c>
      <c r="F10" s="249" t="s">
        <v>288</v>
      </c>
      <c r="G10" s="249" t="s">
        <v>289</v>
      </c>
      <c r="H10" s="249" t="s">
        <v>288</v>
      </c>
      <c r="I10" s="249" t="s">
        <v>290</v>
      </c>
    </row>
    <row r="11" spans="1:9" ht="12.75">
      <c r="A11" s="81" t="str">
        <f>A5</f>
        <v>Обрезанный торец песчаника</v>
      </c>
      <c r="B11" s="232" t="str">
        <f>B5</f>
        <v>м2</v>
      </c>
      <c r="C11" s="232">
        <f>C5</f>
        <v>2485.56</v>
      </c>
      <c r="D11" s="232">
        <f>'Расх перем'!E8</f>
        <v>1649.508</v>
      </c>
      <c r="E11" s="232">
        <f>'Расх перем'!E12</f>
        <v>2117.3956897839716</v>
      </c>
      <c r="F11" s="232">
        <f>C11-D11</f>
        <v>836.0519999999999</v>
      </c>
      <c r="G11" s="232">
        <f>C11-E11</f>
        <v>368.1643102160283</v>
      </c>
      <c r="H11" s="278">
        <f>F11/C11</f>
        <v>0.3363636363636363</v>
      </c>
      <c r="I11" s="278">
        <f>G11/C11</f>
        <v>0.14812127255669882</v>
      </c>
    </row>
    <row r="12" spans="1:9" ht="12.75" hidden="1">
      <c r="A12" s="81"/>
      <c r="B12" s="232"/>
      <c r="C12" s="232"/>
      <c r="D12" s="232"/>
      <c r="E12" s="232"/>
      <c r="F12" s="232"/>
      <c r="G12" s="232"/>
      <c r="H12" s="278"/>
      <c r="I12" s="278"/>
    </row>
  </sheetData>
  <sheetProtection/>
  <mergeCells count="6">
    <mergeCell ref="F9:G9"/>
    <mergeCell ref="H9:I9"/>
    <mergeCell ref="B9:B10"/>
    <mergeCell ref="A9:A10"/>
    <mergeCell ref="D9:E9"/>
    <mergeCell ref="C9:C10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V15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S10" sqref="S10"/>
    </sheetView>
  </sheetViews>
  <sheetFormatPr defaultColWidth="10.125" defaultRowHeight="12.75" outlineLevelCol="1"/>
  <cols>
    <col min="1" max="1" width="30.125" style="238" customWidth="1"/>
    <col min="2" max="2" width="11.375" style="238" customWidth="1"/>
    <col min="3" max="3" width="10.125" style="238" customWidth="1"/>
    <col min="4" max="15" width="7.00390625" style="238" hidden="1" customWidth="1" outlineLevel="1"/>
    <col min="16" max="16" width="9.125" style="238" customWidth="1" collapsed="1"/>
    <col min="17" max="28" width="8.375" style="238" hidden="1" customWidth="1" outlineLevel="1"/>
    <col min="29" max="29" width="9.125" style="238" customWidth="1" collapsed="1"/>
    <col min="30" max="41" width="8.375" style="238" hidden="1" customWidth="1" outlineLevel="1"/>
    <col min="42" max="42" width="9.125" style="238" customWidth="1" collapsed="1"/>
    <col min="43" max="47" width="9.125" style="238" customWidth="1"/>
    <col min="48" max="48" width="10.125" style="235" customWidth="1"/>
    <col min="49" max="16384" width="10.125" style="238" customWidth="1"/>
  </cols>
  <sheetData>
    <row r="1" spans="1:48" ht="21" customHeight="1">
      <c r="A1" s="241" t="s">
        <v>230</v>
      </c>
      <c r="B1" s="237"/>
      <c r="C1" s="237"/>
      <c r="AV1" s="238"/>
    </row>
    <row r="2" spans="1:48" ht="17.25" customHeight="1">
      <c r="A2" s="241"/>
      <c r="B2" s="242"/>
      <c r="C2" s="239"/>
      <c r="AV2" s="238"/>
    </row>
    <row r="3" spans="1:48" ht="12.75" customHeight="1">
      <c r="A3" s="352" t="s">
        <v>190</v>
      </c>
      <c r="B3" s="335" t="s">
        <v>89</v>
      </c>
      <c r="C3" s="354" t="s">
        <v>40</v>
      </c>
      <c r="D3" s="336">
        <v>2013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>
        <v>2014</v>
      </c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7">
        <v>2015</v>
      </c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9"/>
      <c r="AQ3" s="123"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  <c r="AV3" s="238"/>
    </row>
    <row r="4" spans="1:48" ht="12.75">
      <c r="A4" s="353"/>
      <c r="B4" s="335"/>
      <c r="C4" s="355"/>
      <c r="D4" s="125">
        <f aca="true" t="shared" si="0" ref="D4:L4">C4+1</f>
        <v>1</v>
      </c>
      <c r="E4" s="125">
        <f t="shared" si="0"/>
        <v>2</v>
      </c>
      <c r="F4" s="125">
        <f t="shared" si="0"/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>L4+1</f>
        <v>10</v>
      </c>
      <c r="N4" s="125">
        <f>M4+1</f>
        <v>11</v>
      </c>
      <c r="O4" s="125">
        <f>N4+1</f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110</v>
      </c>
      <c r="AR4" s="121" t="s">
        <v>110</v>
      </c>
      <c r="AS4" s="121" t="s">
        <v>110</v>
      </c>
      <c r="AT4" s="121" t="s">
        <v>110</v>
      </c>
      <c r="AU4" s="121" t="s">
        <v>110</v>
      </c>
      <c r="AV4" s="238"/>
    </row>
    <row r="5" spans="1:48" ht="12.75">
      <c r="A5" s="258" t="s">
        <v>191</v>
      </c>
      <c r="B5" s="127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8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28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238"/>
    </row>
    <row r="6" spans="1:48" ht="15" customHeight="1">
      <c r="A6" s="240" t="s">
        <v>198</v>
      </c>
      <c r="B6" s="127"/>
      <c r="C6" s="128"/>
      <c r="D6" s="132"/>
      <c r="E6" s="132"/>
      <c r="F6" s="132"/>
      <c r="G6" s="132"/>
      <c r="H6" s="132"/>
      <c r="I6" s="246"/>
      <c r="J6" s="246"/>
      <c r="K6" s="246"/>
      <c r="L6" s="246"/>
      <c r="M6" s="246"/>
      <c r="N6" s="246"/>
      <c r="O6" s="246"/>
      <c r="P6" s="246"/>
      <c r="Q6" s="247">
        <v>0.5</v>
      </c>
      <c r="R6" s="246">
        <f>Q6</f>
        <v>0.5</v>
      </c>
      <c r="S6" s="247">
        <v>0.6</v>
      </c>
      <c r="T6" s="247">
        <v>0.65</v>
      </c>
      <c r="U6" s="247">
        <v>1</v>
      </c>
      <c r="V6" s="246">
        <f aca="true" t="shared" si="3" ref="V6:AB6">U6</f>
        <v>1</v>
      </c>
      <c r="W6" s="246">
        <f t="shared" si="3"/>
        <v>1</v>
      </c>
      <c r="X6" s="246">
        <f t="shared" si="3"/>
        <v>1</v>
      </c>
      <c r="Y6" s="246">
        <f t="shared" si="3"/>
        <v>1</v>
      </c>
      <c r="Z6" s="246">
        <f t="shared" si="3"/>
        <v>1</v>
      </c>
      <c r="AA6" s="246">
        <f t="shared" si="3"/>
        <v>1</v>
      </c>
      <c r="AB6" s="246">
        <f t="shared" si="3"/>
        <v>1</v>
      </c>
      <c r="AC6" s="246">
        <f>AVERAGE(Q6:AB6)</f>
        <v>0.8541666666666666</v>
      </c>
      <c r="AD6" s="246">
        <f>AB6</f>
        <v>1</v>
      </c>
      <c r="AE6" s="246">
        <f>AD6</f>
        <v>1</v>
      </c>
      <c r="AF6" s="246">
        <f aca="true" t="shared" si="4" ref="AF6:AO6">AE6</f>
        <v>1</v>
      </c>
      <c r="AG6" s="246">
        <f t="shared" si="4"/>
        <v>1</v>
      </c>
      <c r="AH6" s="246">
        <f t="shared" si="4"/>
        <v>1</v>
      </c>
      <c r="AI6" s="246">
        <f t="shared" si="4"/>
        <v>1</v>
      </c>
      <c r="AJ6" s="246">
        <f t="shared" si="4"/>
        <v>1</v>
      </c>
      <c r="AK6" s="246">
        <f t="shared" si="4"/>
        <v>1</v>
      </c>
      <c r="AL6" s="246">
        <f t="shared" si="4"/>
        <v>1</v>
      </c>
      <c r="AM6" s="246">
        <f t="shared" si="4"/>
        <v>1</v>
      </c>
      <c r="AN6" s="246">
        <f t="shared" si="4"/>
        <v>1</v>
      </c>
      <c r="AO6" s="246">
        <f t="shared" si="4"/>
        <v>1</v>
      </c>
      <c r="AP6" s="246">
        <f>AVERAGE(AD6:AO6)</f>
        <v>1</v>
      </c>
      <c r="AQ6" s="246">
        <f>AP6</f>
        <v>1</v>
      </c>
      <c r="AR6" s="246">
        <f>AQ6</f>
        <v>1</v>
      </c>
      <c r="AS6" s="246">
        <f>AR6</f>
        <v>1</v>
      </c>
      <c r="AT6" s="246">
        <f>AS6</f>
        <v>1</v>
      </c>
      <c r="AU6" s="246">
        <f>AT6</f>
        <v>1</v>
      </c>
      <c r="AV6" s="238"/>
    </row>
    <row r="7" spans="1:48" ht="15" customHeight="1">
      <c r="A7" s="240" t="str">
        <f>Дох!A11</f>
        <v>Обрезанный торец песчаника</v>
      </c>
      <c r="B7" s="127">
        <f>P7+AC7+AP7+AQ7+AR7+AS7+AT7+AU7</f>
        <v>33928.125</v>
      </c>
      <c r="C7" s="304" t="s">
        <v>322</v>
      </c>
      <c r="D7" s="132">
        <f>Исх!$C26*Производство!D$6</f>
        <v>0</v>
      </c>
      <c r="E7" s="132">
        <f>Исх!$C26*Производство!E$6</f>
        <v>0</v>
      </c>
      <c r="F7" s="132">
        <f>Исх!$C26*Производство!F$6</f>
        <v>0</v>
      </c>
      <c r="G7" s="132">
        <f>Исх!$C26*Производство!G$6</f>
        <v>0</v>
      </c>
      <c r="H7" s="132">
        <f>Исх!$C26*Производство!H$6</f>
        <v>0</v>
      </c>
      <c r="I7" s="132">
        <f>Исх!$C27*Производство!I$6</f>
        <v>0</v>
      </c>
      <c r="J7" s="132">
        <f>Исх!$C27*Производство!J$6</f>
        <v>0</v>
      </c>
      <c r="K7" s="132">
        <f>Исх!$C27*Производство!K$6</f>
        <v>0</v>
      </c>
      <c r="L7" s="132">
        <f>Исх!$C27*Производство!L$6</f>
        <v>0</v>
      </c>
      <c r="M7" s="132">
        <f>Исх!$C27*Производство!M$6</f>
        <v>0</v>
      </c>
      <c r="N7" s="132">
        <f>Исх!$C27*Производство!N$6</f>
        <v>0</v>
      </c>
      <c r="O7" s="132">
        <f>Исх!$C27*Производство!O$6</f>
        <v>0</v>
      </c>
      <c r="P7" s="128">
        <f>SUM(D7:O7)</f>
        <v>0</v>
      </c>
      <c r="Q7" s="132">
        <f>Исх!$C$27*Производство!Q$6</f>
        <v>206.25</v>
      </c>
      <c r="R7" s="132">
        <f>Исх!$C$27*Производство!R$6</f>
        <v>206.25</v>
      </c>
      <c r="S7" s="132">
        <f>Исх!$C$27*Производство!S$6</f>
        <v>247.5</v>
      </c>
      <c r="T7" s="132">
        <f>Исх!$C$27*Производство!T$6</f>
        <v>268.125</v>
      </c>
      <c r="U7" s="132">
        <f>Исх!$C$27*Производство!U$6</f>
        <v>412.5</v>
      </c>
      <c r="V7" s="132">
        <f>Исх!$C$27*Производство!V$6</f>
        <v>412.5</v>
      </c>
      <c r="W7" s="132">
        <f>Исх!$C$27*Производство!W$6</f>
        <v>412.5</v>
      </c>
      <c r="X7" s="132">
        <f>Исх!$C$27*Производство!X$6</f>
        <v>412.5</v>
      </c>
      <c r="Y7" s="132">
        <f>Исх!$C$27*Производство!Y$6</f>
        <v>412.5</v>
      </c>
      <c r="Z7" s="132">
        <f>Исх!$C$27*Производство!Z$6</f>
        <v>412.5</v>
      </c>
      <c r="AA7" s="132">
        <f>Исх!$C$27*Производство!AA$6</f>
        <v>412.5</v>
      </c>
      <c r="AB7" s="132">
        <f>Исх!$C$27*Производство!AB$6</f>
        <v>412.5</v>
      </c>
      <c r="AC7" s="128">
        <f>SUM(Q7:AB7)</f>
        <v>4228.125</v>
      </c>
      <c r="AD7" s="132">
        <f>Исх!$C$27*Производство!AD$6</f>
        <v>412.5</v>
      </c>
      <c r="AE7" s="132">
        <f>Исх!$C$27*Производство!AE$6</f>
        <v>412.5</v>
      </c>
      <c r="AF7" s="132">
        <f>Исх!$C$27*Производство!AF$6</f>
        <v>412.5</v>
      </c>
      <c r="AG7" s="132">
        <f>Исх!$C$27*Производство!AG$6</f>
        <v>412.5</v>
      </c>
      <c r="AH7" s="132">
        <f>Исх!$C$27*Производство!AH$6</f>
        <v>412.5</v>
      </c>
      <c r="AI7" s="132">
        <f>Исх!$C$27*Производство!AI$6</f>
        <v>412.5</v>
      </c>
      <c r="AJ7" s="132">
        <f>Исх!$C$27*Производство!AJ$6</f>
        <v>412.5</v>
      </c>
      <c r="AK7" s="132">
        <f>Исх!$C$27*Производство!AK$6</f>
        <v>412.5</v>
      </c>
      <c r="AL7" s="132">
        <f>Исх!$C$27*Производство!AL$6</f>
        <v>412.5</v>
      </c>
      <c r="AM7" s="132">
        <f>Исх!$C$27*Производство!AM$6</f>
        <v>412.5</v>
      </c>
      <c r="AN7" s="132">
        <f>Исх!$C$27*Производство!AN$6</f>
        <v>412.5</v>
      </c>
      <c r="AO7" s="132">
        <f>Исх!$C$27*Производство!AO$6</f>
        <v>412.5</v>
      </c>
      <c r="AP7" s="132">
        <f>SUM(AD7:AO7)</f>
        <v>4950</v>
      </c>
      <c r="AQ7" s="132">
        <f>Исх!$C$27*Производство!AQ$6*12</f>
        <v>4950</v>
      </c>
      <c r="AR7" s="132">
        <f>Исх!$C$27*Производство!AR$6*12</f>
        <v>4950</v>
      </c>
      <c r="AS7" s="132">
        <f>Исх!$C$27*Производство!AS$6*12</f>
        <v>4950</v>
      </c>
      <c r="AT7" s="132">
        <f>Исх!$C$27*Производство!AT$6*12</f>
        <v>4950</v>
      </c>
      <c r="AU7" s="132">
        <f>Исх!$C$27*Производство!AU$6*12</f>
        <v>4950</v>
      </c>
      <c r="AV7" s="238"/>
    </row>
    <row r="8" ht="12.75">
      <c r="C8" s="305"/>
    </row>
    <row r="9" spans="1:48" ht="12.75">
      <c r="A9" s="259" t="s">
        <v>231</v>
      </c>
      <c r="B9" s="127"/>
      <c r="C9" s="306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2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238"/>
    </row>
    <row r="10" spans="1:48" ht="15" customHeight="1">
      <c r="A10" s="240" t="str">
        <f>A7</f>
        <v>Обрезанный торец песчаника</v>
      </c>
      <c r="B10" s="127">
        <f>P10+AC10+AP10+AQ10+AR10+AS10+AT10+AU10</f>
        <v>32871.09375</v>
      </c>
      <c r="C10" s="304" t="str">
        <f>C7</f>
        <v>м2</v>
      </c>
      <c r="D10" s="132"/>
      <c r="E10" s="132"/>
      <c r="F10" s="132"/>
      <c r="G10" s="132"/>
      <c r="H10" s="132"/>
      <c r="I10" s="132"/>
      <c r="J10" s="132">
        <f>J7*Исх!H$43*0.5</f>
        <v>0</v>
      </c>
      <c r="K10" s="132">
        <f>K7*Исх!I$43</f>
        <v>0</v>
      </c>
      <c r="L10" s="132">
        <f>L7*Исх!J$43</f>
        <v>0</v>
      </c>
      <c r="M10" s="132">
        <f>M7*Исх!K$43</f>
        <v>0</v>
      </c>
      <c r="N10" s="132">
        <f>N7*Исх!L$43</f>
        <v>0</v>
      </c>
      <c r="O10" s="132"/>
      <c r="P10" s="128">
        <f>SUM(D10:O10)</f>
        <v>0</v>
      </c>
      <c r="Q10" s="279">
        <f>$AC$7*Исх!B43*0</f>
        <v>0</v>
      </c>
      <c r="R10" s="279">
        <f>$AC$7*Исх!C43*0</f>
        <v>0</v>
      </c>
      <c r="S10" s="279">
        <f>$AC$7*Исх!D43*0.5</f>
        <v>126.84375</v>
      </c>
      <c r="T10" s="279">
        <f>$AC$7*Исх!E43*0.5</f>
        <v>169.125</v>
      </c>
      <c r="U10" s="279">
        <f>$AC$7*Исх!F43*0.5</f>
        <v>253.6875</v>
      </c>
      <c r="V10" s="132">
        <f>$AC$7*Исх!G43</f>
        <v>634.21875</v>
      </c>
      <c r="W10" s="132">
        <f>$AC$7*Исх!H43</f>
        <v>718.78125</v>
      </c>
      <c r="X10" s="279">
        <f>$AC$7*Исх!I43*0.7</f>
        <v>473.54999999999995</v>
      </c>
      <c r="Y10" s="279">
        <f>$AC$7*Исх!J43*0.8</f>
        <v>372.07500000000005</v>
      </c>
      <c r="Z10" s="132">
        <f>$AC$7*Исх!K43</f>
        <v>295.96875</v>
      </c>
      <c r="AA10" s="132">
        <f>$AC$7*Исх!L43</f>
        <v>84.5625</v>
      </c>
      <c r="AB10" s="132">
        <f>$AC$7*Исх!M43</f>
        <v>42.28125</v>
      </c>
      <c r="AC10" s="128">
        <f>SUM(Q10:AB10)</f>
        <v>3171.09375</v>
      </c>
      <c r="AD10" s="132">
        <f>$AP$7*Исх!B43</f>
        <v>49.5</v>
      </c>
      <c r="AE10" s="132">
        <f>$AP$7*Исх!C43</f>
        <v>198</v>
      </c>
      <c r="AF10" s="132">
        <f>$AP$7*Исх!D43</f>
        <v>297</v>
      </c>
      <c r="AG10" s="132">
        <f>$AP$7*Исх!E43</f>
        <v>396</v>
      </c>
      <c r="AH10" s="132">
        <f>$AP$7*Исх!F43</f>
        <v>594</v>
      </c>
      <c r="AI10" s="132">
        <f>$AP$7*Исх!G43</f>
        <v>742.5</v>
      </c>
      <c r="AJ10" s="132">
        <f>$AP$7*Исх!H43</f>
        <v>841.5000000000001</v>
      </c>
      <c r="AK10" s="132">
        <f>$AP$7*Исх!I43</f>
        <v>792</v>
      </c>
      <c r="AL10" s="132">
        <f>$AP$7*Исх!J43</f>
        <v>544.5</v>
      </c>
      <c r="AM10" s="132">
        <f>$AP$7*Исх!K43</f>
        <v>346.50000000000006</v>
      </c>
      <c r="AN10" s="132">
        <f>$AP$7*Исх!L43</f>
        <v>99</v>
      </c>
      <c r="AO10" s="132">
        <f>$AP$7*Исх!M43</f>
        <v>49.5</v>
      </c>
      <c r="AP10" s="128">
        <f>SUM(AD10:AO10)</f>
        <v>4950</v>
      </c>
      <c r="AQ10" s="132">
        <f>AQ7</f>
        <v>4950</v>
      </c>
      <c r="AR10" s="132">
        <f>AR7</f>
        <v>4950</v>
      </c>
      <c r="AS10" s="132">
        <f>AS7</f>
        <v>4950</v>
      </c>
      <c r="AT10" s="132">
        <f>AT7</f>
        <v>4950</v>
      </c>
      <c r="AU10" s="132">
        <f>AU7</f>
        <v>4950</v>
      </c>
      <c r="AV10" s="238"/>
    </row>
    <row r="11" ht="12.75">
      <c r="C11" s="305"/>
    </row>
    <row r="12" spans="1:48" ht="12.75">
      <c r="A12" s="259" t="s">
        <v>232</v>
      </c>
      <c r="B12" s="127"/>
      <c r="C12" s="306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7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2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238"/>
    </row>
    <row r="13" spans="1:48" ht="15" customHeight="1">
      <c r="A13" s="240" t="str">
        <f>A10</f>
        <v>Обрезанный торец песчаника</v>
      </c>
      <c r="B13" s="127">
        <f>AU13</f>
        <v>1057.03125</v>
      </c>
      <c r="C13" s="304" t="str">
        <f>C10</f>
        <v>м2</v>
      </c>
      <c r="D13" s="132"/>
      <c r="E13" s="132">
        <f aca="true" t="shared" si="5" ref="E13:K13">D13+E7-E10</f>
        <v>0</v>
      </c>
      <c r="F13" s="132">
        <f t="shared" si="5"/>
        <v>0</v>
      </c>
      <c r="G13" s="132">
        <f t="shared" si="5"/>
        <v>0</v>
      </c>
      <c r="H13" s="132">
        <f t="shared" si="5"/>
        <v>0</v>
      </c>
      <c r="I13" s="132">
        <f t="shared" si="5"/>
        <v>0</v>
      </c>
      <c r="J13" s="132">
        <f t="shared" si="5"/>
        <v>0</v>
      </c>
      <c r="K13" s="132">
        <f t="shared" si="5"/>
        <v>0</v>
      </c>
      <c r="L13" s="132">
        <f>K13+L7-L10</f>
        <v>0</v>
      </c>
      <c r="M13" s="132">
        <f>L13+M7-M10</f>
        <v>0</v>
      </c>
      <c r="N13" s="132">
        <f>M13+N7-N10</f>
        <v>0</v>
      </c>
      <c r="O13" s="132">
        <f>N13+O7-O10</f>
        <v>0</v>
      </c>
      <c r="P13" s="128">
        <f>O13</f>
        <v>0</v>
      </c>
      <c r="Q13" s="132">
        <f aca="true" t="shared" si="6" ref="Q13:AB13">P13+Q7-Q10</f>
        <v>206.25</v>
      </c>
      <c r="R13" s="132">
        <f t="shared" si="6"/>
        <v>412.5</v>
      </c>
      <c r="S13" s="132">
        <f t="shared" si="6"/>
        <v>533.15625</v>
      </c>
      <c r="T13" s="132">
        <f t="shared" si="6"/>
        <v>632.15625</v>
      </c>
      <c r="U13" s="132">
        <f t="shared" si="6"/>
        <v>790.96875</v>
      </c>
      <c r="V13" s="132">
        <f t="shared" si="6"/>
        <v>569.25</v>
      </c>
      <c r="W13" s="132">
        <f t="shared" si="6"/>
        <v>262.96875</v>
      </c>
      <c r="X13" s="132">
        <f t="shared" si="6"/>
        <v>201.91875000000005</v>
      </c>
      <c r="Y13" s="132">
        <f t="shared" si="6"/>
        <v>242.34375</v>
      </c>
      <c r="Z13" s="132">
        <f t="shared" si="6"/>
        <v>358.875</v>
      </c>
      <c r="AA13" s="132">
        <f t="shared" si="6"/>
        <v>686.8125</v>
      </c>
      <c r="AB13" s="132">
        <f t="shared" si="6"/>
        <v>1057.03125</v>
      </c>
      <c r="AC13" s="128">
        <f>AB13</f>
        <v>1057.03125</v>
      </c>
      <c r="AD13" s="132">
        <f aca="true" t="shared" si="7" ref="AD13:AO13">AC13+AD7-AD10</f>
        <v>1420.03125</v>
      </c>
      <c r="AE13" s="132">
        <f t="shared" si="7"/>
        <v>1634.53125</v>
      </c>
      <c r="AF13" s="132">
        <f t="shared" si="7"/>
        <v>1750.03125</v>
      </c>
      <c r="AG13" s="132">
        <f t="shared" si="7"/>
        <v>1766.53125</v>
      </c>
      <c r="AH13" s="132">
        <f t="shared" si="7"/>
        <v>1585.03125</v>
      </c>
      <c r="AI13" s="132">
        <f t="shared" si="7"/>
        <v>1255.03125</v>
      </c>
      <c r="AJ13" s="132">
        <f t="shared" si="7"/>
        <v>826.0312499999999</v>
      </c>
      <c r="AK13" s="132">
        <f t="shared" si="7"/>
        <v>446.53125</v>
      </c>
      <c r="AL13" s="132">
        <f t="shared" si="7"/>
        <v>314.53125</v>
      </c>
      <c r="AM13" s="132">
        <f t="shared" si="7"/>
        <v>380.53124999999994</v>
      </c>
      <c r="AN13" s="132">
        <f t="shared" si="7"/>
        <v>694.03125</v>
      </c>
      <c r="AO13" s="132">
        <f t="shared" si="7"/>
        <v>1057.03125</v>
      </c>
      <c r="AP13" s="132">
        <f>AO13</f>
        <v>1057.03125</v>
      </c>
      <c r="AQ13" s="132">
        <f>AP13+AQ7-AQ10</f>
        <v>1057.03125</v>
      </c>
      <c r="AR13" s="132">
        <f>AQ13+AR7-AR10</f>
        <v>1057.03125</v>
      </c>
      <c r="AS13" s="132">
        <f>AR13+AS7-AS10</f>
        <v>1057.03125</v>
      </c>
      <c r="AT13" s="132">
        <f>AS13+AT7-AT10</f>
        <v>1057.03125</v>
      </c>
      <c r="AU13" s="132">
        <f>AT13+AU7-AU10</f>
        <v>1057.03125</v>
      </c>
      <c r="AV13" s="238"/>
    </row>
    <row r="15" spans="1:13" ht="12.75">
      <c r="A15" s="262" t="s">
        <v>233</v>
      </c>
      <c r="B15" s="260">
        <f>B7-B10-B13</f>
        <v>0</v>
      </c>
      <c r="M15" s="298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8.875" defaultRowHeight="12.75"/>
  <cols>
    <col min="1" max="1" width="50.625" style="78" customWidth="1"/>
    <col min="2" max="2" width="8.125" style="78" customWidth="1"/>
    <col min="3" max="3" width="9.375" style="78" customWidth="1"/>
    <col min="4" max="4" width="16.00390625" style="78" customWidth="1"/>
    <col min="5" max="5" width="14.625" style="78" bestFit="1" customWidth="1"/>
    <col min="6" max="6" width="17.375" style="78" hidden="1" customWidth="1"/>
    <col min="7" max="7" width="18.125" style="78" hidden="1" customWidth="1"/>
    <col min="8" max="8" width="10.75390625" style="78" customWidth="1"/>
    <col min="9" max="9" width="12.625" style="78" customWidth="1"/>
    <col min="10" max="10" width="11.625" style="78" customWidth="1"/>
    <col min="11" max="16384" width="8.875" style="78" customWidth="1"/>
  </cols>
  <sheetData>
    <row r="1" spans="1:6" ht="12.75">
      <c r="A1" s="62" t="s">
        <v>195</v>
      </c>
      <c r="B1" s="62"/>
      <c r="D1" s="62"/>
      <c r="F1" s="62"/>
    </row>
    <row r="2" spans="1:6" ht="12.75">
      <c r="A2" s="62"/>
      <c r="D2" s="62"/>
      <c r="F2" s="62"/>
    </row>
    <row r="3" spans="1:5" ht="12.75">
      <c r="A3" s="303" t="s">
        <v>43</v>
      </c>
      <c r="D3" s="358"/>
      <c r="E3" s="358"/>
    </row>
    <row r="4" spans="1:7" ht="12.75">
      <c r="A4" s="347" t="s">
        <v>203</v>
      </c>
      <c r="B4" s="350" t="s">
        <v>192</v>
      </c>
      <c r="C4" s="350" t="s">
        <v>229</v>
      </c>
      <c r="D4" s="356" t="str">
        <f>Дох!A5</f>
        <v>Обрезанный торец песчаника</v>
      </c>
      <c r="E4" s="357"/>
      <c r="F4" s="356"/>
      <c r="G4" s="357"/>
    </row>
    <row r="5" spans="1:7" ht="25.5">
      <c r="A5" s="348"/>
      <c r="B5" s="351"/>
      <c r="C5" s="351"/>
      <c r="D5" s="254" t="s">
        <v>327</v>
      </c>
      <c r="E5" s="254" t="s">
        <v>328</v>
      </c>
      <c r="F5" s="254"/>
      <c r="G5" s="254"/>
    </row>
    <row r="6" spans="1:7" ht="12.75">
      <c r="A6" s="81" t="str">
        <f>Исх!A30</f>
        <v>Песчаник необработанный</v>
      </c>
      <c r="B6" s="236" t="s">
        <v>255</v>
      </c>
      <c r="C6" s="146">
        <f>Исх!C30/Исх!$C$19</f>
        <v>564.9</v>
      </c>
      <c r="D6" s="257">
        <f>Исх!C33</f>
        <v>1.6</v>
      </c>
      <c r="E6" s="146">
        <f>D6*$C6</f>
        <v>903.84</v>
      </c>
      <c r="F6" s="257"/>
      <c r="G6" s="146"/>
    </row>
    <row r="7" spans="1:7" ht="12.75">
      <c r="A7" s="81" t="s">
        <v>326</v>
      </c>
      <c r="B7" s="236" t="s">
        <v>255</v>
      </c>
      <c r="C7" s="146">
        <f>Исх!C29</f>
        <v>2485.56</v>
      </c>
      <c r="D7" s="257">
        <f>Исх!C34</f>
        <v>0.3</v>
      </c>
      <c r="E7" s="146">
        <f>D7*$C7</f>
        <v>745.668</v>
      </c>
      <c r="F7" s="257"/>
      <c r="G7" s="146"/>
    </row>
    <row r="8" spans="1:8" ht="12.75">
      <c r="A8" s="156" t="s">
        <v>0</v>
      </c>
      <c r="B8" s="255"/>
      <c r="C8" s="250"/>
      <c r="D8" s="256"/>
      <c r="E8" s="245">
        <f>SUM(E6:E7)</f>
        <v>1649.508</v>
      </c>
      <c r="F8" s="256"/>
      <c r="G8" s="245">
        <f>SUM(G6:G7)</f>
        <v>0</v>
      </c>
      <c r="H8" s="148"/>
    </row>
    <row r="9" spans="1:7" s="148" customFormat="1" ht="12.75">
      <c r="A9" s="148" t="s">
        <v>237</v>
      </c>
      <c r="E9" s="264">
        <f>('2-ф2'!$B$11+'2-ф2'!$B$12+'2-ф2'!$B$13)*'Расх перем'!E10</f>
        <v>15379.980115359851</v>
      </c>
      <c r="G9" s="264"/>
    </row>
    <row r="10" spans="1:7" s="148" customFormat="1" ht="12.75">
      <c r="A10" s="148" t="s">
        <v>234</v>
      </c>
      <c r="E10" s="263">
        <f>'2-ф2'!$B$6/'2-ф2'!$B$5</f>
        <v>1</v>
      </c>
      <c r="F10" s="263"/>
      <c r="G10" s="263"/>
    </row>
    <row r="11" spans="1:7" s="148" customFormat="1" ht="12.75">
      <c r="A11" s="148" t="s">
        <v>236</v>
      </c>
      <c r="E11" s="264">
        <f>E9/Производство!$B$10*1000</f>
        <v>467.8876897839717</v>
      </c>
      <c r="G11" s="264"/>
    </row>
    <row r="12" spans="1:7" s="148" customFormat="1" ht="12.75">
      <c r="A12" s="265" t="s">
        <v>235</v>
      </c>
      <c r="B12" s="266"/>
      <c r="C12" s="266"/>
      <c r="D12" s="266"/>
      <c r="E12" s="267">
        <f>E8+E11</f>
        <v>2117.3956897839716</v>
      </c>
      <c r="F12" s="266"/>
      <c r="G12" s="267"/>
    </row>
    <row r="13" s="148" customFormat="1" ht="12.75"/>
  </sheetData>
  <sheetProtection/>
  <mergeCells count="6">
    <mergeCell ref="D4:E4"/>
    <mergeCell ref="A4:A5"/>
    <mergeCell ref="B4:B5"/>
    <mergeCell ref="C4:C5"/>
    <mergeCell ref="F4:G4"/>
    <mergeCell ref="D3:E3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29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G33" sqref="G33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8" width="11.625" style="78" customWidth="1"/>
    <col min="9" max="9" width="11.625" style="78" hidden="1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3" ht="16.5" customHeight="1">
      <c r="A2" s="62" t="s">
        <v>142</v>
      </c>
      <c r="D2" s="166"/>
      <c r="E2" s="166"/>
      <c r="F2" s="166"/>
      <c r="G2" s="166"/>
      <c r="H2" s="166"/>
      <c r="I2" s="166"/>
      <c r="J2" s="166"/>
      <c r="K2" s="147" t="str">
        <f>Исх!C10</f>
        <v>тыс.тг.</v>
      </c>
      <c r="M2" s="248">
        <f>'1-Ф3'!$B$2</f>
        <v>-5.684341886080801E-13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19" t="s">
        <v>38</v>
      </c>
      <c r="D4" s="152" t="s">
        <v>96</v>
      </c>
      <c r="E4" s="152" t="s">
        <v>97</v>
      </c>
      <c r="F4" s="152" t="s">
        <v>47</v>
      </c>
      <c r="G4" s="152" t="s">
        <v>336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95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331</v>
      </c>
      <c r="C6" s="309">
        <v>1</v>
      </c>
      <c r="D6" s="145">
        <v>20</v>
      </c>
      <c r="E6" s="154">
        <f>C6*D6</f>
        <v>20</v>
      </c>
      <c r="F6" s="154">
        <f>E6*$C$23</f>
        <v>2</v>
      </c>
      <c r="G6" s="154">
        <f>(E6-$C$27-F6)*$C$25</f>
        <v>-0.06600000000000002</v>
      </c>
      <c r="H6" s="154">
        <f>(E6-F6)*$C$24</f>
        <v>0.9</v>
      </c>
      <c r="I6" s="154">
        <f>(E6-F6)*$C$26-H6</f>
        <v>-0.9</v>
      </c>
      <c r="J6" s="154">
        <f>E6-F6-G6</f>
        <v>18.066</v>
      </c>
      <c r="K6" s="155">
        <f>SUM(F6:J6)</f>
        <v>20</v>
      </c>
    </row>
    <row r="7" spans="1:11" s="62" customFormat="1" ht="12.75">
      <c r="A7" s="156"/>
      <c r="B7" s="156" t="s">
        <v>0</v>
      </c>
      <c r="C7" s="31">
        <f aca="true" t="shared" si="0" ref="C7:K7">SUM(C6:C6)</f>
        <v>1</v>
      </c>
      <c r="D7" s="31">
        <f t="shared" si="0"/>
        <v>20</v>
      </c>
      <c r="E7" s="31">
        <f t="shared" si="0"/>
        <v>20</v>
      </c>
      <c r="F7" s="31">
        <f t="shared" si="0"/>
        <v>2</v>
      </c>
      <c r="G7" s="31">
        <f t="shared" si="0"/>
        <v>-0.06600000000000002</v>
      </c>
      <c r="H7" s="31">
        <f t="shared" si="0"/>
        <v>0.9</v>
      </c>
      <c r="I7" s="31">
        <f t="shared" si="0"/>
        <v>-0.9</v>
      </c>
      <c r="J7" s="31">
        <f t="shared" si="0"/>
        <v>18.066</v>
      </c>
      <c r="K7" s="31">
        <f t="shared" si="0"/>
        <v>20</v>
      </c>
    </row>
    <row r="8" spans="1:12" s="62" customFormat="1" ht="12.75">
      <c r="A8" s="143"/>
      <c r="B8" s="143" t="s">
        <v>333</v>
      </c>
      <c r="C8" s="143"/>
      <c r="D8" s="144"/>
      <c r="E8" s="144"/>
      <c r="F8" s="144"/>
      <c r="G8" s="144"/>
      <c r="H8" s="144"/>
      <c r="I8" s="144"/>
      <c r="J8" s="144"/>
      <c r="K8" s="144"/>
      <c r="L8" s="78"/>
    </row>
    <row r="9" spans="1:12" ht="12.75">
      <c r="A9" s="81">
        <v>1</v>
      </c>
      <c r="B9" s="81" t="s">
        <v>329</v>
      </c>
      <c r="C9" s="145">
        <v>3</v>
      </c>
      <c r="D9" s="145"/>
      <c r="E9" s="154">
        <f>C9*D9</f>
        <v>0</v>
      </c>
      <c r="F9" s="154">
        <f>E9*$C$23</f>
        <v>0</v>
      </c>
      <c r="G9" s="154">
        <f>(E9-$C$27-F9)*$C$25*0</f>
        <v>0</v>
      </c>
      <c r="H9" s="154">
        <f>(E9-F9)*$C$24</f>
        <v>0</v>
      </c>
      <c r="I9" s="154">
        <f>(E9-F9)*$C$26-H9</f>
        <v>0</v>
      </c>
      <c r="J9" s="154">
        <f>E9-F9-G9</f>
        <v>0</v>
      </c>
      <c r="K9" s="155">
        <f>SUM(F9:J9)</f>
        <v>0</v>
      </c>
      <c r="L9" s="78" t="s">
        <v>330</v>
      </c>
    </row>
    <row r="10" spans="1:11" s="62" customFormat="1" ht="12.75">
      <c r="A10" s="156"/>
      <c r="B10" s="157" t="s">
        <v>0</v>
      </c>
      <c r="C10" s="274">
        <f aca="true" t="shared" si="1" ref="C10:K10">SUM(C8:C9)</f>
        <v>3</v>
      </c>
      <c r="D10" s="155">
        <f t="shared" si="1"/>
        <v>0</v>
      </c>
      <c r="E10" s="155">
        <f t="shared" si="1"/>
        <v>0</v>
      </c>
      <c r="F10" s="155">
        <f t="shared" si="1"/>
        <v>0</v>
      </c>
      <c r="G10" s="155">
        <f t="shared" si="1"/>
        <v>0</v>
      </c>
      <c r="H10" s="155">
        <f t="shared" si="1"/>
        <v>0</v>
      </c>
      <c r="I10" s="155">
        <f t="shared" si="1"/>
        <v>0</v>
      </c>
      <c r="J10" s="155">
        <f t="shared" si="1"/>
        <v>0</v>
      </c>
      <c r="K10" s="155">
        <f t="shared" si="1"/>
        <v>0</v>
      </c>
    </row>
    <row r="11" spans="1:11" s="62" customFormat="1" ht="12.75" hidden="1">
      <c r="A11" s="143"/>
      <c r="B11" s="143" t="s">
        <v>296</v>
      </c>
      <c r="C11" s="143"/>
      <c r="D11" s="144"/>
      <c r="E11" s="144"/>
      <c r="F11" s="144"/>
      <c r="G11" s="144"/>
      <c r="H11" s="144"/>
      <c r="I11" s="144"/>
      <c r="J11" s="144"/>
      <c r="K11" s="144"/>
    </row>
    <row r="12" spans="1:11" ht="12.75" hidden="1">
      <c r="A12" s="81"/>
      <c r="B12" s="81"/>
      <c r="C12" s="81"/>
      <c r="D12" s="145"/>
      <c r="E12" s="154">
        <f>C12*D12</f>
        <v>0</v>
      </c>
      <c r="F12" s="154">
        <f>E12*$C$23</f>
        <v>0</v>
      </c>
      <c r="G12" s="154">
        <f>(E12-$C$27-F12)*$C$25*0</f>
        <v>0</v>
      </c>
      <c r="H12" s="154">
        <f>(E12-F12)*$C$24</f>
        <v>0</v>
      </c>
      <c r="I12" s="154">
        <f>(E12-F12)*$C$26-H12</f>
        <v>0</v>
      </c>
      <c r="J12" s="154">
        <f>E12-F12-G12</f>
        <v>0</v>
      </c>
      <c r="K12" s="155">
        <f>SUM(F12:J12)</f>
        <v>0</v>
      </c>
    </row>
    <row r="13" spans="1:11" ht="12.75" hidden="1">
      <c r="A13" s="81">
        <v>2</v>
      </c>
      <c r="B13" s="81"/>
      <c r="C13" s="81"/>
      <c r="D13" s="145"/>
      <c r="E13" s="154">
        <f>C13*D13</f>
        <v>0</v>
      </c>
      <c r="F13" s="154">
        <f>E13*$C$23</f>
        <v>0</v>
      </c>
      <c r="G13" s="154">
        <f>(E13-$C$27-F13)*$C$25*0</f>
        <v>0</v>
      </c>
      <c r="H13" s="154">
        <f>(E13-F13)*$C$24</f>
        <v>0</v>
      </c>
      <c r="I13" s="154">
        <f>(E13-F13)*$C$26-H13</f>
        <v>0</v>
      </c>
      <c r="J13" s="154">
        <f>E13-F13-G13</f>
        <v>0</v>
      </c>
      <c r="K13" s="155">
        <f>SUM(F13:J13)</f>
        <v>0</v>
      </c>
    </row>
    <row r="14" spans="1:11" ht="12.75" hidden="1">
      <c r="A14" s="81">
        <v>3</v>
      </c>
      <c r="B14" s="81"/>
      <c r="C14" s="81"/>
      <c r="D14" s="145"/>
      <c r="E14" s="154">
        <f>C14*D14</f>
        <v>0</v>
      </c>
      <c r="F14" s="154">
        <f>E14*$C$23</f>
        <v>0</v>
      </c>
      <c r="G14" s="154">
        <f>(E14-$C$27-F14)*$C$25*0</f>
        <v>0</v>
      </c>
      <c r="H14" s="154">
        <f>(E14-F14)*$C$24</f>
        <v>0</v>
      </c>
      <c r="I14" s="154">
        <f>(E14-F14)*$C$26-H14</f>
        <v>0</v>
      </c>
      <c r="J14" s="154">
        <f>E14-F14-G14</f>
        <v>0</v>
      </c>
      <c r="K14" s="155">
        <f>SUM(F14:J14)</f>
        <v>0</v>
      </c>
    </row>
    <row r="15" spans="1:11" s="62" customFormat="1" ht="12.75" hidden="1">
      <c r="A15" s="156"/>
      <c r="B15" s="157" t="s">
        <v>0</v>
      </c>
      <c r="C15" s="156">
        <f aca="true" t="shared" si="2" ref="C15:K15">SUM(C12:C14)</f>
        <v>0</v>
      </c>
      <c r="D15" s="155">
        <f t="shared" si="2"/>
        <v>0</v>
      </c>
      <c r="E15" s="155">
        <f t="shared" si="2"/>
        <v>0</v>
      </c>
      <c r="F15" s="155">
        <f t="shared" si="2"/>
        <v>0</v>
      </c>
      <c r="G15" s="155">
        <f t="shared" si="2"/>
        <v>0</v>
      </c>
      <c r="H15" s="155">
        <f t="shared" si="2"/>
        <v>0</v>
      </c>
      <c r="I15" s="155">
        <f t="shared" si="2"/>
        <v>0</v>
      </c>
      <c r="J15" s="155">
        <f t="shared" si="2"/>
        <v>0</v>
      </c>
      <c r="K15" s="155">
        <f t="shared" si="2"/>
        <v>0</v>
      </c>
    </row>
    <row r="16" spans="1:11" s="62" customFormat="1" ht="12.75">
      <c r="A16" s="143"/>
      <c r="B16" s="143" t="s">
        <v>106</v>
      </c>
      <c r="C16" s="143"/>
      <c r="D16" s="144"/>
      <c r="E16" s="144"/>
      <c r="F16" s="144"/>
      <c r="G16" s="144"/>
      <c r="H16" s="144"/>
      <c r="I16" s="144"/>
      <c r="J16" s="144"/>
      <c r="K16" s="144"/>
    </row>
    <row r="17" spans="1:13" ht="12.75">
      <c r="A17" s="81">
        <v>1</v>
      </c>
      <c r="B17" s="81" t="s">
        <v>241</v>
      </c>
      <c r="C17" s="309">
        <v>1</v>
      </c>
      <c r="D17" s="145">
        <v>60</v>
      </c>
      <c r="E17" s="154">
        <f>C17*D17</f>
        <v>60</v>
      </c>
      <c r="F17" s="154">
        <f>E17*$C$23</f>
        <v>6</v>
      </c>
      <c r="G17" s="154">
        <f>(E17-$C$27-F17)*$C$25</f>
        <v>3.5340000000000007</v>
      </c>
      <c r="H17" s="154">
        <f>(E17-F17)*$C$24</f>
        <v>2.7</v>
      </c>
      <c r="I17" s="154">
        <f>(E17-F17)*$C$26-H17</f>
        <v>-2.7</v>
      </c>
      <c r="J17" s="154">
        <f>E17-F17-G17</f>
        <v>50.466</v>
      </c>
      <c r="K17" s="155">
        <f>SUM(F17:J17)</f>
        <v>60</v>
      </c>
      <c r="M17" s="158"/>
    </row>
    <row r="18" spans="1:11" ht="12.75" hidden="1">
      <c r="A18" s="81"/>
      <c r="B18" s="81"/>
      <c r="C18" s="81"/>
      <c r="D18" s="145"/>
      <c r="E18" s="154">
        <f>C18*D18</f>
        <v>0</v>
      </c>
      <c r="F18" s="154">
        <f>E18*$C$23</f>
        <v>0</v>
      </c>
      <c r="G18" s="154">
        <f>(E18-$C$27-F18)*$C$25</f>
        <v>-1.866</v>
      </c>
      <c r="H18" s="154">
        <f>(E18-F18)*$C$24</f>
        <v>0</v>
      </c>
      <c r="I18" s="154">
        <f>(E18-F18)*$C$26-H18</f>
        <v>0</v>
      </c>
      <c r="J18" s="154">
        <f>E18-F18-G18</f>
        <v>1.866</v>
      </c>
      <c r="K18" s="155">
        <f>SUM(F18:J18)</f>
        <v>0</v>
      </c>
    </row>
    <row r="19" spans="1:11" s="62" customFormat="1" ht="12.75">
      <c r="A19" s="156"/>
      <c r="B19" s="157" t="s">
        <v>0</v>
      </c>
      <c r="C19" s="156">
        <f aca="true" t="shared" si="3" ref="C19:K19">SUM(C17:C18)</f>
        <v>1</v>
      </c>
      <c r="D19" s="155">
        <f t="shared" si="3"/>
        <v>60</v>
      </c>
      <c r="E19" s="155">
        <f t="shared" si="3"/>
        <v>60</v>
      </c>
      <c r="F19" s="155">
        <f t="shared" si="3"/>
        <v>6</v>
      </c>
      <c r="G19" s="155">
        <f t="shared" si="3"/>
        <v>1.6680000000000006</v>
      </c>
      <c r="H19" s="155">
        <f t="shared" si="3"/>
        <v>2.7</v>
      </c>
      <c r="I19" s="155">
        <f t="shared" si="3"/>
        <v>-2.7</v>
      </c>
      <c r="J19" s="155">
        <f t="shared" si="3"/>
        <v>52.332</v>
      </c>
      <c r="K19" s="155">
        <f t="shared" si="3"/>
        <v>60</v>
      </c>
    </row>
    <row r="20" spans="1:11" ht="12.75">
      <c r="A20" s="81"/>
      <c r="B20" s="81"/>
      <c r="C20" s="81"/>
      <c r="D20" s="154"/>
      <c r="E20" s="154"/>
      <c r="F20" s="154"/>
      <c r="G20" s="154"/>
      <c r="H20" s="154"/>
      <c r="I20" s="154"/>
      <c r="J20" s="154"/>
      <c r="K20" s="154"/>
    </row>
    <row r="21" spans="1:13" s="62" customFormat="1" ht="12.75">
      <c r="A21" s="156"/>
      <c r="B21" s="156" t="s">
        <v>107</v>
      </c>
      <c r="C21" s="155">
        <f aca="true" t="shared" si="4" ref="C21:K21">C7+C10+C15+C19</f>
        <v>5</v>
      </c>
      <c r="D21" s="155">
        <f t="shared" si="4"/>
        <v>80</v>
      </c>
      <c r="E21" s="155">
        <f t="shared" si="4"/>
        <v>80</v>
      </c>
      <c r="F21" s="155">
        <f t="shared" si="4"/>
        <v>8</v>
      </c>
      <c r="G21" s="155">
        <f t="shared" si="4"/>
        <v>1.6020000000000005</v>
      </c>
      <c r="H21" s="155">
        <f t="shared" si="4"/>
        <v>3.6</v>
      </c>
      <c r="I21" s="155">
        <f t="shared" si="4"/>
        <v>-3.6</v>
      </c>
      <c r="J21" s="155">
        <f t="shared" si="4"/>
        <v>70.398</v>
      </c>
      <c r="K21" s="159">
        <f t="shared" si="4"/>
        <v>80</v>
      </c>
      <c r="M21" s="248"/>
    </row>
    <row r="23" spans="2:10" ht="12.75" hidden="1">
      <c r="B23" s="81" t="s">
        <v>47</v>
      </c>
      <c r="C23" s="160">
        <f>Исх!C12</f>
        <v>0.1</v>
      </c>
      <c r="D23" s="161"/>
      <c r="E23" s="161"/>
      <c r="F23" s="161"/>
      <c r="G23" s="359"/>
      <c r="H23" s="359"/>
      <c r="I23" s="359"/>
      <c r="J23" s="359"/>
    </row>
    <row r="24" spans="2:10" ht="12.75" hidden="1">
      <c r="B24" s="81" t="s">
        <v>52</v>
      </c>
      <c r="C24" s="160">
        <f>Исх!C13</f>
        <v>0.05</v>
      </c>
      <c r="D24" s="161"/>
      <c r="E24" s="161"/>
      <c r="F24" s="161"/>
      <c r="G24" s="161"/>
      <c r="H24" s="161"/>
      <c r="I24" s="162"/>
      <c r="J24" s="163"/>
    </row>
    <row r="25" spans="2:10" ht="12.75" hidden="1">
      <c r="B25" s="81" t="s">
        <v>48</v>
      </c>
      <c r="C25" s="160">
        <f>Исх!C14</f>
        <v>0.1</v>
      </c>
      <c r="D25" s="161"/>
      <c r="E25" s="161"/>
      <c r="F25" s="161"/>
      <c r="G25" s="161"/>
      <c r="H25" s="161"/>
      <c r="I25" s="162"/>
      <c r="J25" s="163"/>
    </row>
    <row r="26" spans="2:10" ht="12.75" hidden="1">
      <c r="B26" s="81" t="s">
        <v>50</v>
      </c>
      <c r="C26" s="160">
        <f>Исх!C15</f>
        <v>0</v>
      </c>
      <c r="D26" s="164"/>
      <c r="E26" s="164"/>
      <c r="F26" s="161"/>
      <c r="G26" s="161"/>
      <c r="H26" s="161"/>
      <c r="I26" s="162"/>
      <c r="J26" s="163"/>
    </row>
    <row r="27" spans="2:3" ht="12.75" hidden="1">
      <c r="B27" s="81" t="s">
        <v>111</v>
      </c>
      <c r="C27" s="165">
        <f>Исх!C16</f>
        <v>18.66</v>
      </c>
    </row>
    <row r="28" spans="7:10" ht="12.75">
      <c r="G28" s="161"/>
      <c r="H28" s="161"/>
      <c r="I28" s="162"/>
      <c r="J28" s="163"/>
    </row>
    <row r="29" ht="12.75">
      <c r="C29" s="201"/>
    </row>
  </sheetData>
  <sheetProtection/>
  <mergeCells count="1">
    <mergeCell ref="G23:J23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X48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C13" sqref="C13"/>
    </sheetView>
  </sheetViews>
  <sheetFormatPr defaultColWidth="8.875" defaultRowHeight="12.75" outlineLevelRow="1"/>
  <cols>
    <col min="1" max="1" width="33.625" style="78" customWidth="1"/>
    <col min="2" max="2" width="5.125" style="78" customWidth="1"/>
    <col min="3" max="3" width="9.125" style="78" customWidth="1"/>
    <col min="4" max="9" width="7.625" style="78" bestFit="1" customWidth="1"/>
    <col min="10" max="10" width="7.25390625" style="78" customWidth="1"/>
    <col min="11" max="11" width="34.00390625" style="78" customWidth="1"/>
    <col min="12" max="12" width="8.75390625" style="78" customWidth="1"/>
    <col min="13" max="13" width="36.625" style="78" customWidth="1"/>
    <col min="14" max="14" width="5.25390625" style="78" bestFit="1" customWidth="1"/>
    <col min="15" max="22" width="8.25390625" style="78" customWidth="1"/>
    <col min="23" max="16384" width="8.875" style="78" customWidth="1"/>
  </cols>
  <sheetData>
    <row r="1" spans="1:23" ht="12.75">
      <c r="A1" s="62" t="s">
        <v>146</v>
      </c>
      <c r="M1" s="62" t="s">
        <v>253</v>
      </c>
      <c r="W1" s="62"/>
    </row>
    <row r="2" spans="1:23" ht="12.75">
      <c r="A2" s="62"/>
      <c r="B2" s="62"/>
      <c r="C2" s="78" t="s">
        <v>282</v>
      </c>
      <c r="E2" s="296">
        <v>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3:20" ht="12.75">
      <c r="C3" s="140"/>
      <c r="D3" s="140"/>
      <c r="E3" s="140"/>
      <c r="F3" s="140"/>
      <c r="G3" s="140"/>
      <c r="H3" s="140"/>
      <c r="J3" s="147" t="str">
        <f>Исх!C10</f>
        <v>тыс.тг.</v>
      </c>
      <c r="O3" s="140"/>
      <c r="P3" s="140"/>
      <c r="Q3" s="140"/>
      <c r="R3" s="140"/>
      <c r="S3" s="140"/>
      <c r="T3" s="140"/>
    </row>
    <row r="4" spans="1:23" ht="12.75">
      <c r="A4" s="217" t="s">
        <v>44</v>
      </c>
      <c r="B4" s="233"/>
      <c r="C4" s="233" t="s">
        <v>8</v>
      </c>
      <c r="D4" s="233">
        <v>2014</v>
      </c>
      <c r="E4" s="233">
        <f aca="true" t="shared" si="0" ref="E4:J4">D4+1</f>
        <v>2015</v>
      </c>
      <c r="F4" s="233">
        <f t="shared" si="0"/>
        <v>2016</v>
      </c>
      <c r="G4" s="233">
        <f t="shared" si="0"/>
        <v>2017</v>
      </c>
      <c r="H4" s="233">
        <f t="shared" si="0"/>
        <v>2018</v>
      </c>
      <c r="I4" s="233">
        <f t="shared" si="0"/>
        <v>2019</v>
      </c>
      <c r="J4" s="233">
        <f t="shared" si="0"/>
        <v>2020</v>
      </c>
      <c r="K4" s="233" t="s">
        <v>206</v>
      </c>
      <c r="M4" s="217" t="str">
        <f aca="true" t="shared" si="1" ref="M4:M14">A4</f>
        <v>Затраты</v>
      </c>
      <c r="N4" s="233"/>
      <c r="O4" s="233" t="str">
        <f aca="true" t="shared" si="2" ref="O4:V4">C4</f>
        <v>Значение</v>
      </c>
      <c r="P4" s="233">
        <f t="shared" si="2"/>
        <v>2014</v>
      </c>
      <c r="Q4" s="233">
        <f t="shared" si="2"/>
        <v>2015</v>
      </c>
      <c r="R4" s="233">
        <f t="shared" si="2"/>
        <v>2016</v>
      </c>
      <c r="S4" s="233">
        <f t="shared" si="2"/>
        <v>2017</v>
      </c>
      <c r="T4" s="233">
        <f t="shared" si="2"/>
        <v>2018</v>
      </c>
      <c r="U4" s="233">
        <f t="shared" si="2"/>
        <v>2019</v>
      </c>
      <c r="V4" s="233">
        <f t="shared" si="2"/>
        <v>2020</v>
      </c>
      <c r="W4" s="248"/>
    </row>
    <row r="5" spans="1:22" ht="12.75">
      <c r="A5" s="81" t="s">
        <v>45</v>
      </c>
      <c r="B5" s="146"/>
      <c r="C5" s="154">
        <f>ФОТ!$K$21</f>
        <v>80</v>
      </c>
      <c r="D5" s="154">
        <f>ФОТ!$K$21</f>
        <v>80</v>
      </c>
      <c r="E5" s="154">
        <f aca="true" t="shared" si="3" ref="E5:E13">D5+D5*$E$2</f>
        <v>80</v>
      </c>
      <c r="F5" s="154">
        <f>E5+E5*$E$2</f>
        <v>80</v>
      </c>
      <c r="G5" s="154">
        <f>F5+F5*$E$2</f>
        <v>80</v>
      </c>
      <c r="H5" s="154">
        <f>G5+G5*$E$2</f>
        <v>80</v>
      </c>
      <c r="I5" s="154">
        <f>H5+H5*$E$2</f>
        <v>80</v>
      </c>
      <c r="J5" s="154">
        <f>I5+I5*$E$2</f>
        <v>80</v>
      </c>
      <c r="K5" s="154"/>
      <c r="M5" s="81" t="str">
        <f t="shared" si="1"/>
        <v>ФОТ</v>
      </c>
      <c r="N5" s="146"/>
      <c r="O5" s="154">
        <f aca="true" t="shared" si="4" ref="O5:O13">C5*12</f>
        <v>960</v>
      </c>
      <c r="P5" s="154">
        <f aca="true" t="shared" si="5" ref="P5:P13">D5*12</f>
        <v>960</v>
      </c>
      <c r="Q5" s="154">
        <f aca="true" t="shared" si="6" ref="Q5:Q13">E5*12</f>
        <v>960</v>
      </c>
      <c r="R5" s="154">
        <f aca="true" t="shared" si="7" ref="R5:R13">F5*12</f>
        <v>960</v>
      </c>
      <c r="S5" s="154">
        <f aca="true" t="shared" si="8" ref="S5:S13">G5*12</f>
        <v>960</v>
      </c>
      <c r="T5" s="154">
        <f aca="true" t="shared" si="9" ref="T5:T13">H5*12</f>
        <v>960</v>
      </c>
      <c r="U5" s="154">
        <f aca="true" t="shared" si="10" ref="U5:U13">I5*12</f>
        <v>960</v>
      </c>
      <c r="V5" s="154">
        <f aca="true" t="shared" si="11" ref="V5:V13">J5*12</f>
        <v>960</v>
      </c>
    </row>
    <row r="6" spans="1:22" ht="12.75">
      <c r="A6" s="167" t="s">
        <v>257</v>
      </c>
      <c r="B6" s="232"/>
      <c r="C6" s="145">
        <v>5</v>
      </c>
      <c r="D6" s="154">
        <f aca="true" t="shared" si="12" ref="D6:D13">C6</f>
        <v>5</v>
      </c>
      <c r="E6" s="154">
        <f aca="true" t="shared" si="13" ref="E6:J6">D6</f>
        <v>5</v>
      </c>
      <c r="F6" s="154">
        <f t="shared" si="13"/>
        <v>5</v>
      </c>
      <c r="G6" s="154">
        <f t="shared" si="13"/>
        <v>5</v>
      </c>
      <c r="H6" s="154">
        <f t="shared" si="13"/>
        <v>5</v>
      </c>
      <c r="I6" s="154">
        <f t="shared" si="13"/>
        <v>5</v>
      </c>
      <c r="J6" s="154">
        <f t="shared" si="13"/>
        <v>5</v>
      </c>
      <c r="K6" s="289"/>
      <c r="M6" s="81" t="str">
        <f t="shared" si="1"/>
        <v>Электроэнергия</v>
      </c>
      <c r="N6" s="232"/>
      <c r="O6" s="154">
        <f t="shared" si="4"/>
        <v>60</v>
      </c>
      <c r="P6" s="154">
        <f t="shared" si="5"/>
        <v>60</v>
      </c>
      <c r="Q6" s="154">
        <f t="shared" si="6"/>
        <v>60</v>
      </c>
      <c r="R6" s="154">
        <f t="shared" si="7"/>
        <v>60</v>
      </c>
      <c r="S6" s="154">
        <f t="shared" si="8"/>
        <v>60</v>
      </c>
      <c r="T6" s="154">
        <f t="shared" si="9"/>
        <v>60</v>
      </c>
      <c r="U6" s="154">
        <f t="shared" si="10"/>
        <v>60</v>
      </c>
      <c r="V6" s="154">
        <f t="shared" si="11"/>
        <v>60</v>
      </c>
    </row>
    <row r="7" spans="1:22" ht="12.75">
      <c r="A7" s="167" t="s">
        <v>211</v>
      </c>
      <c r="B7" s="232"/>
      <c r="C7" s="145">
        <v>7</v>
      </c>
      <c r="D7" s="154">
        <f t="shared" si="12"/>
        <v>7</v>
      </c>
      <c r="E7" s="154">
        <f t="shared" si="3"/>
        <v>7</v>
      </c>
      <c r="F7" s="154">
        <f>E7+E7*$E$2</f>
        <v>7</v>
      </c>
      <c r="G7" s="154">
        <f>F7+F7*$E$2</f>
        <v>7</v>
      </c>
      <c r="H7" s="154">
        <f>G7+G7*$E$2</f>
        <v>7</v>
      </c>
      <c r="I7" s="154">
        <f>H7+H7*$E$2</f>
        <v>7</v>
      </c>
      <c r="J7" s="154">
        <f>I7+I7*$E$2</f>
        <v>7</v>
      </c>
      <c r="K7" s="154"/>
      <c r="M7" s="81" t="str">
        <f t="shared" si="1"/>
        <v>Коммунальные расходы</v>
      </c>
      <c r="N7" s="232"/>
      <c r="O7" s="154">
        <f t="shared" si="4"/>
        <v>84</v>
      </c>
      <c r="P7" s="154">
        <f t="shared" si="5"/>
        <v>84</v>
      </c>
      <c r="Q7" s="154">
        <f t="shared" si="6"/>
        <v>84</v>
      </c>
      <c r="R7" s="154">
        <f t="shared" si="7"/>
        <v>84</v>
      </c>
      <c r="S7" s="154">
        <f t="shared" si="8"/>
        <v>84</v>
      </c>
      <c r="T7" s="154">
        <f t="shared" si="9"/>
        <v>84</v>
      </c>
      <c r="U7" s="154">
        <f t="shared" si="10"/>
        <v>84</v>
      </c>
      <c r="V7" s="154">
        <f t="shared" si="11"/>
        <v>84</v>
      </c>
    </row>
    <row r="8" spans="1:22" ht="12.75">
      <c r="A8" s="167" t="s">
        <v>243</v>
      </c>
      <c r="B8" s="146"/>
      <c r="C8" s="145">
        <v>5</v>
      </c>
      <c r="D8" s="154">
        <f t="shared" si="12"/>
        <v>5</v>
      </c>
      <c r="E8" s="154">
        <f t="shared" si="3"/>
        <v>5</v>
      </c>
      <c r="F8" s="154">
        <f aca="true" t="shared" si="14" ref="F8:J11">E8+E8*$E$2</f>
        <v>5</v>
      </c>
      <c r="G8" s="154">
        <f t="shared" si="14"/>
        <v>5</v>
      </c>
      <c r="H8" s="154">
        <f t="shared" si="14"/>
        <v>5</v>
      </c>
      <c r="I8" s="154">
        <f t="shared" si="14"/>
        <v>5</v>
      </c>
      <c r="J8" s="154">
        <f t="shared" si="14"/>
        <v>5</v>
      </c>
      <c r="K8" s="154"/>
      <c r="M8" s="81" t="str">
        <f t="shared" si="1"/>
        <v>Спецодежда, перчатки, хоз.товары</v>
      </c>
      <c r="N8" s="146"/>
      <c r="O8" s="154">
        <f t="shared" si="4"/>
        <v>60</v>
      </c>
      <c r="P8" s="154">
        <f t="shared" si="5"/>
        <v>60</v>
      </c>
      <c r="Q8" s="154">
        <f t="shared" si="6"/>
        <v>60</v>
      </c>
      <c r="R8" s="154">
        <f t="shared" si="7"/>
        <v>60</v>
      </c>
      <c r="S8" s="154">
        <f t="shared" si="8"/>
        <v>60</v>
      </c>
      <c r="T8" s="154">
        <f t="shared" si="9"/>
        <v>60</v>
      </c>
      <c r="U8" s="154">
        <f t="shared" si="10"/>
        <v>60</v>
      </c>
      <c r="V8" s="154">
        <f t="shared" si="11"/>
        <v>60</v>
      </c>
    </row>
    <row r="9" spans="1:22" ht="12.75">
      <c r="A9" s="81" t="s">
        <v>239</v>
      </c>
      <c r="B9" s="146"/>
      <c r="C9" s="145">
        <f>8*25*110/1000</f>
        <v>22</v>
      </c>
      <c r="D9" s="154">
        <f t="shared" si="12"/>
        <v>22</v>
      </c>
      <c r="E9" s="154">
        <f t="shared" si="3"/>
        <v>22</v>
      </c>
      <c r="F9" s="154">
        <f t="shared" si="14"/>
        <v>22</v>
      </c>
      <c r="G9" s="154">
        <f t="shared" si="14"/>
        <v>22</v>
      </c>
      <c r="H9" s="154">
        <f t="shared" si="14"/>
        <v>22</v>
      </c>
      <c r="I9" s="154">
        <f t="shared" si="14"/>
        <v>22</v>
      </c>
      <c r="J9" s="154">
        <f t="shared" si="14"/>
        <v>22</v>
      </c>
      <c r="K9" s="154" t="s">
        <v>332</v>
      </c>
      <c r="M9" s="81" t="str">
        <f t="shared" si="1"/>
        <v>ГСМ</v>
      </c>
      <c r="N9" s="146"/>
      <c r="O9" s="154">
        <f t="shared" si="4"/>
        <v>264</v>
      </c>
      <c r="P9" s="154">
        <f t="shared" si="5"/>
        <v>264</v>
      </c>
      <c r="Q9" s="154">
        <f t="shared" si="6"/>
        <v>264</v>
      </c>
      <c r="R9" s="154">
        <f t="shared" si="7"/>
        <v>264</v>
      </c>
      <c r="S9" s="154">
        <f t="shared" si="8"/>
        <v>264</v>
      </c>
      <c r="T9" s="154">
        <f t="shared" si="9"/>
        <v>264</v>
      </c>
      <c r="U9" s="154">
        <f t="shared" si="10"/>
        <v>264</v>
      </c>
      <c r="V9" s="154">
        <f t="shared" si="11"/>
        <v>264</v>
      </c>
    </row>
    <row r="10" spans="1:22" ht="12.75">
      <c r="A10" s="81" t="s">
        <v>244</v>
      </c>
      <c r="B10" s="146"/>
      <c r="C10" s="145">
        <v>4</v>
      </c>
      <c r="D10" s="154">
        <f t="shared" si="12"/>
        <v>4</v>
      </c>
      <c r="E10" s="154">
        <f t="shared" si="3"/>
        <v>4</v>
      </c>
      <c r="F10" s="154">
        <f t="shared" si="14"/>
        <v>4</v>
      </c>
      <c r="G10" s="154">
        <f t="shared" si="14"/>
        <v>4</v>
      </c>
      <c r="H10" s="154">
        <f t="shared" si="14"/>
        <v>4</v>
      </c>
      <c r="I10" s="154">
        <f t="shared" si="14"/>
        <v>4</v>
      </c>
      <c r="J10" s="154">
        <f t="shared" si="14"/>
        <v>4</v>
      </c>
      <c r="K10" s="154" t="s">
        <v>283</v>
      </c>
      <c r="M10" s="81" t="str">
        <f t="shared" si="1"/>
        <v>Услуги банка</v>
      </c>
      <c r="N10" s="146"/>
      <c r="O10" s="154">
        <f t="shared" si="4"/>
        <v>48</v>
      </c>
      <c r="P10" s="154">
        <f t="shared" si="5"/>
        <v>48</v>
      </c>
      <c r="Q10" s="154">
        <f t="shared" si="6"/>
        <v>48</v>
      </c>
      <c r="R10" s="154">
        <f t="shared" si="7"/>
        <v>48</v>
      </c>
      <c r="S10" s="154">
        <f t="shared" si="8"/>
        <v>48</v>
      </c>
      <c r="T10" s="154">
        <f t="shared" si="9"/>
        <v>48</v>
      </c>
      <c r="U10" s="154">
        <f t="shared" si="10"/>
        <v>48</v>
      </c>
      <c r="V10" s="154">
        <f t="shared" si="11"/>
        <v>48</v>
      </c>
    </row>
    <row r="11" spans="1:22" ht="12.75">
      <c r="A11" s="81" t="s">
        <v>245</v>
      </c>
      <c r="B11" s="146"/>
      <c r="C11" s="145">
        <v>3</v>
      </c>
      <c r="D11" s="154">
        <f t="shared" si="12"/>
        <v>3</v>
      </c>
      <c r="E11" s="154">
        <f t="shared" si="3"/>
        <v>3</v>
      </c>
      <c r="F11" s="154">
        <f t="shared" si="14"/>
        <v>3</v>
      </c>
      <c r="G11" s="154">
        <f t="shared" si="14"/>
        <v>3</v>
      </c>
      <c r="H11" s="154">
        <f t="shared" si="14"/>
        <v>3</v>
      </c>
      <c r="I11" s="154">
        <f t="shared" si="14"/>
        <v>3</v>
      </c>
      <c r="J11" s="154">
        <f t="shared" si="14"/>
        <v>3</v>
      </c>
      <c r="K11" s="154"/>
      <c r="M11" s="81" t="str">
        <f t="shared" si="1"/>
        <v>Канц.товары</v>
      </c>
      <c r="N11" s="146"/>
      <c r="O11" s="154">
        <f t="shared" si="4"/>
        <v>36</v>
      </c>
      <c r="P11" s="154">
        <f t="shared" si="5"/>
        <v>36</v>
      </c>
      <c r="Q11" s="154">
        <f t="shared" si="6"/>
        <v>36</v>
      </c>
      <c r="R11" s="154">
        <f t="shared" si="7"/>
        <v>36</v>
      </c>
      <c r="S11" s="154">
        <f t="shared" si="8"/>
        <v>36</v>
      </c>
      <c r="T11" s="154">
        <f t="shared" si="9"/>
        <v>36</v>
      </c>
      <c r="U11" s="154">
        <f t="shared" si="10"/>
        <v>36</v>
      </c>
      <c r="V11" s="154">
        <f t="shared" si="11"/>
        <v>36</v>
      </c>
    </row>
    <row r="12" spans="1:22" ht="12.75">
      <c r="A12" s="81" t="s">
        <v>79</v>
      </c>
      <c r="B12" s="146"/>
      <c r="C12" s="145">
        <v>7</v>
      </c>
      <c r="D12" s="154">
        <f t="shared" si="12"/>
        <v>7</v>
      </c>
      <c r="E12" s="154">
        <f t="shared" si="3"/>
        <v>7</v>
      </c>
      <c r="F12" s="154">
        <f aca="true" t="shared" si="15" ref="F12:J13">E12+E12*$E$2</f>
        <v>7</v>
      </c>
      <c r="G12" s="154">
        <f t="shared" si="15"/>
        <v>7</v>
      </c>
      <c r="H12" s="154">
        <f t="shared" si="15"/>
        <v>7</v>
      </c>
      <c r="I12" s="154">
        <f t="shared" si="15"/>
        <v>7</v>
      </c>
      <c r="J12" s="154">
        <f t="shared" si="15"/>
        <v>7</v>
      </c>
      <c r="K12" s="154" t="s">
        <v>284</v>
      </c>
      <c r="M12" s="81" t="str">
        <f t="shared" si="1"/>
        <v>Расходы на рекламу</v>
      </c>
      <c r="N12" s="146"/>
      <c r="O12" s="154">
        <f t="shared" si="4"/>
        <v>84</v>
      </c>
      <c r="P12" s="154">
        <f t="shared" si="5"/>
        <v>84</v>
      </c>
      <c r="Q12" s="154">
        <f t="shared" si="6"/>
        <v>84</v>
      </c>
      <c r="R12" s="154">
        <f t="shared" si="7"/>
        <v>84</v>
      </c>
      <c r="S12" s="154">
        <f t="shared" si="8"/>
        <v>84</v>
      </c>
      <c r="T12" s="154">
        <f t="shared" si="9"/>
        <v>84</v>
      </c>
      <c r="U12" s="154">
        <f t="shared" si="10"/>
        <v>84</v>
      </c>
      <c r="V12" s="154">
        <f t="shared" si="11"/>
        <v>84</v>
      </c>
    </row>
    <row r="13" spans="1:22" ht="12.75">
      <c r="A13" s="81" t="s">
        <v>46</v>
      </c>
      <c r="B13" s="154"/>
      <c r="C13" s="145">
        <v>3</v>
      </c>
      <c r="D13" s="154">
        <f t="shared" si="12"/>
        <v>3</v>
      </c>
      <c r="E13" s="154">
        <f t="shared" si="3"/>
        <v>3</v>
      </c>
      <c r="F13" s="154">
        <f t="shared" si="15"/>
        <v>3</v>
      </c>
      <c r="G13" s="154">
        <f t="shared" si="15"/>
        <v>3</v>
      </c>
      <c r="H13" s="154">
        <f t="shared" si="15"/>
        <v>3</v>
      </c>
      <c r="I13" s="154">
        <f t="shared" si="15"/>
        <v>3</v>
      </c>
      <c r="J13" s="154">
        <f t="shared" si="15"/>
        <v>3</v>
      </c>
      <c r="K13" s="154"/>
      <c r="M13" s="81" t="str">
        <f t="shared" si="1"/>
        <v>Прочие непредвиденные расходы</v>
      </c>
      <c r="N13" s="154"/>
      <c r="O13" s="154">
        <f t="shared" si="4"/>
        <v>36</v>
      </c>
      <c r="P13" s="154">
        <f t="shared" si="5"/>
        <v>36</v>
      </c>
      <c r="Q13" s="154">
        <f t="shared" si="6"/>
        <v>36</v>
      </c>
      <c r="R13" s="154">
        <f t="shared" si="7"/>
        <v>36</v>
      </c>
      <c r="S13" s="154">
        <f t="shared" si="8"/>
        <v>36</v>
      </c>
      <c r="T13" s="154">
        <f t="shared" si="9"/>
        <v>36</v>
      </c>
      <c r="U13" s="154">
        <f t="shared" si="10"/>
        <v>36</v>
      </c>
      <c r="V13" s="154">
        <f t="shared" si="11"/>
        <v>36</v>
      </c>
    </row>
    <row r="14" spans="1:24" ht="12.75">
      <c r="A14" s="217" t="s">
        <v>0</v>
      </c>
      <c r="B14" s="218"/>
      <c r="C14" s="218">
        <f aca="true" t="shared" si="16" ref="C14:J14">SUM(C5:C13)</f>
        <v>136</v>
      </c>
      <c r="D14" s="218">
        <f t="shared" si="16"/>
        <v>136</v>
      </c>
      <c r="E14" s="218">
        <f t="shared" si="16"/>
        <v>136</v>
      </c>
      <c r="F14" s="218">
        <f t="shared" si="16"/>
        <v>136</v>
      </c>
      <c r="G14" s="218">
        <f t="shared" si="16"/>
        <v>136</v>
      </c>
      <c r="H14" s="218">
        <f t="shared" si="16"/>
        <v>136</v>
      </c>
      <c r="I14" s="218">
        <f t="shared" si="16"/>
        <v>136</v>
      </c>
      <c r="J14" s="218">
        <f t="shared" si="16"/>
        <v>136</v>
      </c>
      <c r="K14" s="218"/>
      <c r="M14" s="217" t="str">
        <f t="shared" si="1"/>
        <v>Итого</v>
      </c>
      <c r="N14" s="218"/>
      <c r="O14" s="218">
        <f aca="true" t="shared" si="17" ref="O14:V14">SUM(O5:O13)</f>
        <v>1632</v>
      </c>
      <c r="P14" s="218">
        <f t="shared" si="17"/>
        <v>1632</v>
      </c>
      <c r="Q14" s="218">
        <f t="shared" si="17"/>
        <v>1632</v>
      </c>
      <c r="R14" s="218">
        <f t="shared" si="17"/>
        <v>1632</v>
      </c>
      <c r="S14" s="218">
        <f t="shared" si="17"/>
        <v>1632</v>
      </c>
      <c r="T14" s="218">
        <f t="shared" si="17"/>
        <v>1632</v>
      </c>
      <c r="U14" s="218">
        <f t="shared" si="17"/>
        <v>1632</v>
      </c>
      <c r="V14" s="218">
        <f t="shared" si="17"/>
        <v>1632</v>
      </c>
      <c r="X14" s="248"/>
    </row>
    <row r="16" spans="1:22" ht="12.75">
      <c r="A16" s="62" t="s">
        <v>80</v>
      </c>
      <c r="C16" s="201">
        <f aca="true" t="shared" si="18" ref="C16:J16">SUM(C17:C17)</f>
        <v>0.4</v>
      </c>
      <c r="D16" s="201">
        <f t="shared" si="18"/>
        <v>0.4</v>
      </c>
      <c r="E16" s="201">
        <f t="shared" si="18"/>
        <v>0.4</v>
      </c>
      <c r="F16" s="201">
        <f t="shared" si="18"/>
        <v>0.4</v>
      </c>
      <c r="G16" s="201">
        <f t="shared" si="18"/>
        <v>0.4</v>
      </c>
      <c r="H16" s="201">
        <f t="shared" si="18"/>
        <v>0.4</v>
      </c>
      <c r="I16" s="201">
        <f t="shared" si="18"/>
        <v>0.4</v>
      </c>
      <c r="J16" s="201">
        <f t="shared" si="18"/>
        <v>0.4</v>
      </c>
      <c r="M16" s="62" t="str">
        <f>A16</f>
        <v>Страхование</v>
      </c>
      <c r="O16" s="201">
        <f aca="true" t="shared" si="19" ref="O16:V16">SUM(O17:O17)</f>
        <v>4.800000000000001</v>
      </c>
      <c r="P16" s="201">
        <f t="shared" si="19"/>
        <v>4.800000000000001</v>
      </c>
      <c r="Q16" s="201">
        <f t="shared" si="19"/>
        <v>4.800000000000001</v>
      </c>
      <c r="R16" s="201">
        <f t="shared" si="19"/>
        <v>4.800000000000001</v>
      </c>
      <c r="S16" s="201">
        <f t="shared" si="19"/>
        <v>4.800000000000001</v>
      </c>
      <c r="T16" s="201">
        <f t="shared" si="19"/>
        <v>4.800000000000001</v>
      </c>
      <c r="U16" s="201">
        <f t="shared" si="19"/>
        <v>4.800000000000001</v>
      </c>
      <c r="V16" s="201">
        <f t="shared" si="19"/>
        <v>4.800000000000001</v>
      </c>
    </row>
    <row r="17" spans="1:22" ht="25.5">
      <c r="A17" s="167" t="s">
        <v>81</v>
      </c>
      <c r="B17" s="170">
        <v>0.005</v>
      </c>
      <c r="C17" s="154">
        <f aca="true" t="shared" si="20" ref="C17:J17">C5*$B$17</f>
        <v>0.4</v>
      </c>
      <c r="D17" s="154">
        <f t="shared" si="20"/>
        <v>0.4</v>
      </c>
      <c r="E17" s="154">
        <f t="shared" si="20"/>
        <v>0.4</v>
      </c>
      <c r="F17" s="154">
        <f t="shared" si="20"/>
        <v>0.4</v>
      </c>
      <c r="G17" s="154">
        <f t="shared" si="20"/>
        <v>0.4</v>
      </c>
      <c r="H17" s="154">
        <f t="shared" si="20"/>
        <v>0.4</v>
      </c>
      <c r="I17" s="154">
        <f t="shared" si="20"/>
        <v>0.4</v>
      </c>
      <c r="J17" s="154">
        <f t="shared" si="20"/>
        <v>0.4</v>
      </c>
      <c r="M17" s="167" t="s">
        <v>81</v>
      </c>
      <c r="N17" s="170">
        <f>B17</f>
        <v>0.005</v>
      </c>
      <c r="O17" s="154">
        <f aca="true" t="shared" si="21" ref="O17:V17">C17*12</f>
        <v>4.800000000000001</v>
      </c>
      <c r="P17" s="154">
        <f t="shared" si="21"/>
        <v>4.800000000000001</v>
      </c>
      <c r="Q17" s="154">
        <f t="shared" si="21"/>
        <v>4.800000000000001</v>
      </c>
      <c r="R17" s="154">
        <f t="shared" si="21"/>
        <v>4.800000000000001</v>
      </c>
      <c r="S17" s="154">
        <f t="shared" si="21"/>
        <v>4.800000000000001</v>
      </c>
      <c r="T17" s="154">
        <f t="shared" si="21"/>
        <v>4.800000000000001</v>
      </c>
      <c r="U17" s="154">
        <f t="shared" si="21"/>
        <v>4.800000000000001</v>
      </c>
      <c r="V17" s="154">
        <f t="shared" si="21"/>
        <v>4.800000000000001</v>
      </c>
    </row>
    <row r="19" spans="1:22" ht="12.75">
      <c r="A19" s="62" t="s">
        <v>82</v>
      </c>
      <c r="C19" s="201">
        <f>SUM(C20:C21)</f>
        <v>3.124544270833333</v>
      </c>
      <c r="D19" s="201">
        <f aca="true" t="shared" si="22" ref="D19:I19">SUM(D20:D21)</f>
        <v>4.796341145833333</v>
      </c>
      <c r="E19" s="201">
        <f t="shared" si="22"/>
        <v>4.557513020833333</v>
      </c>
      <c r="F19" s="201">
        <f t="shared" si="22"/>
        <v>4.318684895833333</v>
      </c>
      <c r="G19" s="201">
        <f t="shared" si="22"/>
        <v>4.0798567708333335</v>
      </c>
      <c r="H19" s="201">
        <f t="shared" si="22"/>
        <v>3.841028645833333</v>
      </c>
      <c r="I19" s="201">
        <f t="shared" si="22"/>
        <v>3.6022005208333336</v>
      </c>
      <c r="J19" s="201">
        <f>SUM(J20:J21)</f>
        <v>3.3633723958333333</v>
      </c>
      <c r="M19" s="62" t="str">
        <f>A19</f>
        <v>Налоги (кроме налогов на ФЗП)</v>
      </c>
      <c r="O19" s="201">
        <f>SUM(O20:O21)</f>
        <v>37.494531249999994</v>
      </c>
      <c r="P19" s="201">
        <f aca="true" t="shared" si="23" ref="P19:U19">SUM(P20:P21)</f>
        <v>57.556093749999995</v>
      </c>
      <c r="Q19" s="201">
        <f t="shared" si="23"/>
        <v>54.69015625</v>
      </c>
      <c r="R19" s="201">
        <f t="shared" si="23"/>
        <v>51.82421875</v>
      </c>
      <c r="S19" s="201">
        <f t="shared" si="23"/>
        <v>48.95828125</v>
      </c>
      <c r="T19" s="201">
        <f t="shared" si="23"/>
        <v>46.09234375</v>
      </c>
      <c r="U19" s="201">
        <f t="shared" si="23"/>
        <v>43.226406250000004</v>
      </c>
      <c r="V19" s="201">
        <f>SUM(V20:V21)</f>
        <v>40.360468749999995</v>
      </c>
    </row>
    <row r="20" spans="1:22" ht="12.75">
      <c r="A20" s="81" t="s">
        <v>2</v>
      </c>
      <c r="B20" s="172">
        <f>Исх!C17</f>
        <v>0.015</v>
      </c>
      <c r="C20" s="154">
        <f>(C33+C36)/2*$B$20/12</f>
        <v>1.7912109374999998</v>
      </c>
      <c r="D20" s="154">
        <f aca="true" t="shared" si="24" ref="D20:I20">(D33+D36)/2*$B$20/12</f>
        <v>3.4630078124999994</v>
      </c>
      <c r="E20" s="154">
        <f>(E33+E36)/2*$B$20/12</f>
        <v>3.2241796875</v>
      </c>
      <c r="F20" s="154">
        <f t="shared" si="24"/>
        <v>2.9853515625</v>
      </c>
      <c r="G20" s="154">
        <f t="shared" si="24"/>
        <v>2.7465234375</v>
      </c>
      <c r="H20" s="154">
        <f t="shared" si="24"/>
        <v>2.5076953124999997</v>
      </c>
      <c r="I20" s="154">
        <f t="shared" si="24"/>
        <v>2.2688671875</v>
      </c>
      <c r="J20" s="154">
        <f>(J33+J36)/2*$B$20/12</f>
        <v>2.0300390624999998</v>
      </c>
      <c r="M20" s="81" t="s">
        <v>2</v>
      </c>
      <c r="N20" s="172">
        <f>B20</f>
        <v>0.015</v>
      </c>
      <c r="O20" s="154">
        <f aca="true" t="shared" si="25" ref="O20:V21">C20*12</f>
        <v>21.494531249999998</v>
      </c>
      <c r="P20" s="154">
        <f t="shared" si="25"/>
        <v>41.556093749999995</v>
      </c>
      <c r="Q20" s="154">
        <f t="shared" si="25"/>
        <v>38.69015625</v>
      </c>
      <c r="R20" s="154">
        <f t="shared" si="25"/>
        <v>35.82421875</v>
      </c>
      <c r="S20" s="154">
        <f t="shared" si="25"/>
        <v>32.95828125</v>
      </c>
      <c r="T20" s="154">
        <f t="shared" si="25"/>
        <v>30.092343749999998</v>
      </c>
      <c r="U20" s="154">
        <f t="shared" si="25"/>
        <v>27.226406250000004</v>
      </c>
      <c r="V20" s="154">
        <f t="shared" si="25"/>
        <v>24.360468749999995</v>
      </c>
    </row>
    <row r="21" spans="1:22" ht="12.75">
      <c r="A21" s="81" t="s">
        <v>100</v>
      </c>
      <c r="B21" s="81"/>
      <c r="C21" s="145">
        <f>16/12</f>
        <v>1.3333333333333333</v>
      </c>
      <c r="D21" s="154">
        <f aca="true" t="shared" si="26" ref="D21:J21">C21+C21*$E$2</f>
        <v>1.3333333333333333</v>
      </c>
      <c r="E21" s="154">
        <f t="shared" si="26"/>
        <v>1.3333333333333333</v>
      </c>
      <c r="F21" s="154">
        <f t="shared" si="26"/>
        <v>1.3333333333333333</v>
      </c>
      <c r="G21" s="154">
        <f t="shared" si="26"/>
        <v>1.3333333333333333</v>
      </c>
      <c r="H21" s="154">
        <f t="shared" si="26"/>
        <v>1.3333333333333333</v>
      </c>
      <c r="I21" s="154">
        <f t="shared" si="26"/>
        <v>1.3333333333333333</v>
      </c>
      <c r="J21" s="154">
        <f t="shared" si="26"/>
        <v>1.3333333333333333</v>
      </c>
      <c r="M21" s="81" t="s">
        <v>100</v>
      </c>
      <c r="N21" s="81"/>
      <c r="O21" s="154">
        <f t="shared" si="25"/>
        <v>16</v>
      </c>
      <c r="P21" s="154">
        <f t="shared" si="25"/>
        <v>16</v>
      </c>
      <c r="Q21" s="154">
        <f t="shared" si="25"/>
        <v>16</v>
      </c>
      <c r="R21" s="154">
        <f t="shared" si="25"/>
        <v>16</v>
      </c>
      <c r="S21" s="154">
        <f t="shared" si="25"/>
        <v>16</v>
      </c>
      <c r="T21" s="154">
        <f t="shared" si="25"/>
        <v>16</v>
      </c>
      <c r="U21" s="154">
        <f t="shared" si="25"/>
        <v>16</v>
      </c>
      <c r="V21" s="154">
        <f t="shared" si="25"/>
        <v>16</v>
      </c>
    </row>
    <row r="23" ht="12.75">
      <c r="C23" s="173"/>
    </row>
    <row r="24" spans="1:10" ht="12.75">
      <c r="A24" s="307" t="s">
        <v>83</v>
      </c>
      <c r="B24" s="307"/>
      <c r="C24" s="307"/>
      <c r="D24" s="307"/>
      <c r="E24" s="307"/>
      <c r="F24" s="307"/>
      <c r="G24" s="161"/>
      <c r="H24" s="161"/>
      <c r="I24" s="161"/>
      <c r="J24" s="161"/>
    </row>
    <row r="25" spans="1:10" ht="12.75">
      <c r="A25" s="141" t="s">
        <v>89</v>
      </c>
      <c r="B25" s="81"/>
      <c r="C25" s="142">
        <v>2013</v>
      </c>
      <c r="D25" s="142">
        <f aca="true" t="shared" si="27" ref="D25:J25">D4</f>
        <v>2014</v>
      </c>
      <c r="E25" s="142">
        <f t="shared" si="27"/>
        <v>2015</v>
      </c>
      <c r="F25" s="142">
        <f t="shared" si="27"/>
        <v>2016</v>
      </c>
      <c r="G25" s="142">
        <f t="shared" si="27"/>
        <v>2017</v>
      </c>
      <c r="H25" s="142">
        <f t="shared" si="27"/>
        <v>2018</v>
      </c>
      <c r="I25" s="142">
        <f t="shared" si="27"/>
        <v>2019</v>
      </c>
      <c r="J25" s="142">
        <f t="shared" si="27"/>
        <v>2020</v>
      </c>
    </row>
    <row r="26" spans="1:10" ht="12.75">
      <c r="A26" s="81" t="s">
        <v>84</v>
      </c>
      <c r="B26" s="174"/>
      <c r="C26" s="81"/>
      <c r="D26" s="81"/>
      <c r="E26" s="81"/>
      <c r="F26" s="81"/>
      <c r="G26" s="81"/>
      <c r="H26" s="81"/>
      <c r="I26" s="81"/>
      <c r="J26" s="81"/>
    </row>
    <row r="27" spans="1:10" ht="12.75">
      <c r="A27" s="81" t="s">
        <v>85</v>
      </c>
      <c r="B27" s="175"/>
      <c r="C27" s="154">
        <f>C33+C39+C45</f>
        <v>0</v>
      </c>
      <c r="D27" s="154">
        <f aca="true" t="shared" si="28" ref="D27:I27">D33+D39+D45</f>
        <v>4252.8843799999995</v>
      </c>
      <c r="E27" s="154">
        <f t="shared" si="28"/>
        <v>3981.82188</v>
      </c>
      <c r="F27" s="154">
        <f t="shared" si="28"/>
        <v>3652.064692</v>
      </c>
      <c r="G27" s="154">
        <f t="shared" si="28"/>
        <v>3322.307504</v>
      </c>
      <c r="H27" s="154">
        <f t="shared" si="28"/>
        <v>2992.550316</v>
      </c>
      <c r="I27" s="154">
        <f t="shared" si="28"/>
        <v>2662.793128</v>
      </c>
      <c r="J27" s="154">
        <f>J33+J39+J45</f>
        <v>2333.0359399999998</v>
      </c>
    </row>
    <row r="28" spans="1:10" ht="12.75">
      <c r="A28" s="81" t="s">
        <v>86</v>
      </c>
      <c r="B28" s="175"/>
      <c r="C28" s="154">
        <f>C34+C40+C46</f>
        <v>4252.8843799999995</v>
      </c>
      <c r="D28" s="154">
        <f aca="true" t="shared" si="29" ref="D28:I28">D34+D40+D46</f>
        <v>0</v>
      </c>
      <c r="E28" s="154">
        <f t="shared" si="29"/>
        <v>0</v>
      </c>
      <c r="F28" s="154">
        <f t="shared" si="29"/>
        <v>0</v>
      </c>
      <c r="G28" s="154">
        <f t="shared" si="29"/>
        <v>0</v>
      </c>
      <c r="H28" s="154">
        <f t="shared" si="29"/>
        <v>0</v>
      </c>
      <c r="I28" s="154">
        <f t="shared" si="29"/>
        <v>0</v>
      </c>
      <c r="J28" s="154">
        <f>J34+J40+J46</f>
        <v>0</v>
      </c>
    </row>
    <row r="29" spans="1:10" ht="12.75">
      <c r="A29" s="156" t="s">
        <v>87</v>
      </c>
      <c r="B29" s="156"/>
      <c r="C29" s="155">
        <f>C35+C41+C47</f>
        <v>0</v>
      </c>
      <c r="D29" s="155">
        <f aca="true" t="shared" si="30" ref="D29:I29">D35+D41+D47</f>
        <v>329.75718800000004</v>
      </c>
      <c r="E29" s="155">
        <f>E35+E41+E47</f>
        <v>329.75718800000004</v>
      </c>
      <c r="F29" s="155">
        <f t="shared" si="30"/>
        <v>329.75718800000004</v>
      </c>
      <c r="G29" s="155">
        <f t="shared" si="30"/>
        <v>329.75718800000004</v>
      </c>
      <c r="H29" s="155">
        <f t="shared" si="30"/>
        <v>329.75718800000004</v>
      </c>
      <c r="I29" s="155">
        <f t="shared" si="30"/>
        <v>329.75718800000004</v>
      </c>
      <c r="J29" s="155">
        <f>J35+J41+J47</f>
        <v>329.75718800000004</v>
      </c>
    </row>
    <row r="30" spans="1:10" ht="12.75">
      <c r="A30" s="81" t="s">
        <v>88</v>
      </c>
      <c r="B30" s="175"/>
      <c r="C30" s="154">
        <f aca="true" t="shared" si="31" ref="C30:I30">C27+C28-C29</f>
        <v>4252.8843799999995</v>
      </c>
      <c r="D30" s="154">
        <f t="shared" si="31"/>
        <v>3923.1271919999995</v>
      </c>
      <c r="E30" s="154">
        <f t="shared" si="31"/>
        <v>3652.064692</v>
      </c>
      <c r="F30" s="154">
        <f t="shared" si="31"/>
        <v>3322.307504</v>
      </c>
      <c r="G30" s="154">
        <f t="shared" si="31"/>
        <v>2992.550316</v>
      </c>
      <c r="H30" s="154">
        <f t="shared" si="31"/>
        <v>2662.793128</v>
      </c>
      <c r="I30" s="154">
        <f t="shared" si="31"/>
        <v>2333.0359399999998</v>
      </c>
      <c r="J30" s="154">
        <f>J27+J28-J29</f>
        <v>2003.2787519999997</v>
      </c>
    </row>
    <row r="31" spans="1:10" ht="12.75" hidden="1" outlineLevel="1">
      <c r="A31" s="79" t="s">
        <v>108</v>
      </c>
      <c r="C31" s="142"/>
      <c r="D31" s="142"/>
      <c r="E31" s="142"/>
      <c r="F31" s="142"/>
      <c r="G31" s="142"/>
      <c r="H31" s="142"/>
      <c r="I31" s="142"/>
      <c r="J31" s="142"/>
    </row>
    <row r="32" spans="1:10" ht="12.75" hidden="1" outlineLevel="1">
      <c r="A32" s="81" t="s">
        <v>84</v>
      </c>
      <c r="B32" s="176">
        <f>1/15</f>
        <v>0.06666666666666667</v>
      </c>
      <c r="C32" s="81"/>
      <c r="D32" s="81"/>
      <c r="E32" s="81"/>
      <c r="F32" s="81"/>
      <c r="G32" s="81"/>
      <c r="H32" s="81"/>
      <c r="I32" s="81"/>
      <c r="J32" s="81"/>
    </row>
    <row r="33" spans="1:10" ht="12.75" hidden="1" outlineLevel="1">
      <c r="A33" s="81" t="s">
        <v>85</v>
      </c>
      <c r="B33" s="175"/>
      <c r="C33" s="146"/>
      <c r="D33" s="154">
        <f aca="true" t="shared" si="32" ref="D33:J33">C36</f>
        <v>2865.9375</v>
      </c>
      <c r="E33" s="154">
        <f t="shared" si="32"/>
        <v>2674.875</v>
      </c>
      <c r="F33" s="154">
        <f t="shared" si="32"/>
        <v>2483.8125</v>
      </c>
      <c r="G33" s="154">
        <f t="shared" si="32"/>
        <v>2292.75</v>
      </c>
      <c r="H33" s="154">
        <f t="shared" si="32"/>
        <v>2101.6875</v>
      </c>
      <c r="I33" s="154">
        <f t="shared" si="32"/>
        <v>1910.625</v>
      </c>
      <c r="J33" s="154">
        <f t="shared" si="32"/>
        <v>1719.5625</v>
      </c>
    </row>
    <row r="34" spans="1:10" ht="12.75" hidden="1" outlineLevel="1">
      <c r="A34" s="81" t="s">
        <v>86</v>
      </c>
      <c r="B34" s="175"/>
      <c r="C34" s="154">
        <f>Инв!Q5/Исх!$C$19</f>
        <v>2865.9375</v>
      </c>
      <c r="D34" s="154"/>
      <c r="E34" s="154"/>
      <c r="F34" s="154"/>
      <c r="G34" s="154"/>
      <c r="H34" s="154"/>
      <c r="I34" s="154"/>
      <c r="J34" s="154"/>
    </row>
    <row r="35" spans="1:10" ht="12.75" hidden="1" outlineLevel="1">
      <c r="A35" s="156" t="s">
        <v>87</v>
      </c>
      <c r="B35" s="156"/>
      <c r="C35" s="155">
        <f>$C34*$B32/12*0</f>
        <v>0</v>
      </c>
      <c r="D35" s="155">
        <f>$C34*$B32</f>
        <v>191.0625</v>
      </c>
      <c r="E35" s="155">
        <f aca="true" t="shared" si="33" ref="E35:J35">$C34*$B32</f>
        <v>191.0625</v>
      </c>
      <c r="F35" s="155">
        <f t="shared" si="33"/>
        <v>191.0625</v>
      </c>
      <c r="G35" s="155">
        <f t="shared" si="33"/>
        <v>191.0625</v>
      </c>
      <c r="H35" s="155">
        <f t="shared" si="33"/>
        <v>191.0625</v>
      </c>
      <c r="I35" s="155">
        <f t="shared" si="33"/>
        <v>191.0625</v>
      </c>
      <c r="J35" s="155">
        <f t="shared" si="33"/>
        <v>191.0625</v>
      </c>
    </row>
    <row r="36" spans="1:10" ht="12.75" hidden="1" outlineLevel="1">
      <c r="A36" s="81" t="s">
        <v>88</v>
      </c>
      <c r="B36" s="175"/>
      <c r="C36" s="154">
        <f aca="true" t="shared" si="34" ref="C36:I36">C33+C34-C35</f>
        <v>2865.9375</v>
      </c>
      <c r="D36" s="154">
        <f t="shared" si="34"/>
        <v>2674.875</v>
      </c>
      <c r="E36" s="154">
        <f t="shared" si="34"/>
        <v>2483.8125</v>
      </c>
      <c r="F36" s="154">
        <f t="shared" si="34"/>
        <v>2292.75</v>
      </c>
      <c r="G36" s="154">
        <f t="shared" si="34"/>
        <v>2101.6875</v>
      </c>
      <c r="H36" s="154">
        <f t="shared" si="34"/>
        <v>1910.625</v>
      </c>
      <c r="I36" s="154">
        <f t="shared" si="34"/>
        <v>1719.5625</v>
      </c>
      <c r="J36" s="154">
        <f>J33+J34-J35</f>
        <v>1528.5</v>
      </c>
    </row>
    <row r="37" spans="1:10" ht="12.75" hidden="1" outlineLevel="1">
      <c r="A37" s="79" t="s">
        <v>104</v>
      </c>
      <c r="C37" s="142"/>
      <c r="D37" s="142"/>
      <c r="E37" s="142"/>
      <c r="F37" s="142"/>
      <c r="G37" s="142"/>
      <c r="H37" s="142"/>
      <c r="I37" s="142"/>
      <c r="J37" s="142"/>
    </row>
    <row r="38" spans="1:10" ht="12.75" hidden="1" outlineLevel="1">
      <c r="A38" s="81" t="s">
        <v>84</v>
      </c>
      <c r="B38" s="176">
        <f>1/10</f>
        <v>0.1</v>
      </c>
      <c r="C38" s="81"/>
      <c r="D38" s="81"/>
      <c r="E38" s="81"/>
      <c r="F38" s="81"/>
      <c r="G38" s="81"/>
      <c r="H38" s="81"/>
      <c r="I38" s="81"/>
      <c r="J38" s="81"/>
    </row>
    <row r="39" spans="1:10" ht="12.75" hidden="1" outlineLevel="1">
      <c r="A39" s="81" t="s">
        <v>85</v>
      </c>
      <c r="B39" s="175"/>
      <c r="C39" s="154"/>
      <c r="D39" s="154">
        <f>Инв!B18</f>
        <v>586.9468800000001</v>
      </c>
      <c r="E39" s="154">
        <f>Инв!C18</f>
        <v>586.9468800000001</v>
      </c>
      <c r="F39" s="154">
        <f>E42</f>
        <v>528.252192</v>
      </c>
      <c r="G39" s="154">
        <f>F42</f>
        <v>469.557504</v>
      </c>
      <c r="H39" s="154">
        <f>G42</f>
        <v>410.86281599999995</v>
      </c>
      <c r="I39" s="154">
        <f>H42</f>
        <v>352.1681279999999</v>
      </c>
      <c r="J39" s="154">
        <f>I42</f>
        <v>293.47343999999987</v>
      </c>
    </row>
    <row r="40" spans="1:10" ht="12.75" hidden="1" outlineLevel="1">
      <c r="A40" s="81" t="s">
        <v>86</v>
      </c>
      <c r="B40" s="175"/>
      <c r="C40" s="154">
        <f>Инв!Q8/Исх!$C$19</f>
        <v>586.9468800000001</v>
      </c>
      <c r="D40" s="154"/>
      <c r="E40" s="154"/>
      <c r="F40" s="154"/>
      <c r="G40" s="154"/>
      <c r="H40" s="154"/>
      <c r="I40" s="154"/>
      <c r="J40" s="154"/>
    </row>
    <row r="41" spans="1:10" ht="12.75" hidden="1" outlineLevel="1">
      <c r="A41" s="156" t="s">
        <v>87</v>
      </c>
      <c r="B41" s="156"/>
      <c r="C41" s="155">
        <f>$C40*$B38/12*0</f>
        <v>0</v>
      </c>
      <c r="D41" s="155">
        <f aca="true" t="shared" si="35" ref="D41:J41">$C40*$B38</f>
        <v>58.69468800000001</v>
      </c>
      <c r="E41" s="155">
        <f t="shared" si="35"/>
        <v>58.69468800000001</v>
      </c>
      <c r="F41" s="155">
        <f t="shared" si="35"/>
        <v>58.69468800000001</v>
      </c>
      <c r="G41" s="155">
        <f t="shared" si="35"/>
        <v>58.69468800000001</v>
      </c>
      <c r="H41" s="155">
        <f t="shared" si="35"/>
        <v>58.69468800000001</v>
      </c>
      <c r="I41" s="155">
        <f t="shared" si="35"/>
        <v>58.69468800000001</v>
      </c>
      <c r="J41" s="155">
        <f t="shared" si="35"/>
        <v>58.69468800000001</v>
      </c>
    </row>
    <row r="42" spans="1:10" ht="12.75" hidden="1" outlineLevel="1">
      <c r="A42" s="81" t="s">
        <v>88</v>
      </c>
      <c r="B42" s="175"/>
      <c r="C42" s="154">
        <f aca="true" t="shared" si="36" ref="C42:I42">C39+C40-C41</f>
        <v>586.9468800000001</v>
      </c>
      <c r="D42" s="154">
        <f t="shared" si="36"/>
        <v>528.252192</v>
      </c>
      <c r="E42" s="154">
        <f t="shared" si="36"/>
        <v>528.252192</v>
      </c>
      <c r="F42" s="154">
        <f t="shared" si="36"/>
        <v>469.557504</v>
      </c>
      <c r="G42" s="154">
        <f t="shared" si="36"/>
        <v>410.86281599999995</v>
      </c>
      <c r="H42" s="154">
        <f t="shared" si="36"/>
        <v>352.1681279999999</v>
      </c>
      <c r="I42" s="154">
        <f t="shared" si="36"/>
        <v>293.47343999999987</v>
      </c>
      <c r="J42" s="154">
        <f>J39+J40-J41</f>
        <v>234.77875199999986</v>
      </c>
    </row>
    <row r="43" spans="1:10" ht="12.75" hidden="1" outlineLevel="1">
      <c r="A43" s="79" t="s">
        <v>189</v>
      </c>
      <c r="C43" s="142"/>
      <c r="D43" s="142"/>
      <c r="E43" s="142"/>
      <c r="F43" s="142"/>
      <c r="G43" s="142"/>
      <c r="H43" s="142"/>
      <c r="I43" s="142"/>
      <c r="J43" s="142"/>
    </row>
    <row r="44" spans="1:10" ht="12.75" hidden="1" outlineLevel="1">
      <c r="A44" s="81" t="s">
        <v>84</v>
      </c>
      <c r="B44" s="176">
        <f>1/10</f>
        <v>0.1</v>
      </c>
      <c r="C44" s="81"/>
      <c r="D44" s="81"/>
      <c r="E44" s="81"/>
      <c r="F44" s="81"/>
      <c r="G44" s="81"/>
      <c r="H44" s="81"/>
      <c r="I44" s="81"/>
      <c r="J44" s="81"/>
    </row>
    <row r="45" spans="1:10" ht="12.75" hidden="1" outlineLevel="1">
      <c r="A45" s="81" t="s">
        <v>85</v>
      </c>
      <c r="B45" s="175"/>
      <c r="C45" s="154"/>
      <c r="D45" s="154">
        <f aca="true" t="shared" si="37" ref="D45:J45">C48</f>
        <v>800</v>
      </c>
      <c r="E45" s="154">
        <f t="shared" si="37"/>
        <v>720</v>
      </c>
      <c r="F45" s="154">
        <f t="shared" si="37"/>
        <v>640</v>
      </c>
      <c r="G45" s="154">
        <f t="shared" si="37"/>
        <v>560</v>
      </c>
      <c r="H45" s="154">
        <f t="shared" si="37"/>
        <v>480</v>
      </c>
      <c r="I45" s="154">
        <f t="shared" si="37"/>
        <v>400</v>
      </c>
      <c r="J45" s="154">
        <f t="shared" si="37"/>
        <v>320</v>
      </c>
    </row>
    <row r="46" spans="1:10" ht="12.75" hidden="1" outlineLevel="1">
      <c r="A46" s="81" t="s">
        <v>86</v>
      </c>
      <c r="B46" s="175"/>
      <c r="C46" s="154">
        <f>Инв!Q11/Исх!$C$19</f>
        <v>800</v>
      </c>
      <c r="D46" s="154"/>
      <c r="E46" s="154"/>
      <c r="F46" s="154"/>
      <c r="G46" s="154"/>
      <c r="H46" s="154"/>
      <c r="I46" s="154"/>
      <c r="J46" s="154"/>
    </row>
    <row r="47" spans="1:10" ht="12.75" hidden="1" outlineLevel="1">
      <c r="A47" s="156" t="s">
        <v>87</v>
      </c>
      <c r="B47" s="156"/>
      <c r="C47" s="155">
        <f>$C46*$B44/12*0</f>
        <v>0</v>
      </c>
      <c r="D47" s="155">
        <f aca="true" t="shared" si="38" ref="D47:J47">$C46*$B44</f>
        <v>80</v>
      </c>
      <c r="E47" s="155">
        <f t="shared" si="38"/>
        <v>80</v>
      </c>
      <c r="F47" s="155">
        <f t="shared" si="38"/>
        <v>80</v>
      </c>
      <c r="G47" s="155">
        <f t="shared" si="38"/>
        <v>80</v>
      </c>
      <c r="H47" s="155">
        <f t="shared" si="38"/>
        <v>80</v>
      </c>
      <c r="I47" s="155">
        <f t="shared" si="38"/>
        <v>80</v>
      </c>
      <c r="J47" s="155">
        <f t="shared" si="38"/>
        <v>80</v>
      </c>
    </row>
    <row r="48" spans="1:10" ht="12.75" hidden="1" outlineLevel="1">
      <c r="A48" s="81" t="s">
        <v>88</v>
      </c>
      <c r="B48" s="175"/>
      <c r="C48" s="154">
        <f aca="true" t="shared" si="39" ref="C48:I48">C45+C46-C47</f>
        <v>800</v>
      </c>
      <c r="D48" s="154">
        <f t="shared" si="39"/>
        <v>720</v>
      </c>
      <c r="E48" s="154">
        <f t="shared" si="39"/>
        <v>640</v>
      </c>
      <c r="F48" s="154">
        <f t="shared" si="39"/>
        <v>560</v>
      </c>
      <c r="G48" s="154">
        <f t="shared" si="39"/>
        <v>480</v>
      </c>
      <c r="H48" s="154">
        <f t="shared" si="39"/>
        <v>400</v>
      </c>
      <c r="I48" s="154">
        <f t="shared" si="39"/>
        <v>320</v>
      </c>
      <c r="J48" s="154">
        <f>J45+J46-J47</f>
        <v>240</v>
      </c>
    </row>
    <row r="49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2013-09-14T12:05:14Z</cp:lastPrinted>
  <dcterms:created xsi:type="dcterms:W3CDTF">2006-03-01T15:11:19Z</dcterms:created>
  <dcterms:modified xsi:type="dcterms:W3CDTF">2013-09-29T09:16:51Z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