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5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Продукция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'Продукция'!$A:$A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'1-Ф3'!$A$1:$AI$36</definedName>
    <definedName name="_xlnm.Print_Area" localSheetId="1">'2-ф2'!$A$1:$AI$28</definedName>
    <definedName name="_xlnm.Print_Area" localSheetId="2">'3-Баланс'!$A$1:$AI$26</definedName>
    <definedName name="_xlnm.Print_Area" localSheetId="10">'Инв'!$A$1:$Q$24</definedName>
    <definedName name="_xlnm.Print_Area" localSheetId="3">'Исх'!$A$1:$J$36</definedName>
    <definedName name="_xlnm.Print_Area" localSheetId="9">'кр'!$A$1:$DB$13</definedName>
    <definedName name="_xlnm.Print_Area" localSheetId="12">'Осн.пок-ли'!$A$1:$J$64</definedName>
    <definedName name="_xlnm.Print_Area" localSheetId="6">'Продукция'!$A$1:$AI$7</definedName>
    <definedName name="_xlnm.Print_Area" localSheetId="5">'Расх перем'!$A$1:$F$9</definedName>
    <definedName name="_xlnm.Print_Area" localSheetId="7">'ФОТ'!$A$1:$K$29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'Продукция'!#REF!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'Продукция'!#REF!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<sst xmlns="http://schemas.openxmlformats.org/spreadsheetml/2006/main" count="453" uniqueCount="306">
  <si>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</si>
  <si>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</si>
  <si>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</si>
  <si>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</si>
  <si>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</si>
  <si>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</si>
  <si>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</si>
  <si>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</si>
  <si>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</si>
  <si>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</si>
  <si>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</si>
  <si>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</si>
  <si>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</si>
  <si>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</si>
  <si>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</si>
  <si>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</si>
  <si>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</si>
  <si>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</si>
  <si>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</si>
  <si>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</si>
  <si>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</si>
  <si>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</si>
  <si>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</si>
  <si>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</si>
  <si>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</si>
  <si>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</si>
  <si>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</si>
  <si>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</si>
  <si>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</si>
  <si>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</si>
  <si>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</si>
  <si>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</si>
  <si>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</si>
  <si>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</si>
  <si>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</si>
  <si>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</si>
  <si>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</si>
  <si>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</si>
  <si>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</si>
  <si>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</si>
  <si>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</si>
  <si>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</si>
  <si>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</si>
  <si>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</si>
  <si>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</si>
  <si>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</si>
  <si>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</si>
  <si>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</si>
  <si>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</si>
  <si>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</si>
  <si>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</si>
  <si>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</si>
  <si>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</si>
  <si>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</si>
  <si>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</si>
  <si>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</si>
  <si>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</si>
  <si>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</si>
  <si>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</si>
  <si>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</si>
  <si>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</si>
  <si>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</si>
  <si>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</si>
  <si>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</si>
  <si>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</si>
  <si>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</si>
  <si>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</si>
  <si>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</si>
  <si>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</si>
  <si>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</si>
  <si>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</si>
  <si>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</si>
  <si>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</si>
  <si>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</si>
  <si>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</si>
  <si>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</si>
  <si>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</si>
  <si>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</si>
  <si>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</si>
  <si>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</si>
  <si>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</si>
  <si>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</si>
  <si>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</si>
  <si>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</si>
  <si>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</si>
  <si>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</si>
  <si>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</si>
  <si>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</si>
  <si>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</si>
  <si>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</si>
  <si>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</si>
  <si>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</si>
  <si>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</si>
  <si>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</si>
  <si>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</si>
  <si>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</si>
  <si>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</si>
  <si>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</si>
  <si>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</si>
  <si>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</si>
  <si>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</si>
  <si>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</si>
  <si>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</si>
  <si>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</si>
  <si>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</si>
  <si>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</si>
  <si>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</si>
  <si>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</si>
  <si>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</si>
  <si>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</si>
  <si>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</si>
  <si>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</si>
  <si>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</si>
  <si>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</si>
  <si>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</si>
  <si>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</si>
  <si>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</si>
  <si>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</si>
  <si>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</si>
  <si>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</si>
  <si>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</si>
  <si>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</si>
  <si>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</si>
  <si>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</si>
  <si>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</si>
  <si>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</si>
  <si>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</si>
  <si>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</si>
  <si>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</si>
  <si>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</si>
  <si>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</si>
  <si>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</si>
  <si>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</si>
  <si>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</si>
  <si>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</si>
  <si>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</si>
  <si>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</si>
  <si>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</si>
  <si>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</si>
  <si>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</si>
  <si>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</si>
  <si>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</si>
  <si>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</si>
  <si>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</si>
  <si>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</si>
  <si>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</si>
  <si>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</si>
  <si>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</si>
  <si>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</si>
  <si>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</si>
  <si>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</si>
  <si>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</si>
  <si>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</si>
  <si>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</si>
  <si>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</si>
  <si>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</si>
  <si>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</si>
  <si>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</si>
  <si>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</si>
  <si>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</si>
  <si>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</si>
  <si>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</si>
  <si>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</si>
  <si>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</si>
  <si>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</si>
  <si>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</si>
  <si>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</si>
  <si>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</si>
  <si>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</si>
  <si>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</si>
  <si>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</si>
  <si>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</si>
  <si>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</si>
  <si>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</si>
  <si>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</si>
  <si>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</si>
  <si>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</si>
  <si>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</si>
  <si>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</si>
  <si>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</si>
  <si>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</si>
  <si>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</si>
  <si>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</si>
  <si>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</si>
  <si>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</si>
  <si>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 на прибыль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</si>
  <si>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</si>
  <si>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</si>
  <si>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</si>
  <si>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</si>
  <si>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</si>
  <si>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Срок погашения, лет</t>
  </si>
  <si>
    <t>Расходы, тыс.тг.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</si>
  <si>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</si>
  <si>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</si>
  <si>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</si>
  <si>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</si>
  <si>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</si>
  <si>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ИПН</t>
  </si>
  <si>
    <t>в год</t>
  </si>
  <si>
    <t>2014 год</t>
  </si>
  <si>
    <t>Цены</t>
  </si>
  <si>
    <t>Прочие налоги и сборы</t>
  </si>
  <si>
    <t>Адм.расходы</t>
  </si>
  <si>
    <t>ГСМ (помимо производства)</t>
  </si>
  <si>
    <t>Доход до налогов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</si>
  <si>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</si>
  <si>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</si>
  <si>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</si>
  <si>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</si>
  <si>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</si>
  <si>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</si>
  <si>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</si>
  <si>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</si>
  <si>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</si>
  <si>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</si>
  <si>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Поиск и найм персонала</t>
  </si>
  <si>
    <t>Обслуживание и ремонт с/техники</t>
  </si>
  <si>
    <t>Первоначальные инвестиции</t>
  </si>
  <si>
    <t>Показатели эффективности проекта (7 год)</t>
  </si>
  <si>
    <t>Индекс окупаемости инвестций (PI)</t>
  </si>
  <si>
    <t>Величина налоговых поступлений за 7 лет, тыс.тг.</t>
  </si>
  <si>
    <t>Начало продаж</t>
  </si>
  <si>
    <t>Постоянные расходы в год</t>
  </si>
  <si>
    <t>кг</t>
  </si>
  <si>
    <t>Расчет доходов</t>
  </si>
  <si>
    <t>Ед.изм.</t>
  </si>
  <si>
    <t>Цена, тг.</t>
  </si>
  <si>
    <t>Расчет переменных расходов</t>
  </si>
  <si>
    <t>Статья расходов</t>
  </si>
  <si>
    <t>Примечание</t>
  </si>
  <si>
    <t>расшифровка на листе ФОТ</t>
  </si>
  <si>
    <t>снятие наличных, переводы</t>
  </si>
  <si>
    <t>Аренда транспорта</t>
  </si>
  <si>
    <t>Прочие</t>
  </si>
  <si>
    <t>Курс евро/тенге</t>
  </si>
  <si>
    <t>Производство продукции</t>
  </si>
  <si>
    <t>тн</t>
  </si>
  <si>
    <t>Обслуживание и ремонт оборудования</t>
  </si>
  <si>
    <t>Доход от реализации продукции</t>
  </si>
  <si>
    <t>Рентабельность продаж, %</t>
  </si>
  <si>
    <t>2021 год</t>
  </si>
  <si>
    <t>Планируемая программа производства</t>
  </si>
  <si>
    <t>Строительно-монтажные работы</t>
  </si>
  <si>
    <t>2015 год</t>
  </si>
  <si>
    <t>Поставка оборудования</t>
  </si>
  <si>
    <t>Разведение рыбы в морской воде, включая разведение аквариумных рыб</t>
  </si>
  <si>
    <t>Технологический проект и консультативное сопровождение проекта</t>
  </si>
  <si>
    <t>Комплект оборудования</t>
  </si>
  <si>
    <t>Монтаж оборудования</t>
  </si>
  <si>
    <t>Непредвиденные расходы</t>
  </si>
  <si>
    <t>Коммуникации</t>
  </si>
  <si>
    <t>Производственный корпус (41*24 м)</t>
  </si>
  <si>
    <t>http://www.uzv.su/ru/building/standardprojects/sturgeon</t>
  </si>
  <si>
    <t>Автоматика + электрика</t>
  </si>
  <si>
    <t>Директор</t>
  </si>
  <si>
    <t>Бухгалтер</t>
  </si>
  <si>
    <t>Менеджер по реализации</t>
  </si>
  <si>
    <t>Рыбовод</t>
  </si>
  <si>
    <t>Электрик</t>
  </si>
  <si>
    <t>Охранник</t>
  </si>
  <si>
    <t>НК РК</t>
  </si>
  <si>
    <t>Корпоративный подоходный налог</t>
  </si>
  <si>
    <t>Производительность</t>
  </si>
  <si>
    <t>тн/год</t>
  </si>
  <si>
    <t>Осетрина</t>
  </si>
  <si>
    <t>http://satu.kz/Ryba-osetr.html</t>
  </si>
  <si>
    <t>Корм Coppens</t>
  </si>
  <si>
    <t>Электроэнергия</t>
  </si>
  <si>
    <t>Вода</t>
  </si>
  <si>
    <t>Цена на ед, тг.</t>
  </si>
  <si>
    <t>Корм (кормовой коэффициент 1,4)</t>
  </si>
  <si>
    <t>Мальки</t>
  </si>
  <si>
    <t>Электричество</t>
  </si>
  <si>
    <t>шт</t>
  </si>
  <si>
    <t>м3</t>
  </si>
  <si>
    <t>кВт*ч</t>
  </si>
  <si>
    <t>тг/м3 (с НДС)</t>
  </si>
  <si>
    <t>тг/кг (с НДС)</t>
  </si>
  <si>
    <t>тг/шт (с НДС)</t>
  </si>
  <si>
    <t>тг/кВт*ч (с НДС)</t>
  </si>
  <si>
    <t>http://www.kaspnirh.ru/price/</t>
  </si>
  <si>
    <t>http://www.rkc.maek.kz/ru/tariffs</t>
  </si>
  <si>
    <t>для перевозок</t>
  </si>
  <si>
    <t>Отопление</t>
  </si>
  <si>
    <t>Прочие эксплуатационные расходы</t>
  </si>
  <si>
    <t>Корма, мальки</t>
  </si>
  <si>
    <t>Себестоимость реализ. продукции</t>
  </si>
  <si>
    <t>Цех. расходы (вода, электроэнергия)</t>
  </si>
  <si>
    <t>в Алматы - от 12 тыс.тг.</t>
  </si>
  <si>
    <t>Незавершенное строительство</t>
  </si>
  <si>
    <t>Прочие краткосрочные активы</t>
  </si>
  <si>
    <t>1 кв</t>
  </si>
  <si>
    <t>2 кв</t>
  </si>
  <si>
    <t>3 кв</t>
  </si>
  <si>
    <t>4 кв</t>
  </si>
  <si>
    <t>янв.-сен.14</t>
  </si>
  <si>
    <t>сен.14 - сен.15</t>
  </si>
  <si>
    <t>Проектирование</t>
  </si>
  <si>
    <t>Поставка мальков</t>
  </si>
  <si>
    <t>Запуск</t>
  </si>
  <si>
    <t>Выращивание мальков</t>
  </si>
  <si>
    <t>Доход от реализации</t>
  </si>
  <si>
    <t>Полная себестоимость</t>
  </si>
  <si>
    <t>Тип погашения основного долга</t>
  </si>
  <si>
    <t>на 1 кг, тенге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</si>
</sst>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4" fillId="0" borderId="0" xfId="70" applyNumberFormat="1" applyFont="1" applyFill="1" applyBorder="1" applyAlignment="1">
      <alignment horizontal="left"/>
      <protection/>
    </xf>
    <xf numFmtId="9" fontId="64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5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5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6" fillId="0" borderId="0" xfId="66" applyFont="1" applyAlignment="1">
      <alignment vertical="center"/>
      <protection/>
    </xf>
    <xf numFmtId="0" fontId="66" fillId="0" borderId="0" xfId="66" applyFont="1" applyAlignment="1">
      <alignment horizontal="right" vertical="center"/>
      <protection/>
    </xf>
    <xf numFmtId="0" fontId="66" fillId="0" borderId="0" xfId="66" applyFont="1">
      <alignment/>
      <protection/>
    </xf>
    <xf numFmtId="0" fontId="67" fillId="2" borderId="11" xfId="67" applyFont="1" applyFill="1" applyBorder="1" applyAlignment="1">
      <alignment vertical="center"/>
      <protection/>
    </xf>
    <xf numFmtId="3" fontId="67" fillId="2" borderId="10" xfId="67" applyNumberFormat="1" applyFont="1" applyFill="1" applyBorder="1" applyAlignment="1">
      <alignment horizontal="center" vertical="center"/>
      <protection/>
    </xf>
    <xf numFmtId="0" fontId="66" fillId="0" borderId="10" xfId="66" applyFont="1" applyBorder="1" applyAlignment="1">
      <alignment vertical="center"/>
      <protection/>
    </xf>
    <xf numFmtId="3" fontId="66" fillId="0" borderId="10" xfId="66" applyNumberFormat="1" applyFont="1" applyFill="1" applyBorder="1" applyAlignment="1">
      <alignment horizontal="right" vertical="center"/>
      <protection/>
    </xf>
    <xf numFmtId="0" fontId="67" fillId="0" borderId="10" xfId="66" applyFont="1" applyBorder="1" applyAlignment="1">
      <alignment vertical="center"/>
      <protection/>
    </xf>
    <xf numFmtId="3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vertical="center"/>
      <protection/>
    </xf>
    <xf numFmtId="3" fontId="66" fillId="0" borderId="0" xfId="66" applyNumberFormat="1" applyFont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/>
      <protection/>
    </xf>
    <xf numFmtId="9" fontId="66" fillId="0" borderId="10" xfId="66" applyNumberFormat="1" applyFont="1" applyFill="1" applyBorder="1" applyAlignment="1">
      <alignment horizontal="right" vertical="center"/>
      <protection/>
    </xf>
    <xf numFmtId="9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horizontal="left" vertical="center"/>
      <protection/>
    </xf>
    <xf numFmtId="0" fontId="66" fillId="0" borderId="0" xfId="66" applyFont="1" applyBorder="1" applyAlignment="1">
      <alignment horizontal="right" vertical="center"/>
      <protection/>
    </xf>
    <xf numFmtId="177" fontId="66" fillId="0" borderId="10" xfId="66" applyNumberFormat="1" applyFont="1" applyFill="1" applyBorder="1" applyAlignment="1">
      <alignment horizontal="right" vertical="center"/>
      <protection/>
    </xf>
    <xf numFmtId="0" fontId="67" fillId="0" borderId="0" xfId="66" applyFont="1" applyAlignment="1">
      <alignment vertical="center"/>
      <protection/>
    </xf>
    <xf numFmtId="0" fontId="66" fillId="0" borderId="10" xfId="66" applyFont="1" applyBorder="1" applyAlignment="1">
      <alignment vertical="center" wrapText="1"/>
      <protection/>
    </xf>
    <xf numFmtId="3" fontId="66" fillId="2" borderId="10" xfId="66" applyNumberFormat="1" applyFont="1" applyFill="1" applyBorder="1" applyAlignment="1">
      <alignment horizontal="right" vertical="center"/>
      <protection/>
    </xf>
    <xf numFmtId="0" fontId="67" fillId="2" borderId="10" xfId="66" applyFont="1" applyFill="1" applyBorder="1" applyAlignment="1">
      <alignment vertical="center"/>
      <protection/>
    </xf>
    <xf numFmtId="3" fontId="67" fillId="2" borderId="10" xfId="66" applyNumberFormat="1" applyFont="1" applyFill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 wrapText="1"/>
      <protection/>
    </xf>
    <xf numFmtId="0" fontId="66" fillId="0" borderId="0" xfId="66" applyFont="1" applyFill="1">
      <alignment/>
      <protection/>
    </xf>
    <xf numFmtId="3" fontId="24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9" fontId="67" fillId="2" borderId="10" xfId="66" applyNumberFormat="1" applyFont="1" applyFill="1" applyBorder="1" applyAlignment="1">
      <alignment horizontal="center" vertical="center"/>
      <protection/>
    </xf>
    <xf numFmtId="0" fontId="67" fillId="2" borderId="10" xfId="67" applyFont="1" applyFill="1" applyBorder="1" applyAlignment="1">
      <alignment vertical="center"/>
      <protection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3" fontId="67" fillId="2" borderId="10" xfId="67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4" fontId="5" fillId="35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3" fontId="66" fillId="0" borderId="10" xfId="66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/>
    </xf>
    <xf numFmtId="0" fontId="1" fillId="0" borderId="0" xfId="53" applyFill="1" applyAlignment="1" applyProtection="1">
      <alignment/>
      <protection/>
    </xf>
    <xf numFmtId="3" fontId="5" fillId="35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3" fontId="16" fillId="3" borderId="10" xfId="0" applyNumberFormat="1" applyFont="1" applyFill="1" applyBorder="1" applyAlignment="1">
      <alignment horizontal="right"/>
    </xf>
    <xf numFmtId="0" fontId="5" fillId="0" borderId="11" xfId="70" applyFont="1" applyFill="1" applyBorder="1" applyAlignment="1">
      <alignment horizontal="left" vertical="top" wrapText="1" indent="2" shrinkToFit="1"/>
      <protection/>
    </xf>
    <xf numFmtId="3" fontId="67" fillId="2" borderId="10" xfId="67" applyNumberFormat="1" applyFont="1" applyFill="1" applyBorder="1" applyAlignment="1">
      <alignment horizontal="center"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7" fillId="2" borderId="13" xfId="67" applyFont="1" applyFill="1" applyBorder="1" applyAlignment="1">
      <alignment horizontal="left" vertical="center"/>
      <protection/>
    </xf>
    <xf numFmtId="0" fontId="67" fillId="2" borderId="14" xfId="67" applyFont="1" applyFill="1" applyBorder="1" applyAlignment="1">
      <alignment horizontal="left" vertical="center"/>
      <protection/>
    </xf>
    <xf numFmtId="3" fontId="67" fillId="2" borderId="10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zv.su/ru/building/standardprojects/sturgeon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atu.kz/Ryba-osetr.html" TargetMode="External" /><Relationship Id="rId2" Type="http://schemas.openxmlformats.org/officeDocument/2006/relationships/hyperlink" Target="http://www.kaspnirh.ru/price/" TargetMode="External" /><Relationship Id="rId3" Type="http://schemas.openxmlformats.org/officeDocument/2006/relationships/hyperlink" Target="http://www.rkc.maek.kz/ru/tariffs" TargetMode="External" /><Relationship Id="rId4" Type="http://schemas.openxmlformats.org/officeDocument/2006/relationships/hyperlink" Target="http://www.rkc.maek.kz/ru/tariffs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zv.su/ru/building/standardprojects/sturgeo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43"/>
  <sheetViews>
    <sheetView showGridLines="0" showZeros="0" zoomScalePageLayoutView="0" workbookViewId="0" topLeftCell="A1">
      <pane xSplit="3" ySplit="6" topLeftCell="L16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Y29" sqref="Y29"/>
    </sheetView>
  </sheetViews>
  <sheetFormatPr defaultColWidth="8.625" defaultRowHeight="12.75" outlineLevelRow="1" outlineLevelCol="1"/>
  <cols>
    <col min="1" max="1" width="37.25390625" style="58" customWidth="1"/>
    <col min="2" max="2" width="10.125" style="59" customWidth="1"/>
    <col min="3" max="3" width="1.875" style="59" customWidth="1"/>
    <col min="4" max="6" width="7.75390625" style="6" hidden="1" customWidth="1" outlineLevel="1"/>
    <col min="7" max="7" width="8.125" style="55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5" width="7.875" style="8" bestFit="1" customWidth="1"/>
    <col min="36" max="42" width="8.75390625" style="8" bestFit="1" customWidth="1"/>
    <col min="43" max="16384" width="8.625" style="8" customWidth="1"/>
  </cols>
  <sheetData>
    <row r="1" spans="1:27" ht="12.75">
      <c r="A1" s="60" t="s">
        <v>159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68254.14823297228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289" t="s">
        <v>2</v>
      </c>
      <c r="B5" s="291" t="s">
        <v>85</v>
      </c>
      <c r="C5" s="15"/>
      <c r="D5" s="291">
        <v>2014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>
        <v>2015</v>
      </c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15">
        <f>Q5+1</f>
        <v>2016</v>
      </c>
      <c r="AE5" s="15">
        <f>AD5+1</f>
        <v>2017</v>
      </c>
      <c r="AF5" s="15">
        <f>AE5+1</f>
        <v>2018</v>
      </c>
      <c r="AG5" s="15">
        <f>AF5+1</f>
        <v>2019</v>
      </c>
      <c r="AH5" s="15">
        <f>AG5+1</f>
        <v>2020</v>
      </c>
      <c r="AI5" s="15">
        <f>AH5+1</f>
        <v>2021</v>
      </c>
    </row>
    <row r="6" spans="1:35" ht="12.75">
      <c r="A6" s="290"/>
      <c r="B6" s="291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110</v>
      </c>
      <c r="AE6" s="15" t="s">
        <v>110</v>
      </c>
      <c r="AF6" s="15" t="s">
        <v>110</v>
      </c>
      <c r="AG6" s="15" t="s">
        <v>110</v>
      </c>
      <c r="AH6" s="15" t="s">
        <v>110</v>
      </c>
      <c r="AI6" s="15" t="s">
        <v>110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C36</f>
        <v>0</v>
      </c>
      <c r="E7" s="20">
        <f aca="true" t="shared" si="2" ref="E7:K7">D36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0</v>
      </c>
      <c r="P7" s="20">
        <f>D7</f>
        <v>0</v>
      </c>
      <c r="Q7" s="20">
        <f>P36</f>
        <v>0</v>
      </c>
      <c r="R7" s="20">
        <f aca="true" t="shared" si="3" ref="R7:AA7">Q36</f>
        <v>0</v>
      </c>
      <c r="S7" s="20">
        <f t="shared" si="3"/>
        <v>0</v>
      </c>
      <c r="T7" s="20">
        <f t="shared" si="3"/>
        <v>0</v>
      </c>
      <c r="U7" s="20">
        <f t="shared" si="3"/>
        <v>0</v>
      </c>
      <c r="V7" s="20">
        <f t="shared" si="3"/>
        <v>0</v>
      </c>
      <c r="W7" s="20">
        <f t="shared" si="3"/>
        <v>0</v>
      </c>
      <c r="X7" s="20">
        <f t="shared" si="3"/>
        <v>0</v>
      </c>
      <c r="Y7" s="20">
        <f t="shared" si="3"/>
        <v>0</v>
      </c>
      <c r="Z7" s="20">
        <f t="shared" si="3"/>
        <v>0</v>
      </c>
      <c r="AA7" s="20">
        <f t="shared" si="3"/>
        <v>4774.119146354167</v>
      </c>
      <c r="AB7" s="20">
        <f>AA36</f>
        <v>9548.238292708334</v>
      </c>
      <c r="AC7" s="20">
        <f>Q7</f>
        <v>0</v>
      </c>
      <c r="AD7" s="20">
        <f aca="true" t="shared" si="4" ref="AD7:AI7">AC36</f>
        <v>14322.357439062502</v>
      </c>
      <c r="AE7" s="20">
        <f t="shared" si="4"/>
        <v>31834.55727310904</v>
      </c>
      <c r="AF7" s="20">
        <f t="shared" si="4"/>
        <v>51503.65747854288</v>
      </c>
      <c r="AG7" s="20">
        <f t="shared" si="4"/>
        <v>68254.14823297228</v>
      </c>
      <c r="AH7" s="20">
        <f t="shared" si="4"/>
        <v>76868.46904893588</v>
      </c>
      <c r="AI7" s="20">
        <f t="shared" si="4"/>
        <v>87208.31016200931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871250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11616.666666666668</v>
      </c>
      <c r="AA9" s="27">
        <f t="shared" si="5"/>
        <v>11616.666666666668</v>
      </c>
      <c r="AB9" s="27">
        <f t="shared" si="5"/>
        <v>11616.666666666668</v>
      </c>
      <c r="AC9" s="27">
        <f t="shared" si="5"/>
        <v>34850</v>
      </c>
      <c r="AD9" s="27">
        <f t="shared" si="5"/>
        <v>139400</v>
      </c>
      <c r="AE9" s="27">
        <f t="shared" si="5"/>
        <v>139400</v>
      </c>
      <c r="AF9" s="27">
        <f t="shared" si="5"/>
        <v>139400</v>
      </c>
      <c r="AG9" s="27">
        <f t="shared" si="5"/>
        <v>139400</v>
      </c>
      <c r="AH9" s="27">
        <f t="shared" si="5"/>
        <v>139400</v>
      </c>
      <c r="AI9" s="27">
        <f t="shared" si="5"/>
        <v>139400</v>
      </c>
    </row>
    <row r="10" spans="1:35" ht="12.75">
      <c r="A10" s="28" t="str">
        <f>'2-ф2'!A6</f>
        <v>Осетрина</v>
      </c>
      <c r="B10" s="27">
        <f aca="true" t="shared" si="6" ref="B10:B18">P10+AC10+AD10+AE10+AF10+AG10+AH10+AI10</f>
        <v>871250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0</v>
      </c>
      <c r="R10" s="29">
        <f>'2-ф2'!R6*Исх!$C$19</f>
        <v>0</v>
      </c>
      <c r="S10" s="29">
        <f>'2-ф2'!S6*Исх!$C$19</f>
        <v>0</v>
      </c>
      <c r="T10" s="29">
        <f>'2-ф2'!T6*Исх!$C$19</f>
        <v>0</v>
      </c>
      <c r="U10" s="29">
        <f>'2-ф2'!U6*Исх!$C$19</f>
        <v>0</v>
      </c>
      <c r="V10" s="29">
        <f>'2-ф2'!V6*Исх!$C$19</f>
        <v>0</v>
      </c>
      <c r="W10" s="29">
        <f>'2-ф2'!W6*Исх!$C$19</f>
        <v>0</v>
      </c>
      <c r="X10" s="29">
        <f>'2-ф2'!X6*Исх!$C$19</f>
        <v>0</v>
      </c>
      <c r="Y10" s="29">
        <f>'2-ф2'!Y6*Исх!$C$19</f>
        <v>0</v>
      </c>
      <c r="Z10" s="29">
        <f>'2-ф2'!Z6*Исх!$C$19</f>
        <v>11616.666666666668</v>
      </c>
      <c r="AA10" s="29">
        <f>'2-ф2'!AA6*Исх!$C$19</f>
        <v>11616.666666666668</v>
      </c>
      <c r="AB10" s="29">
        <f>'2-ф2'!AB6*Исх!$C$19</f>
        <v>11616.666666666668</v>
      </c>
      <c r="AC10" s="27">
        <f>SUM(Q10:AB10)</f>
        <v>34850</v>
      </c>
      <c r="AD10" s="29">
        <f>'2-ф2'!AD6*Исх!$C$19</f>
        <v>139400</v>
      </c>
      <c r="AE10" s="29">
        <f>'2-ф2'!AE6*Исх!$C$19</f>
        <v>139400</v>
      </c>
      <c r="AF10" s="29">
        <f>'2-ф2'!AF6*Исх!$C$19</f>
        <v>139400</v>
      </c>
      <c r="AG10" s="29">
        <f>'2-ф2'!AG6*Исх!$C$19</f>
        <v>139400</v>
      </c>
      <c r="AH10" s="29">
        <f>'2-ф2'!AH6*Исх!$C$19</f>
        <v>139400</v>
      </c>
      <c r="AI10" s="29">
        <f>'2-ф2'!AI6*Исх!$C$19</f>
        <v>139400</v>
      </c>
    </row>
    <row r="11" spans="1:35" ht="12.75">
      <c r="A11" s="28">
        <f>'2-ф2'!A7</f>
        <v>0</v>
      </c>
      <c r="B11" s="27">
        <f>P11+AC11+AD11+AE11+AF11+AG11+AH11+AI11</f>
        <v>0</v>
      </c>
      <c r="C11" s="27"/>
      <c r="D11" s="29">
        <f>'2-ф2'!D7*Исх!$C$19</f>
        <v>0</v>
      </c>
      <c r="E11" s="29">
        <f>'2-ф2'!E7*Исх!$C$19</f>
        <v>0</v>
      </c>
      <c r="F11" s="29">
        <f>'2-ф2'!F7*Исх!$C$19</f>
        <v>0</v>
      </c>
      <c r="G11" s="29">
        <f>'2-ф2'!G7*Исх!$C$19</f>
        <v>0</v>
      </c>
      <c r="H11" s="29">
        <f>'2-ф2'!H7*Исх!$C$19</f>
        <v>0</v>
      </c>
      <c r="I11" s="29">
        <f>'2-ф2'!I7*Исх!$C$19</f>
        <v>0</v>
      </c>
      <c r="J11" s="29">
        <f>'2-ф2'!J7*Исх!$C$19</f>
        <v>0</v>
      </c>
      <c r="K11" s="29">
        <f>'2-ф2'!K7*Исх!$C$19</f>
        <v>0</v>
      </c>
      <c r="L11" s="29">
        <f>'2-ф2'!L7*Исх!$C$19</f>
        <v>0</v>
      </c>
      <c r="M11" s="29">
        <f>'2-ф2'!M7*Исх!$C$19</f>
        <v>0</v>
      </c>
      <c r="N11" s="29">
        <f>'2-ф2'!N7*Исх!$C$19</f>
        <v>0</v>
      </c>
      <c r="O11" s="29">
        <f>'2-ф2'!O7*Исх!$C$19</f>
        <v>0</v>
      </c>
      <c r="P11" s="27">
        <f>SUM(D11:O11)</f>
        <v>0</v>
      </c>
      <c r="Q11" s="29">
        <f>'2-ф2'!Q7*Исх!$C$19</f>
        <v>0</v>
      </c>
      <c r="R11" s="29">
        <f>'2-ф2'!R7*Исх!$C$19</f>
        <v>0</v>
      </c>
      <c r="S11" s="29">
        <f>'2-ф2'!S7*Исх!$C$19</f>
        <v>0</v>
      </c>
      <c r="T11" s="29">
        <f>'2-ф2'!T7*Исх!$C$19</f>
        <v>0</v>
      </c>
      <c r="U11" s="29">
        <f>'2-ф2'!U7*Исх!$C$19</f>
        <v>0</v>
      </c>
      <c r="V11" s="29">
        <f>'2-ф2'!V7*Исх!$C$19</f>
        <v>0</v>
      </c>
      <c r="W11" s="29">
        <f>'2-ф2'!W7*Исх!$C$19</f>
        <v>0</v>
      </c>
      <c r="X11" s="29">
        <f>'2-ф2'!X7*Исх!$C$19</f>
        <v>0</v>
      </c>
      <c r="Y11" s="29">
        <f>'2-ф2'!Y7*Исх!$C$19</f>
        <v>0</v>
      </c>
      <c r="Z11" s="29">
        <f>'2-ф2'!Z7*Исх!$C$19</f>
        <v>0</v>
      </c>
      <c r="AA11" s="29">
        <f>'2-ф2'!AA7*Исх!$C$19</f>
        <v>0</v>
      </c>
      <c r="AB11" s="29">
        <f>'2-ф2'!AB7*Исх!$C$19</f>
        <v>0</v>
      </c>
      <c r="AC11" s="27">
        <f>SUM(Q11:AB11)</f>
        <v>0</v>
      </c>
      <c r="AD11" s="29">
        <f>'2-ф2'!AD7*Исх!$C$19</f>
        <v>0</v>
      </c>
      <c r="AE11" s="29">
        <f>'2-ф2'!AE7*Исх!$C$19</f>
        <v>0</v>
      </c>
      <c r="AF11" s="29">
        <f>'2-ф2'!AF7*Исх!$C$19</f>
        <v>0</v>
      </c>
      <c r="AG11" s="29">
        <f>'2-ф2'!AG7*Исх!$C$19</f>
        <v>0</v>
      </c>
      <c r="AH11" s="29">
        <f>'2-ф2'!AH7*Исх!$C$19</f>
        <v>0</v>
      </c>
      <c r="AI11" s="29">
        <f>'2-ф2'!AI7*Исх!$C$19</f>
        <v>0</v>
      </c>
    </row>
    <row r="12" spans="1:35" s="21" customFormat="1" ht="12.75">
      <c r="A12" s="30" t="s">
        <v>4</v>
      </c>
      <c r="B12" s="27">
        <f>SUM(B13:B18)</f>
        <v>683348.3118157609</v>
      </c>
      <c r="C12" s="27"/>
      <c r="D12" s="31">
        <f aca="true" t="shared" si="7" ref="D12:AI12">SUM(D13:D18)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9761.715</v>
      </c>
      <c r="M12" s="31">
        <f t="shared" si="7"/>
        <v>6844.7318813616075</v>
      </c>
      <c r="N12" s="31">
        <f t="shared" si="7"/>
        <v>6844.7318813616075</v>
      </c>
      <c r="O12" s="31">
        <f t="shared" si="7"/>
        <v>6844.7318813616075</v>
      </c>
      <c r="P12" s="31">
        <f t="shared" si="7"/>
        <v>30295.910644084823</v>
      </c>
      <c r="Q12" s="31">
        <f t="shared" si="7"/>
        <v>6842.547520312501</v>
      </c>
      <c r="R12" s="31">
        <f t="shared" si="7"/>
        <v>6842.547520312501</v>
      </c>
      <c r="S12" s="31">
        <f t="shared" si="7"/>
        <v>6842.547520312501</v>
      </c>
      <c r="T12" s="31">
        <f t="shared" si="7"/>
        <v>6842.547520312501</v>
      </c>
      <c r="U12" s="31">
        <f t="shared" si="7"/>
        <v>6842.547520312501</v>
      </c>
      <c r="V12" s="31">
        <f t="shared" si="7"/>
        <v>6842.547520312501</v>
      </c>
      <c r="W12" s="31">
        <f t="shared" si="7"/>
        <v>6842.547520312501</v>
      </c>
      <c r="X12" s="31">
        <f t="shared" si="7"/>
        <v>6842.547520312501</v>
      </c>
      <c r="Y12" s="31">
        <f t="shared" si="7"/>
        <v>6842.547520312501</v>
      </c>
      <c r="Z12" s="31">
        <f t="shared" si="7"/>
        <v>6842.547520312501</v>
      </c>
      <c r="AA12" s="31">
        <f t="shared" si="7"/>
        <v>6842.547520312501</v>
      </c>
      <c r="AB12" s="31">
        <f t="shared" si="7"/>
        <v>6842.547520312501</v>
      </c>
      <c r="AC12" s="31">
        <f t="shared" si="7"/>
        <v>82110.57024375</v>
      </c>
      <c r="AD12" s="31">
        <f t="shared" si="7"/>
        <v>91674.07674817568</v>
      </c>
      <c r="AE12" s="31">
        <f t="shared" si="7"/>
        <v>89517.17637678837</v>
      </c>
      <c r="AF12" s="31">
        <f t="shared" si="7"/>
        <v>92435.78582779282</v>
      </c>
      <c r="AG12" s="31">
        <f t="shared" si="7"/>
        <v>100571.95576625862</v>
      </c>
      <c r="AH12" s="31">
        <f t="shared" si="7"/>
        <v>98846.43546914878</v>
      </c>
      <c r="AI12" s="31">
        <f t="shared" si="7"/>
        <v>97896.40073976191</v>
      </c>
    </row>
    <row r="13" spans="1:35" ht="12.75">
      <c r="A13" s="28" t="str">
        <f>'2-ф2'!A9</f>
        <v>Корма, мальки</v>
      </c>
      <c r="B13" s="27">
        <f>P13+AC13+AD13+AE13+AF13+AG13+AH13+AI13</f>
        <v>292851.44999999995</v>
      </c>
      <c r="C13" s="27"/>
      <c r="D13" s="29">
        <f>'2-ф2'!D11*Исх!$C$19</f>
        <v>0</v>
      </c>
      <c r="E13" s="29">
        <f>'2-ф2'!E9*Исх!$C$19</f>
        <v>0</v>
      </c>
      <c r="F13" s="29">
        <f>'2-ф2'!F9*Исх!$C$19</f>
        <v>0</v>
      </c>
      <c r="G13" s="29">
        <f>'2-ф2'!G9*Исх!$C$19</f>
        <v>0</v>
      </c>
      <c r="H13" s="29">
        <f>'2-ф2'!H9*Исх!$C$19</f>
        <v>0</v>
      </c>
      <c r="I13" s="29">
        <f>'2-ф2'!I9*Исх!$C$19</f>
        <v>0</v>
      </c>
      <c r="J13" s="29">
        <f>'2-ф2'!J9*Исх!$C$19</f>
        <v>0</v>
      </c>
      <c r="K13" s="29">
        <f>'2-ф2'!K9*Исх!$C$19</f>
        <v>0</v>
      </c>
      <c r="L13" s="29">
        <f>M13*3</f>
        <v>9761.715</v>
      </c>
      <c r="M13" s="29">
        <f>'2-ф2'!M9*Исх!$C$19</f>
        <v>3253.9049999999997</v>
      </c>
      <c r="N13" s="29">
        <f>'2-ф2'!N9*Исх!$C$19</f>
        <v>3253.9049999999997</v>
      </c>
      <c r="O13" s="29">
        <f>'2-ф2'!O9*Исх!$C$19</f>
        <v>3253.9049999999997</v>
      </c>
      <c r="P13" s="27">
        <f aca="true" t="shared" si="8" ref="P13:P18">SUM(D13:O13)</f>
        <v>19523.429999999997</v>
      </c>
      <c r="Q13" s="29">
        <f>'2-ф2'!Q9*Исх!$C$19</f>
        <v>3253.9049999999997</v>
      </c>
      <c r="R13" s="29">
        <f>'2-ф2'!R9*Исх!$C$19</f>
        <v>3253.9049999999997</v>
      </c>
      <c r="S13" s="29">
        <f>'2-ф2'!S9*Исх!$C$19</f>
        <v>3253.9049999999997</v>
      </c>
      <c r="T13" s="29">
        <f>'2-ф2'!T9*Исх!$C$19</f>
        <v>3253.9049999999997</v>
      </c>
      <c r="U13" s="29">
        <f>'2-ф2'!U9*Исх!$C$19</f>
        <v>3253.9049999999997</v>
      </c>
      <c r="V13" s="29">
        <f>'2-ф2'!V9*Исх!$C$19</f>
        <v>3253.9049999999997</v>
      </c>
      <c r="W13" s="29">
        <f>'2-ф2'!W9*Исх!$C$19</f>
        <v>3253.9049999999997</v>
      </c>
      <c r="X13" s="29">
        <f>'2-ф2'!X9*Исх!$C$19</f>
        <v>3253.9049999999997</v>
      </c>
      <c r="Y13" s="29">
        <f>'2-ф2'!Y9*Исх!$C$19</f>
        <v>3253.9049999999997</v>
      </c>
      <c r="Z13" s="29">
        <f>'2-ф2'!Z9*Исх!$C$19</f>
        <v>3253.9049999999997</v>
      </c>
      <c r="AA13" s="29">
        <f>'2-ф2'!AA9*Исх!$C$19</f>
        <v>3253.9049999999997</v>
      </c>
      <c r="AB13" s="29">
        <f>'2-ф2'!AB9*Исх!$C$19</f>
        <v>3253.9049999999997</v>
      </c>
      <c r="AC13" s="27">
        <f aca="true" t="shared" si="9" ref="AC13:AC18">SUM(Q13:AB13)</f>
        <v>39046.85999999999</v>
      </c>
      <c r="AD13" s="29">
        <f>'2-ф2'!AD9*Исх!$C$19</f>
        <v>39046.86</v>
      </c>
      <c r="AE13" s="29">
        <f>'2-ф2'!AE9*Исх!$C$19</f>
        <v>39046.86</v>
      </c>
      <c r="AF13" s="29">
        <f>'2-ф2'!AF9*Исх!$C$19</f>
        <v>39046.86</v>
      </c>
      <c r="AG13" s="29">
        <f>'2-ф2'!AG9*Исх!$C$19</f>
        <v>39046.86</v>
      </c>
      <c r="AH13" s="29">
        <f>'2-ф2'!AH9*Исх!$C$19</f>
        <v>39046.86</v>
      </c>
      <c r="AI13" s="29">
        <f>'2-ф2'!AI9*Исх!$C$19</f>
        <v>39046.86</v>
      </c>
    </row>
    <row r="14" spans="1:35" ht="12.75">
      <c r="A14" s="28" t="str">
        <f>'2-ф2'!A10</f>
        <v>Цех. расходы (вода, электроэнергия)</v>
      </c>
      <c r="B14" s="27">
        <f>P14+AC14+AD14+AE14+AF14+AG14+AH14+AI14</f>
        <v>113282.40419999999</v>
      </c>
      <c r="C14" s="27"/>
      <c r="D14" s="29">
        <f>'2-ф2'!D12*Исх!$C$19</f>
        <v>0</v>
      </c>
      <c r="E14" s="29">
        <f>'2-ф2'!E10*Исх!$C$19</f>
        <v>0</v>
      </c>
      <c r="F14" s="29">
        <f>'2-ф2'!F10*Исх!$C$19</f>
        <v>0</v>
      </c>
      <c r="G14" s="29">
        <f>'2-ф2'!G10*Исх!$C$19</f>
        <v>0</v>
      </c>
      <c r="H14" s="29">
        <f>'2-ф2'!H10*Исх!$C$19</f>
        <v>0</v>
      </c>
      <c r="I14" s="29">
        <f>'2-ф2'!I10*Исх!$C$19</f>
        <v>0</v>
      </c>
      <c r="J14" s="29">
        <f>'2-ф2'!J10*Исх!$C$19</f>
        <v>0</v>
      </c>
      <c r="K14" s="29">
        <f>'2-ф2'!K10*Исх!$C$19</f>
        <v>0</v>
      </c>
      <c r="L14" s="29">
        <f>'2-ф2'!L10*Исх!$C$19</f>
        <v>0</v>
      </c>
      <c r="M14" s="29">
        <f>'2-ф2'!M10*Исх!$C$19</f>
        <v>1302.0966000000003</v>
      </c>
      <c r="N14" s="29">
        <f>'2-ф2'!N10*Исх!$C$19</f>
        <v>1302.0966000000003</v>
      </c>
      <c r="O14" s="29">
        <f>'2-ф2'!O10*Исх!$C$19</f>
        <v>1302.0966000000003</v>
      </c>
      <c r="P14" s="27">
        <f t="shared" si="8"/>
        <v>3906.289800000001</v>
      </c>
      <c r="Q14" s="29">
        <f>'2-ф2'!Q10*Исх!$C$19</f>
        <v>1302.0966000000003</v>
      </c>
      <c r="R14" s="29">
        <f>'2-ф2'!R10*Исх!$C$19</f>
        <v>1302.0966000000003</v>
      </c>
      <c r="S14" s="29">
        <f>'2-ф2'!S10*Исх!$C$19</f>
        <v>1302.0966000000003</v>
      </c>
      <c r="T14" s="29">
        <f>'2-ф2'!T10*Исх!$C$19</f>
        <v>1302.0966000000003</v>
      </c>
      <c r="U14" s="29">
        <f>'2-ф2'!U10*Исх!$C$19</f>
        <v>1302.0966000000003</v>
      </c>
      <c r="V14" s="29">
        <f>'2-ф2'!V10*Исх!$C$19</f>
        <v>1302.0966000000003</v>
      </c>
      <c r="W14" s="29">
        <f>'2-ф2'!W10*Исх!$C$19</f>
        <v>1302.0966000000003</v>
      </c>
      <c r="X14" s="29">
        <f>'2-ф2'!X10*Исх!$C$19</f>
        <v>1302.0966000000003</v>
      </c>
      <c r="Y14" s="29">
        <f>'2-ф2'!Y10*Исх!$C$19</f>
        <v>1302.0966000000003</v>
      </c>
      <c r="Z14" s="29">
        <f>'2-ф2'!Z10*Исх!$C$19</f>
        <v>1302.0966000000003</v>
      </c>
      <c r="AA14" s="29">
        <f>'2-ф2'!AA10*Исх!$C$19</f>
        <v>1302.0966000000003</v>
      </c>
      <c r="AB14" s="29">
        <f>'2-ф2'!AB10*Исх!$C$19</f>
        <v>1302.0966000000003</v>
      </c>
      <c r="AC14" s="27">
        <f t="shared" si="9"/>
        <v>15625.159200000007</v>
      </c>
      <c r="AD14" s="29">
        <f>'2-ф2'!AD10*Исх!$C$19</f>
        <v>15625.159200000002</v>
      </c>
      <c r="AE14" s="29">
        <f>'2-ф2'!AE10*Исх!$C$19</f>
        <v>15625.159200000002</v>
      </c>
      <c r="AF14" s="29">
        <f>'2-ф2'!AF10*Исх!$C$19</f>
        <v>15625.159200000002</v>
      </c>
      <c r="AG14" s="29">
        <f>'2-ф2'!AG10*Исх!$C$19</f>
        <v>15625.159200000002</v>
      </c>
      <c r="AH14" s="29">
        <f>'2-ф2'!AH10*Исх!$C$19</f>
        <v>15625.159200000002</v>
      </c>
      <c r="AI14" s="29">
        <f>'2-ф2'!AI10*Исх!$C$19</f>
        <v>15625.159200000002</v>
      </c>
    </row>
    <row r="15" spans="1:35" ht="12.75">
      <c r="A15" s="28" t="s">
        <v>143</v>
      </c>
      <c r="B15" s="27">
        <f>P15+AC15+AD15+AE15+AF15+AG15+AH15+AI15</f>
        <v>198055.3137753349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>
        <f>(Пост!$C$14-Пост!$C$6)*Исх!$C$19+Пост!$C$6+Пост!$C$16+Пост!$C$19</f>
        <v>2288.730281361608</v>
      </c>
      <c r="N15" s="29">
        <f>(Пост!$C$14-Пост!$C$6)*Исх!$C$19+Пост!$C$6+Пост!$C$16+Пост!$C$19</f>
        <v>2288.730281361608</v>
      </c>
      <c r="O15" s="29">
        <f>(Пост!$C$14-Пост!$C$6)*Исх!$C$19+Пост!$C$6+Пост!$C$16+Пост!$C$19</f>
        <v>2288.730281361608</v>
      </c>
      <c r="P15" s="27">
        <f t="shared" si="8"/>
        <v>6866.190844084824</v>
      </c>
      <c r="Q15" s="29">
        <f>(Пост!$D$14-Пост!$D$6)*Исх!$C$19+Пост!$D$6+Пост!$D$16+Пост!$D$19</f>
        <v>2286.5459203125006</v>
      </c>
      <c r="R15" s="29">
        <f>(Пост!$D$14-Пост!$D$6)*Исх!$C$19+Пост!$D$6+Пост!$D$16+Пост!$D$19</f>
        <v>2286.5459203125006</v>
      </c>
      <c r="S15" s="29">
        <f>(Пост!$D$14-Пост!$D$6)*Исх!$C$19+Пост!$D$6+Пост!$D$16+Пост!$D$19</f>
        <v>2286.5459203125006</v>
      </c>
      <c r="T15" s="29">
        <f>(Пост!$D$14-Пост!$D$6)*Исх!$C$19+Пост!$D$6+Пост!$D$16+Пост!$D$19</f>
        <v>2286.5459203125006</v>
      </c>
      <c r="U15" s="29">
        <f>(Пост!$D$14-Пост!$D$6)*Исх!$C$19+Пост!$D$6+Пост!$D$16+Пост!$D$19</f>
        <v>2286.5459203125006</v>
      </c>
      <c r="V15" s="29">
        <f>(Пост!$D$14-Пост!$D$6)*Исх!$C$19+Пост!$D$6+Пост!$D$16+Пост!$D$19</f>
        <v>2286.5459203125006</v>
      </c>
      <c r="W15" s="29">
        <f>(Пост!$D$14-Пост!$D$6)*Исх!$C$19+Пост!$D$6+Пост!$D$16+Пост!$D$19</f>
        <v>2286.5459203125006</v>
      </c>
      <c r="X15" s="29">
        <f>(Пост!$D$14-Пост!$D$6)*Исх!$C$19+Пост!$D$6+Пост!$D$16+Пост!$D$19</f>
        <v>2286.5459203125006</v>
      </c>
      <c r="Y15" s="29">
        <f>(Пост!$D$14-Пост!$D$6)*Исх!$C$19+Пост!$D$6+Пост!$D$16+Пост!$D$19</f>
        <v>2286.5459203125006</v>
      </c>
      <c r="Z15" s="29">
        <f>(Пост!$D$14-Пост!$D$6)*Исх!$C$19+Пост!$D$6+Пост!$D$16+Пост!$D$19</f>
        <v>2286.5459203125006</v>
      </c>
      <c r="AA15" s="29">
        <f>(Пост!$D$14-Пост!$D$6)*Исх!$C$19+Пост!$D$6+Пост!$D$16+Пост!$D$19</f>
        <v>2286.5459203125006</v>
      </c>
      <c r="AB15" s="29">
        <f>(Пост!$D$14-Пост!$D$6)*Исх!$C$19+Пост!$D$6+Пост!$D$16+Пост!$D$19</f>
        <v>2286.5459203125006</v>
      </c>
      <c r="AC15" s="27">
        <f t="shared" si="9"/>
        <v>27438.55104375</v>
      </c>
      <c r="AD15" s="29">
        <f>((Пост!E14-Пост!E6)*Исх!$C$19+Пост!E6+Пост!E16+Пост!E19)*12</f>
        <v>27396.61131160715</v>
      </c>
      <c r="AE15" s="29">
        <f>((Пост!F14-Пост!F6)*Исх!$C$19+Пост!F6+Пост!F16+Пост!F19)*12</f>
        <v>27354.671579464295</v>
      </c>
      <c r="AF15" s="29">
        <f>((Пост!G14-Пост!G6)*Исх!$C$19+Пост!G6+Пост!G16+Пост!G19)*12</f>
        <v>27312.731847321436</v>
      </c>
      <c r="AG15" s="29">
        <f>((Пост!H14-Пост!H6)*Исх!$C$19+Пост!H6+Пост!H16+Пост!H19)*12</f>
        <v>27270.792115178578</v>
      </c>
      <c r="AH15" s="29">
        <f>((Пост!I14-Пост!I6)*Исх!$C$19+Пост!I6+Пост!I16+Пост!I19)*12</f>
        <v>27228.85238303572</v>
      </c>
      <c r="AI15" s="29">
        <f>((Пост!J14-Пост!J6)*Исх!$C$19+Пост!J6+Пост!J16+Пост!J19)*12</f>
        <v>27186.912650892868</v>
      </c>
    </row>
    <row r="16" spans="1:35" ht="12.75">
      <c r="A16" s="28" t="s">
        <v>51</v>
      </c>
      <c r="B16" s="27">
        <f t="shared" si="6"/>
        <v>26877.624790398157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0</v>
      </c>
      <c r="O16" s="29">
        <f>кр!N11</f>
        <v>0</v>
      </c>
      <c r="P16" s="27">
        <f t="shared" si="8"/>
        <v>0</v>
      </c>
      <c r="Q16" s="29">
        <f>кр!P11</f>
        <v>0</v>
      </c>
      <c r="R16" s="29">
        <f>кр!Q11</f>
        <v>0</v>
      </c>
      <c r="S16" s="29">
        <f>кр!R11</f>
        <v>0</v>
      </c>
      <c r="T16" s="29">
        <f>кр!S11</f>
        <v>0</v>
      </c>
      <c r="U16" s="29">
        <f>кр!T11</f>
        <v>0</v>
      </c>
      <c r="V16" s="29">
        <f>кр!U11</f>
        <v>0</v>
      </c>
      <c r="W16" s="29">
        <f>кр!V11</f>
        <v>0</v>
      </c>
      <c r="X16" s="29">
        <f>кр!W11</f>
        <v>0</v>
      </c>
      <c r="Y16" s="29">
        <f>кр!X11</f>
        <v>0</v>
      </c>
      <c r="Z16" s="29">
        <f>кр!Y11</f>
        <v>0</v>
      </c>
      <c r="AA16" s="29">
        <f>кр!Z11</f>
        <v>0</v>
      </c>
      <c r="AB16" s="29">
        <f>кр!AA11</f>
        <v>0</v>
      </c>
      <c r="AC16" s="27">
        <f t="shared" si="9"/>
        <v>0</v>
      </c>
      <c r="AD16" s="32">
        <f>кр!AO11</f>
        <v>9605.446236568516</v>
      </c>
      <c r="AE16" s="32">
        <f>кр!BB11</f>
        <v>7490.485597324074</v>
      </c>
      <c r="AF16" s="32">
        <f>кр!BO11</f>
        <v>5375.524958079631</v>
      </c>
      <c r="AG16" s="32">
        <f>кр!CB11</f>
        <v>3260.5643188351887</v>
      </c>
      <c r="AH16" s="32">
        <f>кр!CO11</f>
        <v>1145.6036795907448</v>
      </c>
      <c r="AI16" s="32">
        <f>кр!DB11</f>
        <v>3.628883860073984E-12</v>
      </c>
    </row>
    <row r="17" spans="1:35" ht="12.75">
      <c r="A17" s="28" t="str">
        <f>'2-ф2'!A16</f>
        <v>Корпоративный подоходный налог</v>
      </c>
      <c r="B17" s="27">
        <f t="shared" si="6"/>
        <v>28804.5234285994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8"/>
        <v>0</v>
      </c>
      <c r="Q17" s="29">
        <f>'2-ф2'!Q16</f>
        <v>0</v>
      </c>
      <c r="R17" s="29">
        <f>'2-ф2'!R16</f>
        <v>0</v>
      </c>
      <c r="S17" s="29">
        <f>'2-ф2'!S16</f>
        <v>0</v>
      </c>
      <c r="T17" s="29">
        <f>'2-ф2'!T16</f>
        <v>0</v>
      </c>
      <c r="U17" s="29">
        <f>'2-ф2'!U16</f>
        <v>0</v>
      </c>
      <c r="V17" s="29">
        <f>'2-ф2'!V16</f>
        <v>0</v>
      </c>
      <c r="W17" s="29">
        <f>'2-ф2'!W16</f>
        <v>0</v>
      </c>
      <c r="X17" s="29">
        <f>'2-ф2'!X16</f>
        <v>0</v>
      </c>
      <c r="Y17" s="29">
        <f>'2-ф2'!Y16</f>
        <v>0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9"/>
        <v>0</v>
      </c>
      <c r="AD17" s="29">
        <f>'2-ф2'!AD16</f>
        <v>0</v>
      </c>
      <c r="AE17" s="29">
        <f>'2-ф2'!AE16</f>
        <v>0</v>
      </c>
      <c r="AF17" s="29">
        <f>'2-ф2'!AF16</f>
        <v>3972.508029534604</v>
      </c>
      <c r="AG17" s="29">
        <f>'2-ф2'!AG16</f>
        <v>7910.582189387721</v>
      </c>
      <c r="AH17" s="29">
        <f>'2-ф2'!AH16</f>
        <v>8341.96226366518</v>
      </c>
      <c r="AI17" s="29">
        <f>'2-ф2'!AI16</f>
        <v>8579.4709460119</v>
      </c>
    </row>
    <row r="18" spans="1:35" ht="12.75">
      <c r="A18" s="28" t="s">
        <v>31</v>
      </c>
      <c r="B18" s="27">
        <f t="shared" si="6"/>
        <v>23476.995621428567</v>
      </c>
      <c r="C18" s="27"/>
      <c r="D18" s="29">
        <f>'2-ф2'!D31</f>
        <v>0</v>
      </c>
      <c r="E18" s="29">
        <f>'2-ф2'!E31</f>
        <v>0</v>
      </c>
      <c r="F18" s="29">
        <f>'2-ф2'!F31</f>
        <v>0</v>
      </c>
      <c r="G18" s="29">
        <f>'2-ф2'!G31</f>
        <v>0</v>
      </c>
      <c r="H18" s="29">
        <f>'2-ф2'!H31</f>
        <v>0</v>
      </c>
      <c r="I18" s="29">
        <f>'2-ф2'!I31</f>
        <v>0</v>
      </c>
      <c r="J18" s="29">
        <f>'2-ф2'!J31</f>
        <v>0</v>
      </c>
      <c r="K18" s="29">
        <f>'2-ф2'!K31</f>
        <v>0</v>
      </c>
      <c r="L18" s="29">
        <f>'2-ф2'!L31</f>
        <v>0</v>
      </c>
      <c r="M18" s="29">
        <f>'2-ф2'!M31</f>
        <v>0</v>
      </c>
      <c r="N18" s="29">
        <f>'2-ф2'!N31</f>
        <v>0</v>
      </c>
      <c r="O18" s="29">
        <f>'2-ф2'!O31</f>
        <v>0</v>
      </c>
      <c r="P18" s="27">
        <f t="shared" si="8"/>
        <v>0</v>
      </c>
      <c r="Q18" s="29">
        <f>'2-ф2'!Q31</f>
        <v>0</v>
      </c>
      <c r="R18" s="29">
        <f>'2-ф2'!R31</f>
        <v>0</v>
      </c>
      <c r="S18" s="29">
        <f>'2-ф2'!S31</f>
        <v>0</v>
      </c>
      <c r="T18" s="29">
        <f>'2-ф2'!T31</f>
        <v>0</v>
      </c>
      <c r="U18" s="29">
        <f>'2-ф2'!U31</f>
        <v>0</v>
      </c>
      <c r="V18" s="29">
        <f>'2-ф2'!V31</f>
        <v>0</v>
      </c>
      <c r="W18" s="29">
        <f>'2-ф2'!W31</f>
        <v>0</v>
      </c>
      <c r="X18" s="29">
        <f>'2-ф2'!X31</f>
        <v>0</v>
      </c>
      <c r="Y18" s="29">
        <f>'2-ф2'!Y31</f>
        <v>0</v>
      </c>
      <c r="Z18" s="29">
        <f>'2-ф2'!Z31</f>
        <v>0</v>
      </c>
      <c r="AA18" s="29">
        <f>'2-ф2'!AA31</f>
        <v>0</v>
      </c>
      <c r="AB18" s="29">
        <f>'2-ф2'!AB31</f>
        <v>0</v>
      </c>
      <c r="AC18" s="27">
        <f t="shared" si="9"/>
        <v>0</v>
      </c>
      <c r="AD18" s="29">
        <f>'2-ф2'!AD31</f>
        <v>0</v>
      </c>
      <c r="AE18" s="29">
        <f>'2-ф2'!AE31</f>
        <v>0</v>
      </c>
      <c r="AF18" s="29">
        <f>'2-ф2'!AF31</f>
        <v>1103.0017928571497</v>
      </c>
      <c r="AG18" s="29">
        <f>'2-ф2'!AG31</f>
        <v>7457.99794285714</v>
      </c>
      <c r="AH18" s="29">
        <f>'2-ф2'!AH31</f>
        <v>7457.99794285714</v>
      </c>
      <c r="AI18" s="29">
        <f>'2-ф2'!AI31</f>
        <v>7457.99794285714</v>
      </c>
    </row>
    <row r="19" spans="1:35" s="21" customFormat="1" ht="25.5">
      <c r="A19" s="33" t="s">
        <v>17</v>
      </c>
      <c r="B19" s="18">
        <f>B9-B12</f>
        <v>187901.6881842391</v>
      </c>
      <c r="C19" s="18"/>
      <c r="D19" s="18">
        <f aca="true" t="shared" si="10" ref="D19:AI19">D9-D12</f>
        <v>0</v>
      </c>
      <c r="E19" s="18">
        <f t="shared" si="10"/>
        <v>0</v>
      </c>
      <c r="F19" s="18">
        <f t="shared" si="10"/>
        <v>0</v>
      </c>
      <c r="G19" s="18">
        <f t="shared" si="10"/>
        <v>0</v>
      </c>
      <c r="H19" s="18">
        <f t="shared" si="10"/>
        <v>0</v>
      </c>
      <c r="I19" s="18">
        <f t="shared" si="10"/>
        <v>0</v>
      </c>
      <c r="J19" s="18">
        <f t="shared" si="10"/>
        <v>0</v>
      </c>
      <c r="K19" s="18">
        <f t="shared" si="10"/>
        <v>0</v>
      </c>
      <c r="L19" s="18">
        <f t="shared" si="10"/>
        <v>-9761.715</v>
      </c>
      <c r="M19" s="18">
        <f t="shared" si="10"/>
        <v>-6844.7318813616075</v>
      </c>
      <c r="N19" s="18">
        <f t="shared" si="10"/>
        <v>-6844.7318813616075</v>
      </c>
      <c r="O19" s="18">
        <f t="shared" si="10"/>
        <v>-6844.7318813616075</v>
      </c>
      <c r="P19" s="18">
        <f t="shared" si="10"/>
        <v>-30295.910644084823</v>
      </c>
      <c r="Q19" s="18">
        <f t="shared" si="10"/>
        <v>-6842.547520312501</v>
      </c>
      <c r="R19" s="18">
        <f t="shared" si="10"/>
        <v>-6842.547520312501</v>
      </c>
      <c r="S19" s="18">
        <f t="shared" si="10"/>
        <v>-6842.547520312501</v>
      </c>
      <c r="T19" s="18">
        <f t="shared" si="10"/>
        <v>-6842.547520312501</v>
      </c>
      <c r="U19" s="18">
        <f t="shared" si="10"/>
        <v>-6842.547520312501</v>
      </c>
      <c r="V19" s="18">
        <f t="shared" si="10"/>
        <v>-6842.547520312501</v>
      </c>
      <c r="W19" s="18">
        <f t="shared" si="10"/>
        <v>-6842.547520312501</v>
      </c>
      <c r="X19" s="18">
        <f t="shared" si="10"/>
        <v>-6842.547520312501</v>
      </c>
      <c r="Y19" s="18">
        <f t="shared" si="10"/>
        <v>-6842.547520312501</v>
      </c>
      <c r="Z19" s="18">
        <f t="shared" si="10"/>
        <v>4774.119146354167</v>
      </c>
      <c r="AA19" s="18">
        <f t="shared" si="10"/>
        <v>4774.119146354167</v>
      </c>
      <c r="AB19" s="18">
        <f t="shared" si="10"/>
        <v>4774.119146354167</v>
      </c>
      <c r="AC19" s="18">
        <f t="shared" si="10"/>
        <v>-47260.57024375</v>
      </c>
      <c r="AD19" s="18">
        <f t="shared" si="10"/>
        <v>47725.92325182432</v>
      </c>
      <c r="AE19" s="18">
        <f t="shared" si="10"/>
        <v>49882.82362321163</v>
      </c>
      <c r="AF19" s="18">
        <f t="shared" si="10"/>
        <v>46964.21417220718</v>
      </c>
      <c r="AG19" s="18">
        <f t="shared" si="10"/>
        <v>38828.044233741384</v>
      </c>
      <c r="AH19" s="18">
        <f t="shared" si="10"/>
        <v>40553.56453085122</v>
      </c>
      <c r="AI19" s="18">
        <f t="shared" si="10"/>
        <v>41503.59926023809</v>
      </c>
    </row>
    <row r="20" spans="1:35" s="21" customFormat="1" ht="12.75">
      <c r="A20" s="22" t="s">
        <v>18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4"/>
      <c r="AD20" s="34"/>
      <c r="AE20" s="34"/>
      <c r="AF20" s="34"/>
      <c r="AG20" s="34"/>
      <c r="AH20" s="34"/>
      <c r="AI20" s="34"/>
    </row>
    <row r="21" spans="1:35" s="21" customFormat="1" ht="12.75">
      <c r="A21" s="26" t="s">
        <v>5</v>
      </c>
      <c r="B21" s="27"/>
      <c r="C21" s="2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27"/>
      <c r="AD21" s="27"/>
      <c r="AE21" s="27"/>
      <c r="AF21" s="27"/>
      <c r="AG21" s="27"/>
      <c r="AH21" s="27"/>
      <c r="AI21" s="27"/>
    </row>
    <row r="22" spans="1:35" s="21" customFormat="1" ht="12.75">
      <c r="A22" s="26" t="s">
        <v>6</v>
      </c>
      <c r="B22" s="27">
        <f>SUM(B23:B24)</f>
        <v>136377.52000000002</v>
      </c>
      <c r="C22" s="27"/>
      <c r="D22" s="27">
        <f aca="true" t="shared" si="11" ref="D22:AC22">SUM(D23:D24)</f>
        <v>2050</v>
      </c>
      <c r="E22" s="27">
        <f t="shared" si="11"/>
        <v>2050</v>
      </c>
      <c r="F22" s="27">
        <f t="shared" si="11"/>
        <v>25706.453333333342</v>
      </c>
      <c r="G22" s="27">
        <f t="shared" si="11"/>
        <v>35792.45333333334</v>
      </c>
      <c r="H22" s="27">
        <f>SUM(H23:H24)</f>
        <v>10086</v>
      </c>
      <c r="I22" s="27">
        <f t="shared" si="11"/>
        <v>11419.333333333334</v>
      </c>
      <c r="J22" s="27">
        <f t="shared" si="11"/>
        <v>11419.333333333334</v>
      </c>
      <c r="K22" s="27">
        <f t="shared" si="11"/>
        <v>11419.333333333334</v>
      </c>
      <c r="L22" s="27">
        <f t="shared" si="11"/>
        <v>26434.613333333342</v>
      </c>
      <c r="M22" s="27">
        <f t="shared" si="11"/>
        <v>0</v>
      </c>
      <c r="N22" s="27">
        <f t="shared" si="11"/>
        <v>0</v>
      </c>
      <c r="O22" s="27">
        <f t="shared" si="11"/>
        <v>0</v>
      </c>
      <c r="P22" s="27">
        <f t="shared" si="11"/>
        <v>136377.52000000002</v>
      </c>
      <c r="Q22" s="27">
        <f t="shared" si="11"/>
        <v>0</v>
      </c>
      <c r="R22" s="27">
        <f t="shared" si="11"/>
        <v>0</v>
      </c>
      <c r="S22" s="27">
        <f t="shared" si="11"/>
        <v>0</v>
      </c>
      <c r="T22" s="27">
        <f t="shared" si="11"/>
        <v>0</v>
      </c>
      <c r="U22" s="27">
        <f t="shared" si="11"/>
        <v>0</v>
      </c>
      <c r="V22" s="27">
        <f t="shared" si="11"/>
        <v>0</v>
      </c>
      <c r="W22" s="27">
        <f t="shared" si="11"/>
        <v>0</v>
      </c>
      <c r="X22" s="27">
        <f t="shared" si="11"/>
        <v>0</v>
      </c>
      <c r="Y22" s="27">
        <f t="shared" si="11"/>
        <v>0</v>
      </c>
      <c r="Z22" s="27">
        <f t="shared" si="11"/>
        <v>0</v>
      </c>
      <c r="AA22" s="27">
        <f t="shared" si="11"/>
        <v>0</v>
      </c>
      <c r="AB22" s="27">
        <f t="shared" si="11"/>
        <v>0</v>
      </c>
      <c r="AC22" s="27">
        <f t="shared" si="11"/>
        <v>0</v>
      </c>
      <c r="AD22" s="27">
        <f aca="true" t="shared" si="12" ref="AD22:AI22">SUM(AD23:AD24)</f>
        <v>0</v>
      </c>
      <c r="AE22" s="27">
        <f t="shared" si="12"/>
        <v>0</v>
      </c>
      <c r="AF22" s="27">
        <f t="shared" si="12"/>
        <v>0</v>
      </c>
      <c r="AG22" s="27">
        <f t="shared" si="12"/>
        <v>0</v>
      </c>
      <c r="AH22" s="27">
        <f t="shared" si="12"/>
        <v>0</v>
      </c>
      <c r="AI22" s="27">
        <f t="shared" si="12"/>
        <v>0</v>
      </c>
    </row>
    <row r="23" spans="1:35" ht="12.75">
      <c r="A23" s="36" t="s">
        <v>19</v>
      </c>
      <c r="B23" s="27">
        <f>P23+AC23+AD23+AE23+AF23+AG23+AH23+AI23</f>
        <v>136377.52000000002</v>
      </c>
      <c r="C23" s="27"/>
      <c r="D23" s="29">
        <f>Инв!E18</f>
        <v>2050</v>
      </c>
      <c r="E23" s="29">
        <f>Инв!F18</f>
        <v>2050</v>
      </c>
      <c r="F23" s="29">
        <f>Инв!G18</f>
        <v>25706.453333333342</v>
      </c>
      <c r="G23" s="29">
        <f>Инв!H18</f>
        <v>35792.45333333334</v>
      </c>
      <c r="H23" s="29">
        <f>Инв!I18</f>
        <v>10086</v>
      </c>
      <c r="I23" s="29">
        <f>Инв!J18</f>
        <v>11419.333333333334</v>
      </c>
      <c r="J23" s="29">
        <f>Инв!K18</f>
        <v>11419.333333333334</v>
      </c>
      <c r="K23" s="29">
        <f>Инв!L18</f>
        <v>11419.333333333334</v>
      </c>
      <c r="L23" s="29">
        <f>Инв!M18</f>
        <v>26434.613333333342</v>
      </c>
      <c r="M23" s="29">
        <f>Инв!N18</f>
        <v>0</v>
      </c>
      <c r="N23" s="29">
        <f>Инв!O18</f>
        <v>0</v>
      </c>
      <c r="O23" s="29">
        <f>Инв!P18</f>
        <v>0</v>
      </c>
      <c r="P23" s="27">
        <f>SUM(D23:O23)</f>
        <v>136377.52000000002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>
        <f>SUM(Q23:AB23)</f>
        <v>0</v>
      </c>
      <c r="AD23" s="27"/>
      <c r="AE23" s="27"/>
      <c r="AF23" s="27"/>
      <c r="AG23" s="27"/>
      <c r="AH23" s="27"/>
      <c r="AI23" s="27"/>
    </row>
    <row r="24" spans="1:35" ht="12.75" hidden="1" outlineLevel="1">
      <c r="A24" s="36"/>
      <c r="B24" s="27">
        <f>P24+AC24+AD24+AE24+AF24+AG24+AH24+AI24</f>
        <v>0</v>
      </c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</row>
    <row r="25" spans="1:35" s="21" customFormat="1" ht="25.5" collapsed="1">
      <c r="A25" s="37" t="s">
        <v>20</v>
      </c>
      <c r="B25" s="18">
        <f>B21-B22</f>
        <v>-136377.52000000002</v>
      </c>
      <c r="C25" s="18"/>
      <c r="D25" s="18">
        <f>D21-D22</f>
        <v>-2050</v>
      </c>
      <c r="E25" s="18">
        <f aca="true" t="shared" si="13" ref="E25:O25">E21-E22</f>
        <v>-2050</v>
      </c>
      <c r="F25" s="18">
        <f t="shared" si="13"/>
        <v>-25706.453333333342</v>
      </c>
      <c r="G25" s="18">
        <f t="shared" si="13"/>
        <v>-35792.45333333334</v>
      </c>
      <c r="H25" s="18">
        <f t="shared" si="13"/>
        <v>-10086</v>
      </c>
      <c r="I25" s="18">
        <f t="shared" si="13"/>
        <v>-11419.333333333334</v>
      </c>
      <c r="J25" s="18">
        <f>J21-J22</f>
        <v>-11419.333333333334</v>
      </c>
      <c r="K25" s="18">
        <f t="shared" si="13"/>
        <v>-11419.333333333334</v>
      </c>
      <c r="L25" s="18">
        <f t="shared" si="13"/>
        <v>-26434.613333333342</v>
      </c>
      <c r="M25" s="18">
        <f t="shared" si="13"/>
        <v>0</v>
      </c>
      <c r="N25" s="18">
        <f t="shared" si="13"/>
        <v>0</v>
      </c>
      <c r="O25" s="18">
        <f t="shared" si="13"/>
        <v>0</v>
      </c>
      <c r="P25" s="18">
        <f>SUM(D25:O25)</f>
        <v>-136377.52000000002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41" customFormat="1" ht="12.75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40"/>
      <c r="AE26" s="40"/>
      <c r="AF26" s="40"/>
      <c r="AG26" s="40"/>
      <c r="AH26" s="40"/>
      <c r="AI26" s="40"/>
    </row>
    <row r="27" spans="1:35" s="21" customFormat="1" ht="12.75">
      <c r="A27" s="22" t="s">
        <v>22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4"/>
      <c r="AD27" s="34"/>
      <c r="AE27" s="34"/>
      <c r="AF27" s="34"/>
      <c r="AG27" s="34"/>
      <c r="AH27" s="34"/>
      <c r="AI27" s="34"/>
    </row>
    <row r="28" spans="1:35" s="21" customFormat="1" ht="12.75">
      <c r="A28" s="26" t="s">
        <v>5</v>
      </c>
      <c r="B28" s="27">
        <f>SUM(B29:B30)</f>
        <v>228256.35832689737</v>
      </c>
      <c r="C28" s="27"/>
      <c r="D28" s="27">
        <f>SUM(D29:D30)</f>
        <v>2050</v>
      </c>
      <c r="E28" s="27">
        <f aca="true" t="shared" si="14" ref="E28:O28">SUM(E29:E30)</f>
        <v>2050</v>
      </c>
      <c r="F28" s="27">
        <f t="shared" si="14"/>
        <v>25706.453333333342</v>
      </c>
      <c r="G28" s="27">
        <f t="shared" si="14"/>
        <v>35792.45333333334</v>
      </c>
      <c r="H28" s="27">
        <f t="shared" si="14"/>
        <v>10086</v>
      </c>
      <c r="I28" s="27">
        <f t="shared" si="14"/>
        <v>11419.333333333334</v>
      </c>
      <c r="J28" s="27">
        <f t="shared" si="14"/>
        <v>11419.333333333334</v>
      </c>
      <c r="K28" s="27">
        <f t="shared" si="14"/>
        <v>11419.333333333334</v>
      </c>
      <c r="L28" s="27">
        <f t="shared" si="14"/>
        <v>36196.32833333334</v>
      </c>
      <c r="M28" s="27">
        <f t="shared" si="14"/>
        <v>6844.7318813616075</v>
      </c>
      <c r="N28" s="27">
        <f t="shared" si="14"/>
        <v>6844.7318813616075</v>
      </c>
      <c r="O28" s="27">
        <f t="shared" si="14"/>
        <v>6844.7318813616075</v>
      </c>
      <c r="P28" s="27">
        <f aca="true" t="shared" si="15" ref="P28:AD28">SUM(P29:P30)</f>
        <v>166673.43064408484</v>
      </c>
      <c r="Q28" s="27">
        <f t="shared" si="15"/>
        <v>6842.547520312501</v>
      </c>
      <c r="R28" s="27">
        <f t="shared" si="15"/>
        <v>6842.547520312501</v>
      </c>
      <c r="S28" s="27">
        <f t="shared" si="15"/>
        <v>6842.547520312501</v>
      </c>
      <c r="T28" s="27">
        <f t="shared" si="15"/>
        <v>6842.547520312501</v>
      </c>
      <c r="U28" s="27">
        <f t="shared" si="15"/>
        <v>6842.547520312501</v>
      </c>
      <c r="V28" s="27">
        <f t="shared" si="15"/>
        <v>6842.547520312501</v>
      </c>
      <c r="W28" s="27">
        <f t="shared" si="15"/>
        <v>6842.547520312501</v>
      </c>
      <c r="X28" s="27">
        <f t="shared" si="15"/>
        <v>6842.547520312501</v>
      </c>
      <c r="Y28" s="27">
        <f t="shared" si="15"/>
        <v>6842.547520312501</v>
      </c>
      <c r="Z28" s="27">
        <f t="shared" si="15"/>
        <v>0</v>
      </c>
      <c r="AA28" s="27">
        <f t="shared" si="15"/>
        <v>0</v>
      </c>
      <c r="AB28" s="27">
        <f t="shared" si="15"/>
        <v>0</v>
      </c>
      <c r="AC28" s="27">
        <f t="shared" si="15"/>
        <v>61582.927682812515</v>
      </c>
      <c r="AD28" s="27">
        <f t="shared" si="15"/>
        <v>0</v>
      </c>
      <c r="AE28" s="27">
        <f>SUM(AE29:AE30)</f>
        <v>0</v>
      </c>
      <c r="AF28" s="27">
        <f>SUM(AF29:AF30)</f>
        <v>0</v>
      </c>
      <c r="AG28" s="27">
        <f>SUM(AG29:AG30)</f>
        <v>0</v>
      </c>
      <c r="AH28" s="27">
        <f>SUM(AH29:AH30)</f>
        <v>0</v>
      </c>
      <c r="AI28" s="27">
        <f>SUM(AI29:AI30)</f>
        <v>0</v>
      </c>
    </row>
    <row r="29" spans="1:35" ht="12.75" customHeight="1">
      <c r="A29" s="36" t="s">
        <v>53</v>
      </c>
      <c r="B29" s="27">
        <f>P29+AC29+AD29+AE29+AF29+AG29+AH29+AI29</f>
        <v>91878.83832689734</v>
      </c>
      <c r="C29" s="27"/>
      <c r="D29" s="29"/>
      <c r="E29" s="29"/>
      <c r="F29" s="29"/>
      <c r="G29" s="29"/>
      <c r="H29" s="29"/>
      <c r="I29" s="29">
        <f>I13</f>
        <v>0</v>
      </c>
      <c r="J29" s="29">
        <f>J13+J15+J14</f>
        <v>0</v>
      </c>
      <c r="K29" s="29">
        <f aca="true" t="shared" si="16" ref="K29:Y29">K13+K15+K14</f>
        <v>0</v>
      </c>
      <c r="L29" s="29">
        <f t="shared" si="16"/>
        <v>9761.715</v>
      </c>
      <c r="M29" s="29">
        <f t="shared" si="16"/>
        <v>6844.7318813616075</v>
      </c>
      <c r="N29" s="29">
        <f t="shared" si="16"/>
        <v>6844.7318813616075</v>
      </c>
      <c r="O29" s="29">
        <f t="shared" si="16"/>
        <v>6844.7318813616075</v>
      </c>
      <c r="P29" s="27">
        <f>SUM(D29:O29)</f>
        <v>30295.910644084823</v>
      </c>
      <c r="Q29" s="29">
        <f t="shared" si="16"/>
        <v>6842.547520312501</v>
      </c>
      <c r="R29" s="29">
        <f t="shared" si="16"/>
        <v>6842.547520312501</v>
      </c>
      <c r="S29" s="29">
        <f t="shared" si="16"/>
        <v>6842.547520312501</v>
      </c>
      <c r="T29" s="29">
        <f t="shared" si="16"/>
        <v>6842.547520312501</v>
      </c>
      <c r="U29" s="29">
        <f t="shared" si="16"/>
        <v>6842.547520312501</v>
      </c>
      <c r="V29" s="29">
        <f t="shared" si="16"/>
        <v>6842.547520312501</v>
      </c>
      <c r="W29" s="29">
        <f t="shared" si="16"/>
        <v>6842.547520312501</v>
      </c>
      <c r="X29" s="29">
        <f t="shared" si="16"/>
        <v>6842.547520312501</v>
      </c>
      <c r="Y29" s="29">
        <f t="shared" si="16"/>
        <v>6842.547520312501</v>
      </c>
      <c r="Z29" s="29"/>
      <c r="AA29" s="29"/>
      <c r="AB29" s="29"/>
      <c r="AC29" s="27">
        <f>SUM(Q29:AB29)</f>
        <v>61582.927682812515</v>
      </c>
      <c r="AD29" s="27"/>
      <c r="AE29" s="27"/>
      <c r="AF29" s="27"/>
      <c r="AG29" s="27"/>
      <c r="AH29" s="27"/>
      <c r="AI29" s="27"/>
    </row>
    <row r="30" spans="1:35" ht="12.75">
      <c r="A30" s="42" t="s">
        <v>158</v>
      </c>
      <c r="B30" s="27">
        <f>P30+AC30+AD30+AE30+AF30+AG30+AH30+AI30</f>
        <v>136377.52000000002</v>
      </c>
      <c r="C30" s="27"/>
      <c r="D30" s="43">
        <f>D22</f>
        <v>2050</v>
      </c>
      <c r="E30" s="43">
        <f aca="true" t="shared" si="17" ref="E30:L30">E22</f>
        <v>2050</v>
      </c>
      <c r="F30" s="43">
        <f t="shared" si="17"/>
        <v>25706.453333333342</v>
      </c>
      <c r="G30" s="43">
        <f t="shared" si="17"/>
        <v>35792.45333333334</v>
      </c>
      <c r="H30" s="43">
        <f t="shared" si="17"/>
        <v>10086</v>
      </c>
      <c r="I30" s="43">
        <f t="shared" si="17"/>
        <v>11419.333333333334</v>
      </c>
      <c r="J30" s="43">
        <f t="shared" si="17"/>
        <v>11419.333333333334</v>
      </c>
      <c r="K30" s="43">
        <f t="shared" si="17"/>
        <v>11419.333333333334</v>
      </c>
      <c r="L30" s="43">
        <f t="shared" si="17"/>
        <v>26434.613333333342</v>
      </c>
      <c r="M30" s="43">
        <f>Инв!N18</f>
        <v>0</v>
      </c>
      <c r="N30" s="43"/>
      <c r="O30" s="43"/>
      <c r="P30" s="27">
        <f>SUM(D30:O30)</f>
        <v>136377.52000000002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27">
        <f>SUM(Q30:AB30)</f>
        <v>0</v>
      </c>
      <c r="AD30" s="27"/>
      <c r="AE30" s="27"/>
      <c r="AF30" s="27"/>
      <c r="AG30" s="27"/>
      <c r="AH30" s="27"/>
      <c r="AI30" s="27"/>
    </row>
    <row r="31" spans="1:35" s="21" customFormat="1" ht="12.75">
      <c r="A31" s="26" t="s">
        <v>6</v>
      </c>
      <c r="B31" s="27">
        <f>SUM(B32:B33)</f>
        <v>151068.61708888892</v>
      </c>
      <c r="C31" s="27"/>
      <c r="D31" s="27">
        <f>SUM(D32:D33)</f>
        <v>0</v>
      </c>
      <c r="E31" s="27">
        <f aca="true" t="shared" si="18" ref="E31:AF31">SUM(E32:E33)</f>
        <v>0</v>
      </c>
      <c r="F31" s="27">
        <f t="shared" si="18"/>
        <v>0</v>
      </c>
      <c r="G31" s="27">
        <f t="shared" si="18"/>
        <v>0</v>
      </c>
      <c r="H31" s="27">
        <f t="shared" si="18"/>
        <v>0</v>
      </c>
      <c r="I31" s="27">
        <f>SUM(I32:I33)</f>
        <v>0</v>
      </c>
      <c r="J31" s="27">
        <f t="shared" si="18"/>
        <v>0</v>
      </c>
      <c r="K31" s="27">
        <f t="shared" si="18"/>
        <v>0</v>
      </c>
      <c r="L31" s="27">
        <f t="shared" si="18"/>
        <v>0</v>
      </c>
      <c r="M31" s="27">
        <f t="shared" si="18"/>
        <v>0</v>
      </c>
      <c r="N31" s="27">
        <f t="shared" si="18"/>
        <v>0</v>
      </c>
      <c r="O31" s="27">
        <f t="shared" si="18"/>
        <v>0</v>
      </c>
      <c r="P31" s="27">
        <f t="shared" si="18"/>
        <v>0</v>
      </c>
      <c r="Q31" s="27">
        <f t="shared" si="18"/>
        <v>0</v>
      </c>
      <c r="R31" s="27">
        <f t="shared" si="18"/>
        <v>0</v>
      </c>
      <c r="S31" s="27">
        <f t="shared" si="18"/>
        <v>0</v>
      </c>
      <c r="T31" s="27">
        <f t="shared" si="18"/>
        <v>0</v>
      </c>
      <c r="U31" s="27">
        <f t="shared" si="18"/>
        <v>0</v>
      </c>
      <c r="V31" s="27">
        <f t="shared" si="18"/>
        <v>0</v>
      </c>
      <c r="W31" s="27">
        <f t="shared" si="18"/>
        <v>0</v>
      </c>
      <c r="X31" s="27">
        <f t="shared" si="18"/>
        <v>0</v>
      </c>
      <c r="Y31" s="27">
        <f t="shared" si="18"/>
        <v>0</v>
      </c>
      <c r="Z31" s="27">
        <f t="shared" si="18"/>
        <v>0</v>
      </c>
      <c r="AA31" s="27">
        <f t="shared" si="18"/>
        <v>0</v>
      </c>
      <c r="AB31" s="27">
        <f t="shared" si="18"/>
        <v>0</v>
      </c>
      <c r="AC31" s="27">
        <f t="shared" si="18"/>
        <v>0</v>
      </c>
      <c r="AD31" s="27">
        <f t="shared" si="18"/>
        <v>30213.723417777783</v>
      </c>
      <c r="AE31" s="27">
        <f t="shared" si="18"/>
        <v>30213.723417777783</v>
      </c>
      <c r="AF31" s="27">
        <f t="shared" si="18"/>
        <v>30213.723417777783</v>
      </c>
      <c r="AG31" s="27">
        <f>SUM(AG32:AG33)</f>
        <v>30213.723417777783</v>
      </c>
      <c r="AH31" s="27">
        <f>SUM(AH32:AH33)</f>
        <v>30213.723417777783</v>
      </c>
      <c r="AI31" s="27">
        <f>SUM(AI32:AI33)</f>
        <v>0</v>
      </c>
    </row>
    <row r="32" spans="1:35" ht="12.75">
      <c r="A32" s="28" t="s">
        <v>30</v>
      </c>
      <c r="B32" s="27">
        <f>P32+AC32+AD32+AE32+AF32+AG32+AH32+AI32</f>
        <v>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7">
        <f>SUM(D32:O32)</f>
        <v>0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27">
        <f>SUM(Q32:AB32)</f>
        <v>0</v>
      </c>
      <c r="AD32" s="32"/>
      <c r="AE32" s="27"/>
      <c r="AF32" s="27"/>
      <c r="AG32" s="27"/>
      <c r="AH32" s="27"/>
      <c r="AI32" s="27"/>
    </row>
    <row r="33" spans="1:35" ht="13.5" customHeight="1">
      <c r="A33" s="36" t="s">
        <v>157</v>
      </c>
      <c r="B33" s="27">
        <f>P33+AC33+AD33+AE33+AF33+AG33+AH33+AI33</f>
        <v>151068.61708888892</v>
      </c>
      <c r="C33" s="27"/>
      <c r="D33" s="32">
        <f>кр!C10</f>
        <v>0</v>
      </c>
      <c r="E33" s="32">
        <f>кр!D10</f>
        <v>0</v>
      </c>
      <c r="F33" s="32">
        <f>кр!E10</f>
        <v>0</v>
      </c>
      <c r="G33" s="32">
        <f>кр!F10</f>
        <v>0</v>
      </c>
      <c r="H33" s="32">
        <f>кр!G10</f>
        <v>0</v>
      </c>
      <c r="I33" s="32">
        <f>кр!H10</f>
        <v>0</v>
      </c>
      <c r="J33" s="32">
        <f>кр!I10</f>
        <v>0</v>
      </c>
      <c r="K33" s="32">
        <f>кр!J10</f>
        <v>0</v>
      </c>
      <c r="L33" s="32">
        <f>кр!K10</f>
        <v>0</v>
      </c>
      <c r="M33" s="32">
        <f>кр!L10</f>
        <v>0</v>
      </c>
      <c r="N33" s="32">
        <f>кр!M10</f>
        <v>0</v>
      </c>
      <c r="O33" s="32">
        <f>кр!N10</f>
        <v>0</v>
      </c>
      <c r="P33" s="27">
        <f>SUM(D33:O33)</f>
        <v>0</v>
      </c>
      <c r="Q33" s="32">
        <f>кр!P10</f>
        <v>0</v>
      </c>
      <c r="R33" s="32">
        <f>кр!Q10</f>
        <v>0</v>
      </c>
      <c r="S33" s="32">
        <f>кр!R10</f>
        <v>0</v>
      </c>
      <c r="T33" s="32">
        <f>кр!S10</f>
        <v>0</v>
      </c>
      <c r="U33" s="32">
        <f>кр!T10</f>
        <v>0</v>
      </c>
      <c r="V33" s="32">
        <f>кр!U10</f>
        <v>0</v>
      </c>
      <c r="W33" s="32">
        <f>кр!V10</f>
        <v>0</v>
      </c>
      <c r="X33" s="32">
        <f>кр!W10</f>
        <v>0</v>
      </c>
      <c r="Y33" s="32">
        <f>кр!X10</f>
        <v>0</v>
      </c>
      <c r="Z33" s="32">
        <f>кр!Y10</f>
        <v>0</v>
      </c>
      <c r="AA33" s="32">
        <f>кр!Z10</f>
        <v>0</v>
      </c>
      <c r="AB33" s="32">
        <f>кр!AA10</f>
        <v>0</v>
      </c>
      <c r="AC33" s="27">
        <f>SUM(Q33:AB33)</f>
        <v>0</v>
      </c>
      <c r="AD33" s="32">
        <f>кр!AO10</f>
        <v>30213.723417777783</v>
      </c>
      <c r="AE33" s="32">
        <f>кр!BB10</f>
        <v>30213.723417777783</v>
      </c>
      <c r="AF33" s="32">
        <f>кр!BO10</f>
        <v>30213.723417777783</v>
      </c>
      <c r="AG33" s="32">
        <f>кр!CB10</f>
        <v>30213.723417777783</v>
      </c>
      <c r="AH33" s="32">
        <f>кр!CO10</f>
        <v>30213.723417777783</v>
      </c>
      <c r="AI33" s="32">
        <f>кр!DB10</f>
        <v>0</v>
      </c>
    </row>
    <row r="34" spans="1:35" s="21" customFormat="1" ht="25.5">
      <c r="A34" s="37" t="s">
        <v>23</v>
      </c>
      <c r="B34" s="18">
        <f>B28-B31</f>
        <v>77187.74123800846</v>
      </c>
      <c r="C34" s="18"/>
      <c r="D34" s="18">
        <f>D28-D31</f>
        <v>2050</v>
      </c>
      <c r="E34" s="18">
        <f aca="true" t="shared" si="19" ref="E34:AF34">E28-E31</f>
        <v>2050</v>
      </c>
      <c r="F34" s="18">
        <f t="shared" si="19"/>
        <v>25706.453333333342</v>
      </c>
      <c r="G34" s="18">
        <f t="shared" si="19"/>
        <v>35792.45333333334</v>
      </c>
      <c r="H34" s="18">
        <f t="shared" si="19"/>
        <v>10086</v>
      </c>
      <c r="I34" s="18">
        <f t="shared" si="19"/>
        <v>11419.333333333334</v>
      </c>
      <c r="J34" s="18">
        <f t="shared" si="19"/>
        <v>11419.333333333334</v>
      </c>
      <c r="K34" s="18">
        <f t="shared" si="19"/>
        <v>11419.333333333334</v>
      </c>
      <c r="L34" s="18">
        <f t="shared" si="19"/>
        <v>36196.32833333334</v>
      </c>
      <c r="M34" s="18">
        <f t="shared" si="19"/>
        <v>6844.7318813616075</v>
      </c>
      <c r="N34" s="18">
        <f t="shared" si="19"/>
        <v>6844.7318813616075</v>
      </c>
      <c r="O34" s="18">
        <f t="shared" si="19"/>
        <v>6844.7318813616075</v>
      </c>
      <c r="P34" s="18">
        <f t="shared" si="19"/>
        <v>166673.43064408484</v>
      </c>
      <c r="Q34" s="18">
        <f t="shared" si="19"/>
        <v>6842.547520312501</v>
      </c>
      <c r="R34" s="18">
        <f t="shared" si="19"/>
        <v>6842.547520312501</v>
      </c>
      <c r="S34" s="18">
        <f t="shared" si="19"/>
        <v>6842.547520312501</v>
      </c>
      <c r="T34" s="18">
        <f t="shared" si="19"/>
        <v>6842.547520312501</v>
      </c>
      <c r="U34" s="18">
        <f t="shared" si="19"/>
        <v>6842.547520312501</v>
      </c>
      <c r="V34" s="18">
        <f t="shared" si="19"/>
        <v>6842.547520312501</v>
      </c>
      <c r="W34" s="18">
        <f t="shared" si="19"/>
        <v>6842.547520312501</v>
      </c>
      <c r="X34" s="18">
        <f t="shared" si="19"/>
        <v>6842.547520312501</v>
      </c>
      <c r="Y34" s="18">
        <f t="shared" si="19"/>
        <v>6842.547520312501</v>
      </c>
      <c r="Z34" s="18">
        <f t="shared" si="19"/>
        <v>0</v>
      </c>
      <c r="AA34" s="18">
        <f t="shared" si="19"/>
        <v>0</v>
      </c>
      <c r="AB34" s="18">
        <f t="shared" si="19"/>
        <v>0</v>
      </c>
      <c r="AC34" s="18">
        <f t="shared" si="19"/>
        <v>61582.927682812515</v>
      </c>
      <c r="AD34" s="18">
        <f t="shared" si="19"/>
        <v>-30213.723417777783</v>
      </c>
      <c r="AE34" s="18">
        <f t="shared" si="19"/>
        <v>-30213.723417777783</v>
      </c>
      <c r="AF34" s="18">
        <f t="shared" si="19"/>
        <v>-30213.723417777783</v>
      </c>
      <c r="AG34" s="18">
        <f>AG28-AG31</f>
        <v>-30213.723417777783</v>
      </c>
      <c r="AH34" s="18">
        <f>AH28-AH31</f>
        <v>-30213.723417777783</v>
      </c>
      <c r="AI34" s="18">
        <f>AI28-AI31</f>
        <v>0</v>
      </c>
    </row>
    <row r="35" spans="1:35" s="46" customFormat="1" ht="12.75">
      <c r="A35" s="44" t="s">
        <v>24</v>
      </c>
      <c r="B35" s="45">
        <f>B19+B25+B34</f>
        <v>128711.90942224753</v>
      </c>
      <c r="C35" s="27"/>
      <c r="D35" s="45">
        <f>D19+D25+D34</f>
        <v>0</v>
      </c>
      <c r="E35" s="45">
        <f aca="true" t="shared" si="20" ref="E35:AF35">E19+E25+E34</f>
        <v>0</v>
      </c>
      <c r="F35" s="45">
        <f t="shared" si="20"/>
        <v>0</v>
      </c>
      <c r="G35" s="45">
        <f t="shared" si="20"/>
        <v>0</v>
      </c>
      <c r="H35" s="45">
        <f t="shared" si="20"/>
        <v>0</v>
      </c>
      <c r="I35" s="45">
        <f t="shared" si="20"/>
        <v>0</v>
      </c>
      <c r="J35" s="45">
        <f t="shared" si="20"/>
        <v>0</v>
      </c>
      <c r="K35" s="45">
        <f t="shared" si="20"/>
        <v>0</v>
      </c>
      <c r="L35" s="45">
        <f t="shared" si="20"/>
        <v>0</v>
      </c>
      <c r="M35" s="45">
        <f t="shared" si="20"/>
        <v>0</v>
      </c>
      <c r="N35" s="45">
        <f t="shared" si="20"/>
        <v>0</v>
      </c>
      <c r="O35" s="45">
        <f t="shared" si="20"/>
        <v>0</v>
      </c>
      <c r="P35" s="45">
        <f t="shared" si="20"/>
        <v>0</v>
      </c>
      <c r="Q35" s="45">
        <f t="shared" si="20"/>
        <v>0</v>
      </c>
      <c r="R35" s="45">
        <f t="shared" si="20"/>
        <v>0</v>
      </c>
      <c r="S35" s="45">
        <f t="shared" si="20"/>
        <v>0</v>
      </c>
      <c r="T35" s="45">
        <f t="shared" si="20"/>
        <v>0</v>
      </c>
      <c r="U35" s="45">
        <f t="shared" si="20"/>
        <v>0</v>
      </c>
      <c r="V35" s="45">
        <f t="shared" si="20"/>
        <v>0</v>
      </c>
      <c r="W35" s="45">
        <f t="shared" si="20"/>
        <v>0</v>
      </c>
      <c r="X35" s="45">
        <f t="shared" si="20"/>
        <v>0</v>
      </c>
      <c r="Y35" s="45">
        <f t="shared" si="20"/>
        <v>0</v>
      </c>
      <c r="Z35" s="45">
        <f t="shared" si="20"/>
        <v>4774.119146354167</v>
      </c>
      <c r="AA35" s="45">
        <f t="shared" si="20"/>
        <v>4774.119146354167</v>
      </c>
      <c r="AB35" s="45">
        <f t="shared" si="20"/>
        <v>4774.119146354167</v>
      </c>
      <c r="AC35" s="45">
        <f>AC19+AC25+AC34</f>
        <v>14322.357439062514</v>
      </c>
      <c r="AD35" s="45">
        <f t="shared" si="20"/>
        <v>17512.19983404654</v>
      </c>
      <c r="AE35" s="45">
        <f t="shared" si="20"/>
        <v>19669.10020543385</v>
      </c>
      <c r="AF35" s="45">
        <f t="shared" si="20"/>
        <v>16750.4907544294</v>
      </c>
      <c r="AG35" s="45">
        <f>AG19+AG25+AG34</f>
        <v>8614.320815963601</v>
      </c>
      <c r="AH35" s="45">
        <f>AH19+AH25+AH34</f>
        <v>10339.841113073435</v>
      </c>
      <c r="AI35" s="45">
        <f>AI19+AI25+AI34</f>
        <v>41503.59926023809</v>
      </c>
    </row>
    <row r="36" spans="1:43" s="21" customFormat="1" ht="12.75">
      <c r="A36" s="47" t="s">
        <v>52</v>
      </c>
      <c r="B36" s="27">
        <f>B7+B19+B25+B34</f>
        <v>128711.90942224753</v>
      </c>
      <c r="C36" s="48"/>
      <c r="D36" s="49">
        <f aca="true" t="shared" si="21" ref="D36:O36">D7+D19+D25+D34</f>
        <v>0</v>
      </c>
      <c r="E36" s="49">
        <f t="shared" si="21"/>
        <v>0</v>
      </c>
      <c r="F36" s="49">
        <f t="shared" si="21"/>
        <v>0</v>
      </c>
      <c r="G36" s="49">
        <f t="shared" si="21"/>
        <v>0</v>
      </c>
      <c r="H36" s="49">
        <f t="shared" si="21"/>
        <v>0</v>
      </c>
      <c r="I36" s="49">
        <f t="shared" si="21"/>
        <v>0</v>
      </c>
      <c r="J36" s="49">
        <f t="shared" si="21"/>
        <v>0</v>
      </c>
      <c r="K36" s="49">
        <f t="shared" si="21"/>
        <v>0</v>
      </c>
      <c r="L36" s="49">
        <f t="shared" si="21"/>
        <v>0</v>
      </c>
      <c r="M36" s="49">
        <f t="shared" si="21"/>
        <v>0</v>
      </c>
      <c r="N36" s="49">
        <f t="shared" si="21"/>
        <v>0</v>
      </c>
      <c r="O36" s="49">
        <f t="shared" si="21"/>
        <v>0</v>
      </c>
      <c r="P36" s="50">
        <f>O36</f>
        <v>0</v>
      </c>
      <c r="Q36" s="49">
        <f>P36+Q19+Q25+Q34</f>
        <v>0</v>
      </c>
      <c r="R36" s="49">
        <f aca="true" t="shared" si="22" ref="R36:AB36">Q36+R19+R25+R34</f>
        <v>0</v>
      </c>
      <c r="S36" s="49">
        <f t="shared" si="22"/>
        <v>0</v>
      </c>
      <c r="T36" s="49">
        <f t="shared" si="22"/>
        <v>0</v>
      </c>
      <c r="U36" s="49">
        <f t="shared" si="22"/>
        <v>0</v>
      </c>
      <c r="V36" s="49">
        <f t="shared" si="22"/>
        <v>0</v>
      </c>
      <c r="W36" s="49">
        <f t="shared" si="22"/>
        <v>0</v>
      </c>
      <c r="X36" s="49">
        <f t="shared" si="22"/>
        <v>0</v>
      </c>
      <c r="Y36" s="49">
        <f t="shared" si="22"/>
        <v>0</v>
      </c>
      <c r="Z36" s="49">
        <f t="shared" si="22"/>
        <v>4774.119146354167</v>
      </c>
      <c r="AA36" s="49">
        <f t="shared" si="22"/>
        <v>9548.238292708334</v>
      </c>
      <c r="AB36" s="49">
        <f t="shared" si="22"/>
        <v>14322.357439062502</v>
      </c>
      <c r="AC36" s="49">
        <f>AB36</f>
        <v>14322.357439062502</v>
      </c>
      <c r="AD36" s="49">
        <f aca="true" t="shared" si="23" ref="AD36:AI36">AC36+AD19+AD25+AD34</f>
        <v>31834.55727310904</v>
      </c>
      <c r="AE36" s="49">
        <f t="shared" si="23"/>
        <v>51503.65747854288</v>
      </c>
      <c r="AF36" s="49">
        <f t="shared" si="23"/>
        <v>68254.14823297228</v>
      </c>
      <c r="AG36" s="49">
        <f t="shared" si="23"/>
        <v>76868.46904893588</v>
      </c>
      <c r="AH36" s="49">
        <f t="shared" si="23"/>
        <v>87208.31016200931</v>
      </c>
      <c r="AI36" s="49">
        <f t="shared" si="23"/>
        <v>128711.9094222474</v>
      </c>
      <c r="AJ36" s="7">
        <v>2014</v>
      </c>
      <c r="AK36" s="7">
        <f aca="true" t="shared" si="24" ref="AK36:AN37">AJ36+1</f>
        <v>2015</v>
      </c>
      <c r="AL36" s="7">
        <f t="shared" si="24"/>
        <v>2016</v>
      </c>
      <c r="AM36" s="7">
        <f t="shared" si="24"/>
        <v>2017</v>
      </c>
      <c r="AN36" s="7">
        <f t="shared" si="24"/>
        <v>2018</v>
      </c>
      <c r="AO36" s="7">
        <f aca="true" t="shared" si="25" ref="AO36:AQ37">AN36+1</f>
        <v>2019</v>
      </c>
      <c r="AP36" s="7">
        <f t="shared" si="25"/>
        <v>2020</v>
      </c>
      <c r="AQ36" s="7">
        <f t="shared" si="25"/>
        <v>2021</v>
      </c>
    </row>
    <row r="37" spans="1:43" ht="12.75">
      <c r="A37" s="51"/>
      <c r="B37" s="52">
        <f>AI36</f>
        <v>128711.9094222474</v>
      </c>
      <c r="C37" s="53"/>
      <c r="D37" s="54">
        <f aca="true" t="shared" si="26" ref="D37:AB37">D7+D35-D36</f>
        <v>0</v>
      </c>
      <c r="E37" s="54">
        <f t="shared" si="26"/>
        <v>0</v>
      </c>
      <c r="F37" s="54">
        <f t="shared" si="26"/>
        <v>0</v>
      </c>
      <c r="G37" s="54">
        <f t="shared" si="26"/>
        <v>0</v>
      </c>
      <c r="H37" s="54">
        <f t="shared" si="26"/>
        <v>0</v>
      </c>
      <c r="I37" s="54">
        <f t="shared" si="26"/>
        <v>0</v>
      </c>
      <c r="J37" s="54">
        <f t="shared" si="26"/>
        <v>0</v>
      </c>
      <c r="K37" s="54">
        <f t="shared" si="26"/>
        <v>0</v>
      </c>
      <c r="L37" s="54">
        <f t="shared" si="26"/>
        <v>0</v>
      </c>
      <c r="M37" s="54">
        <f t="shared" si="26"/>
        <v>0</v>
      </c>
      <c r="N37" s="54">
        <f t="shared" si="26"/>
        <v>0</v>
      </c>
      <c r="O37" s="54">
        <f t="shared" si="26"/>
        <v>0</v>
      </c>
      <c r="P37" s="54">
        <f t="shared" si="26"/>
        <v>0</v>
      </c>
      <c r="Q37" s="54">
        <f t="shared" si="26"/>
        <v>0</v>
      </c>
      <c r="R37" s="54">
        <f t="shared" si="26"/>
        <v>0</v>
      </c>
      <c r="S37" s="54">
        <f t="shared" si="26"/>
        <v>0</v>
      </c>
      <c r="T37" s="54">
        <f t="shared" si="26"/>
        <v>0</v>
      </c>
      <c r="U37" s="54">
        <f t="shared" si="26"/>
        <v>0</v>
      </c>
      <c r="V37" s="54">
        <f t="shared" si="26"/>
        <v>0</v>
      </c>
      <c r="W37" s="54">
        <f t="shared" si="26"/>
        <v>0</v>
      </c>
      <c r="X37" s="54">
        <f t="shared" si="26"/>
        <v>0</v>
      </c>
      <c r="Y37" s="54">
        <f t="shared" si="26"/>
        <v>0</v>
      </c>
      <c r="Z37" s="54">
        <f t="shared" si="26"/>
        <v>0</v>
      </c>
      <c r="AA37" s="54">
        <f t="shared" si="26"/>
        <v>0</v>
      </c>
      <c r="AB37" s="54">
        <f t="shared" si="26"/>
        <v>0</v>
      </c>
      <c r="AC37" s="54"/>
      <c r="AD37" s="54">
        <f aca="true" t="shared" si="27" ref="AD37:AI37">AD7+AD35-AD36</f>
        <v>0</v>
      </c>
      <c r="AE37" s="54">
        <f t="shared" si="27"/>
        <v>0</v>
      </c>
      <c r="AF37" s="54">
        <f t="shared" si="27"/>
        <v>0</v>
      </c>
      <c r="AG37" s="54">
        <f t="shared" si="27"/>
        <v>0</v>
      </c>
      <c r="AH37" s="54">
        <f t="shared" si="27"/>
        <v>0</v>
      </c>
      <c r="AI37" s="54">
        <f t="shared" si="27"/>
        <v>0</v>
      </c>
      <c r="AJ37" s="61">
        <v>0</v>
      </c>
      <c r="AK37" s="61">
        <f t="shared" si="24"/>
        <v>1</v>
      </c>
      <c r="AL37" s="61">
        <f t="shared" si="24"/>
        <v>2</v>
      </c>
      <c r="AM37" s="61">
        <f t="shared" si="24"/>
        <v>3</v>
      </c>
      <c r="AN37" s="61">
        <f t="shared" si="24"/>
        <v>4</v>
      </c>
      <c r="AO37" s="61">
        <f t="shared" si="25"/>
        <v>5</v>
      </c>
      <c r="AP37" s="61">
        <f t="shared" si="25"/>
        <v>6</v>
      </c>
      <c r="AQ37" s="61">
        <f t="shared" si="25"/>
        <v>7</v>
      </c>
    </row>
    <row r="38" spans="1:43" ht="12.75">
      <c r="A38" s="51" t="s">
        <v>58</v>
      </c>
      <c r="B38" s="62">
        <f>B36-B37</f>
        <v>1.3096723705530167E-10</v>
      </c>
      <c r="C38" s="53"/>
      <c r="Q38" s="56"/>
      <c r="AJ38" s="56">
        <f>P35</f>
        <v>0</v>
      </c>
      <c r="AK38" s="56">
        <f aca="true" t="shared" si="28" ref="AK38:AP38">AC35</f>
        <v>14322.357439062514</v>
      </c>
      <c r="AL38" s="56">
        <f t="shared" si="28"/>
        <v>17512.19983404654</v>
      </c>
      <c r="AM38" s="56">
        <f t="shared" si="28"/>
        <v>19669.10020543385</v>
      </c>
      <c r="AN38" s="56">
        <f t="shared" si="28"/>
        <v>16750.4907544294</v>
      </c>
      <c r="AO38" s="56">
        <f t="shared" si="28"/>
        <v>8614.320815963601</v>
      </c>
      <c r="AP38" s="56">
        <f t="shared" si="28"/>
        <v>10339.841113073435</v>
      </c>
      <c r="AQ38" s="56">
        <f>AP38+AH33+AH16</f>
        <v>41699.16821044196</v>
      </c>
    </row>
    <row r="39" spans="1:43" ht="12.75">
      <c r="A39" s="51" t="s">
        <v>59</v>
      </c>
      <c r="B39" s="53"/>
      <c r="C39" s="53"/>
      <c r="AJ39" s="56">
        <f>AJ38+P33+P32+P16</f>
        <v>0</v>
      </c>
      <c r="AK39" s="56">
        <f aca="true" t="shared" si="29" ref="AK39:AP39">AK38+AC33+AC32+AC16</f>
        <v>14322.357439062514</v>
      </c>
      <c r="AL39" s="56">
        <f t="shared" si="29"/>
        <v>57331.36948839284</v>
      </c>
      <c r="AM39" s="56">
        <f t="shared" si="29"/>
        <v>57373.30922053571</v>
      </c>
      <c r="AN39" s="56">
        <f t="shared" si="29"/>
        <v>52339.73913028681</v>
      </c>
      <c r="AO39" s="56">
        <f t="shared" si="29"/>
        <v>42088.608552576574</v>
      </c>
      <c r="AP39" s="56">
        <f t="shared" si="29"/>
        <v>41699.16821044196</v>
      </c>
      <c r="AQ39" s="56">
        <f>AQ38+AJ33+AJ32+AJ16</f>
        <v>41699.16821044196</v>
      </c>
    </row>
    <row r="40" spans="1:43" ht="12.75">
      <c r="A40" s="51" t="s">
        <v>60</v>
      </c>
      <c r="B40" s="53"/>
      <c r="C40" s="53"/>
      <c r="V40" s="56"/>
      <c r="AJ40" s="56">
        <f>P28</f>
        <v>166673.43064408484</v>
      </c>
      <c r="AK40" s="56">
        <f>AC28</f>
        <v>61582.927682812515</v>
      </c>
      <c r="AL40" s="56"/>
      <c r="AM40" s="56"/>
      <c r="AN40" s="56"/>
      <c r="AO40" s="56"/>
      <c r="AP40" s="56"/>
      <c r="AQ40" s="56"/>
    </row>
    <row r="41" spans="1:43" ht="12.75">
      <c r="A41" s="63" t="s">
        <v>61</v>
      </c>
      <c r="B41" s="53"/>
      <c r="C41" s="53"/>
      <c r="AJ41" s="64">
        <f aca="true" t="shared" si="30" ref="AJ41:AP41">AJ39-AJ40</f>
        <v>-166673.43064408484</v>
      </c>
      <c r="AK41" s="64">
        <f t="shared" si="30"/>
        <v>-47260.57024375</v>
      </c>
      <c r="AL41" s="64">
        <f t="shared" si="30"/>
        <v>57331.36948839284</v>
      </c>
      <c r="AM41" s="64">
        <f t="shared" si="30"/>
        <v>57373.30922053571</v>
      </c>
      <c r="AN41" s="64">
        <f t="shared" si="30"/>
        <v>52339.73913028681</v>
      </c>
      <c r="AO41" s="64">
        <f t="shared" si="30"/>
        <v>42088.608552576574</v>
      </c>
      <c r="AP41" s="64">
        <f t="shared" si="30"/>
        <v>41699.16821044196</v>
      </c>
      <c r="AQ41" s="64">
        <f>AQ39-AQ40</f>
        <v>41699.16821044196</v>
      </c>
    </row>
    <row r="42" spans="1:43" ht="12.75">
      <c r="A42" s="65" t="s">
        <v>62</v>
      </c>
      <c r="B42" s="53"/>
      <c r="C42" s="53"/>
      <c r="AJ42" s="66">
        <f>AJ41/(1+Исх!$C$8)^'1-Ф3'!AJ37</f>
        <v>-166673.43064408484</v>
      </c>
      <c r="AK42" s="66">
        <f>AK41/(1+Исх!$C$8)^'1-Ф3'!AK37</f>
        <v>-44168.75723714953</v>
      </c>
      <c r="AL42" s="66">
        <f>AL41/(1+Исх!$C$8)^'1-Ф3'!AL37</f>
        <v>50075.438456103446</v>
      </c>
      <c r="AM42" s="66">
        <f>AM41/(1+Исх!$C$8)^'1-Ф3'!AM37</f>
        <v>46833.710506925636</v>
      </c>
      <c r="AN42" s="66">
        <f>AN41/(1+Исх!$C$8)^'1-Ф3'!AN37</f>
        <v>39929.73638231231</v>
      </c>
      <c r="AO42" s="66">
        <f>AO41/(1+Исх!$C$8)^'1-Ф3'!AO37</f>
        <v>30008.59621168522</v>
      </c>
      <c r="AP42" s="66">
        <f>AP41/(1+Исх!$C$8)^'1-Ф3'!AP37</f>
        <v>27785.91647664472</v>
      </c>
      <c r="AQ42" s="66">
        <f>AQ41/(1+Исх!$C$8)^'1-Ф3'!AQ37</f>
        <v>25968.146239854876</v>
      </c>
    </row>
    <row r="43" spans="1:43" ht="12.75">
      <c r="A43" s="63" t="s">
        <v>63</v>
      </c>
      <c r="B43" s="53"/>
      <c r="C43" s="53"/>
      <c r="AJ43" s="64">
        <f>AJ41</f>
        <v>-166673.43064408484</v>
      </c>
      <c r="AK43" s="64">
        <f aca="true" t="shared" si="31" ref="AK43:AN44">AJ43+AK41</f>
        <v>-213934.00088783485</v>
      </c>
      <c r="AL43" s="64">
        <f t="shared" si="31"/>
        <v>-156602.631399442</v>
      </c>
      <c r="AM43" s="64">
        <f t="shared" si="31"/>
        <v>-99229.3221789063</v>
      </c>
      <c r="AN43" s="64">
        <f t="shared" si="31"/>
        <v>-46889.58304861948</v>
      </c>
      <c r="AO43" s="64">
        <f aca="true" t="shared" si="32" ref="AO43:AQ44">AN43+AO41</f>
        <v>-4800.974496042909</v>
      </c>
      <c r="AP43" s="64">
        <f t="shared" si="32"/>
        <v>36898.19371439905</v>
      </c>
      <c r="AQ43" s="64">
        <f t="shared" si="32"/>
        <v>78597.36192484101</v>
      </c>
    </row>
    <row r="44" spans="1:43" ht="12.75">
      <c r="A44" s="65" t="s">
        <v>64</v>
      </c>
      <c r="B44" s="53"/>
      <c r="C44" s="53"/>
      <c r="AJ44" s="66">
        <f>AJ42</f>
        <v>-166673.43064408484</v>
      </c>
      <c r="AK44" s="66">
        <f t="shared" si="31"/>
        <v>-210842.1878812344</v>
      </c>
      <c r="AL44" s="66">
        <f t="shared" si="31"/>
        <v>-160766.74942513095</v>
      </c>
      <c r="AM44" s="66">
        <f t="shared" si="31"/>
        <v>-113933.03891820532</v>
      </c>
      <c r="AN44" s="66">
        <f t="shared" si="31"/>
        <v>-74003.30253589302</v>
      </c>
      <c r="AO44" s="66">
        <f t="shared" si="32"/>
        <v>-43994.7063242078</v>
      </c>
      <c r="AP44" s="66">
        <f t="shared" si="32"/>
        <v>-16208.78984756308</v>
      </c>
      <c r="AQ44" s="66">
        <f t="shared" si="32"/>
        <v>9759.356392291797</v>
      </c>
    </row>
    <row r="45" spans="1:43" ht="12.75">
      <c r="A45" s="51" t="s">
        <v>65</v>
      </c>
      <c r="B45" s="53"/>
      <c r="C45" s="53"/>
      <c r="AJ45" s="56">
        <f>NPV(Исх!$C$8,'1-Ф3'!$AJ39:AJ39)</f>
        <v>0</v>
      </c>
      <c r="AK45" s="56">
        <f>NPV(Исх!$C$8,'1-Ф3'!$AJ39:AK39)</f>
        <v>12509.701667449133</v>
      </c>
      <c r="AL45" s="56">
        <f>NPV(Исх!$C$8,'1-Ф3'!$AJ39:AL39)</f>
        <v>59309.17686006917</v>
      </c>
      <c r="AM45" s="56">
        <f>NPV(Исх!$C$8,'1-Ф3'!$AJ39:AM39)</f>
        <v>103078.99976373799</v>
      </c>
      <c r="AN45" s="56">
        <f>NPV(Исх!$C$8,'1-Ф3'!$AJ39:AN39)</f>
        <v>140396.51040141302</v>
      </c>
      <c r="AO45" s="56">
        <f>NPV(Исх!$C$8,'1-Ф3'!$AJ39:AO39)</f>
        <v>168441.92742167957</v>
      </c>
      <c r="AP45" s="56">
        <f>NPV(Исх!$C$8,'1-Ф3'!$AJ39:AP39)</f>
        <v>194410.07366153444</v>
      </c>
      <c r="AQ45" s="56">
        <f>NPV(Исх!$C$8,'1-Ф3'!$AJ39:AQ39)</f>
        <v>218679.36921280067</v>
      </c>
    </row>
    <row r="46" spans="1:43" ht="12.75">
      <c r="A46" s="51" t="s">
        <v>66</v>
      </c>
      <c r="B46" s="53"/>
      <c r="C46" s="53"/>
      <c r="AJ46" s="56">
        <f>NPV(Исх!$C$8,'1-Ф3'!$AJ40:AJ40)</f>
        <v>155769.561349612</v>
      </c>
      <c r="AK46" s="56">
        <f>NPV(Исх!$C$8,'1-Ф3'!$AJ40:AK40)</f>
        <v>209558.47538822892</v>
      </c>
      <c r="AL46" s="56">
        <f>NPV(Исх!$C$8,'1-Ф3'!$AJ40:AL40)</f>
        <v>209558.47538822892</v>
      </c>
      <c r="AM46" s="56">
        <f>NPV(Исх!$C$8,'1-Ф3'!$AJ40:AM40)</f>
        <v>209558.47538822892</v>
      </c>
      <c r="AN46" s="56">
        <f>NPV(Исх!$C$8,'1-Ф3'!$AJ40:AN40)</f>
        <v>209558.47538822892</v>
      </c>
      <c r="AO46" s="56">
        <f>NPV(Исх!$C$8,'1-Ф3'!$AJ40:AO40)</f>
        <v>209558.47538822892</v>
      </c>
      <c r="AP46" s="56">
        <f>NPV(Исх!$C$8,'1-Ф3'!$AJ40:AP40)</f>
        <v>209558.47538822892</v>
      </c>
      <c r="AQ46" s="56">
        <f>NPV(Исх!$C$8,'1-Ф3'!$AJ40:AQ40)</f>
        <v>209558.47538822892</v>
      </c>
    </row>
    <row r="47" spans="1:43" ht="12.75">
      <c r="A47" s="51" t="s">
        <v>67</v>
      </c>
      <c r="B47" s="53"/>
      <c r="C47" s="53"/>
      <c r="AJ47" s="56">
        <f aca="true" t="shared" si="33" ref="AJ47:AP47">AJ45-AJ46</f>
        <v>-155769.561349612</v>
      </c>
      <c r="AK47" s="56">
        <f t="shared" si="33"/>
        <v>-197048.77372077978</v>
      </c>
      <c r="AL47" s="56">
        <f t="shared" si="33"/>
        <v>-150249.29852815974</v>
      </c>
      <c r="AM47" s="56">
        <f t="shared" si="33"/>
        <v>-106479.47562449094</v>
      </c>
      <c r="AN47" s="56">
        <f t="shared" si="33"/>
        <v>-69161.9649868159</v>
      </c>
      <c r="AO47" s="56">
        <f t="shared" si="33"/>
        <v>-41116.54796654935</v>
      </c>
      <c r="AP47" s="56">
        <f t="shared" si="33"/>
        <v>-15148.401726694487</v>
      </c>
      <c r="AQ47" s="56">
        <f>AQ45-AQ46</f>
        <v>9120.893824571744</v>
      </c>
    </row>
    <row r="48" spans="1:43" ht="12.75">
      <c r="A48" s="51" t="s">
        <v>68</v>
      </c>
      <c r="B48" s="53"/>
      <c r="C48" s="53"/>
      <c r="AJ48" s="67">
        <f aca="true" t="shared" si="34" ref="AJ48:AP48">AJ45/AJ46</f>
        <v>0</v>
      </c>
      <c r="AK48" s="67">
        <f t="shared" si="34"/>
        <v>0.059695517655745524</v>
      </c>
      <c r="AL48" s="67">
        <f t="shared" si="34"/>
        <v>0.2830197001108771</v>
      </c>
      <c r="AM48" s="67">
        <f t="shared" si="34"/>
        <v>0.49188657043230244</v>
      </c>
      <c r="AN48" s="67">
        <f t="shared" si="34"/>
        <v>0.6699634082626047</v>
      </c>
      <c r="AO48" s="67">
        <f t="shared" si="34"/>
        <v>0.8037943925179993</v>
      </c>
      <c r="AP48" s="67">
        <f t="shared" si="34"/>
        <v>0.9277127699147911</v>
      </c>
      <c r="AQ48" s="67">
        <f>AQ45/AQ46</f>
        <v>1.0435243375753442</v>
      </c>
    </row>
    <row r="49" spans="1:43" ht="12.75">
      <c r="A49" s="51" t="s">
        <v>69</v>
      </c>
      <c r="B49" s="53"/>
      <c r="C49" s="53"/>
      <c r="AG49" s="68" t="str">
        <f>IF(ISERROR(IRR($AJ41:AJ$41))," ",IF(IRR($AJ41:AJ$41)&lt;0," ",IRR($AJ41:AJ$41)))</f>
        <v> </v>
      </c>
      <c r="AH49" s="68"/>
      <c r="AI49" s="68"/>
      <c r="AJ49" s="68" t="str">
        <f>IF(ISERROR(IRR($AJ41:AJ$41))," ",IF(IRR($AJ41:AJ$41)&lt;0," ",IRR($AJ41:AJ$41)))</f>
        <v> </v>
      </c>
      <c r="AK49" s="68" t="str">
        <f>IF(ISERROR(IRR($AJ41:AK$41))," ",IF(IRR($AJ41:AK$41)&lt;0," ",IRR($AJ41:AK$41)))</f>
        <v> </v>
      </c>
      <c r="AL49" s="68" t="str">
        <f>IF(ISERROR(IRR($AJ41:AL$41))," ",IF(IRR($AJ41:AL$41)&lt;0," ",IRR($AJ41:AL$41)))</f>
        <v> </v>
      </c>
      <c r="AM49" s="68" t="str">
        <f>IF(ISERROR(IRR($AJ41:AM$41))," ",IF(IRR($AJ41:AM$41)&lt;0," ",IRR($AJ41:AM$41)))</f>
        <v> </v>
      </c>
      <c r="AN49" s="68" t="str">
        <f>IF(ISERROR(IRR($AJ41:AN$41))," ",IF(IRR($AJ41:AN$41)&lt;0," ",IRR($AJ41:AN$41)))</f>
        <v> </v>
      </c>
      <c r="AO49" s="68" t="str">
        <f>IF(ISERROR(IRR($AJ41:AO$41))," ",IF(IRR($AJ41:AO$41)&lt;0," ",IRR($AJ41:AO$41)))</f>
        <v> </v>
      </c>
      <c r="AP49" s="68">
        <f>IF(ISERROR(IRR($AJ41:AP$41))," ",IF(IRR($AJ41:AP$41)&lt;0," ",IRR($AJ41:AP$41)))</f>
        <v>0.045787609554984066</v>
      </c>
      <c r="AQ49" s="68">
        <f>IF(ISERROR(IRR($AJ41:AQ$41))," ",IF(IRR($AJ41:AQ$41)&lt;0," ",IRR($AJ41:AQ$41)))</f>
        <v>0.08265037564229227</v>
      </c>
    </row>
    <row r="50" spans="1:3" ht="12.75">
      <c r="A50" s="69" t="s">
        <v>32</v>
      </c>
      <c r="B50" s="57">
        <f>AO37-AO43/AP41</f>
        <v>5.115133579447292</v>
      </c>
      <c r="C50" s="53"/>
    </row>
    <row r="51" spans="1:3" ht="12.75">
      <c r="A51" s="69" t="s">
        <v>27</v>
      </c>
      <c r="B51" s="57">
        <f>AP37-AP44/AQ42</f>
        <v>6.624179704544581</v>
      </c>
      <c r="C51" s="53"/>
    </row>
    <row r="52" spans="1:3" ht="12.75">
      <c r="A52" s="51"/>
      <c r="B52" s="53"/>
      <c r="C52" s="53"/>
    </row>
    <row r="53" spans="1:3" ht="12.75">
      <c r="A53" s="51"/>
      <c r="B53" s="53"/>
      <c r="C53" s="53"/>
    </row>
    <row r="54" spans="1:3" ht="12.75">
      <c r="A54" s="51"/>
      <c r="B54" s="53"/>
      <c r="C54" s="53"/>
    </row>
    <row r="55" spans="1:3" ht="12.75">
      <c r="A55" s="51"/>
      <c r="B55" s="53"/>
      <c r="C55" s="53"/>
    </row>
    <row r="56" spans="1:3" ht="12.75">
      <c r="A56" s="51"/>
      <c r="B56" s="53"/>
      <c r="C56" s="53"/>
    </row>
    <row r="57" spans="1:3" ht="12.75">
      <c r="A57" s="51"/>
      <c r="B57" s="53"/>
      <c r="C57" s="53"/>
    </row>
    <row r="58" spans="1:3" ht="12.75">
      <c r="A58" s="51"/>
      <c r="B58" s="53"/>
      <c r="C58" s="53"/>
    </row>
    <row r="59" spans="1:3" ht="12.75">
      <c r="A59" s="51"/>
      <c r="B59" s="53"/>
      <c r="C59" s="53"/>
    </row>
    <row r="60" spans="1:3" ht="12.75">
      <c r="A60" s="51"/>
      <c r="B60" s="53"/>
      <c r="C60" s="53"/>
    </row>
    <row r="61" spans="1:3" ht="12.75">
      <c r="A61" s="51"/>
      <c r="B61" s="53"/>
      <c r="C61" s="53"/>
    </row>
    <row r="62" spans="1:3" ht="12.75">
      <c r="A62" s="51"/>
      <c r="B62" s="53"/>
      <c r="C62" s="53"/>
    </row>
    <row r="63" spans="1:3" ht="12.75">
      <c r="A63" s="51"/>
      <c r="B63" s="53"/>
      <c r="C63" s="53"/>
    </row>
    <row r="64" spans="1:3" ht="12.75">
      <c r="A64" s="51"/>
      <c r="B64" s="53"/>
      <c r="C64" s="53"/>
    </row>
    <row r="65" spans="1:3" ht="12.75">
      <c r="A65" s="51"/>
      <c r="B65" s="53"/>
      <c r="C65" s="53"/>
    </row>
    <row r="66" spans="1:3" ht="12.75">
      <c r="A66" s="51"/>
      <c r="B66" s="53"/>
      <c r="C66" s="53"/>
    </row>
    <row r="67" spans="1:3" ht="12.75">
      <c r="A67" s="51"/>
      <c r="B67" s="53"/>
      <c r="C67" s="53"/>
    </row>
    <row r="68" spans="1:3" ht="12.75">
      <c r="A68" s="51"/>
      <c r="B68" s="53"/>
      <c r="C68" s="53"/>
    </row>
    <row r="69" spans="1:3" ht="12.75">
      <c r="A69" s="51"/>
      <c r="B69" s="53"/>
      <c r="C69" s="53"/>
    </row>
    <row r="70" spans="1:3" ht="12.75">
      <c r="A70" s="51"/>
      <c r="B70" s="53"/>
      <c r="C70" s="53"/>
    </row>
    <row r="71" spans="1:3" ht="12.75">
      <c r="A71" s="51"/>
      <c r="B71" s="53"/>
      <c r="C71" s="53"/>
    </row>
    <row r="72" spans="1:3" ht="12.75">
      <c r="A72" s="51"/>
      <c r="B72" s="53"/>
      <c r="C72" s="53"/>
    </row>
    <row r="73" spans="1:3" ht="12.75">
      <c r="A73" s="51"/>
      <c r="B73" s="53"/>
      <c r="C73" s="53"/>
    </row>
    <row r="74" spans="1:3" ht="12.75">
      <c r="A74" s="51"/>
      <c r="B74" s="53"/>
      <c r="C74" s="53"/>
    </row>
    <row r="75" spans="1:3" ht="12.75">
      <c r="A75" s="51"/>
      <c r="B75" s="53"/>
      <c r="C75" s="53"/>
    </row>
    <row r="76" spans="1:3" ht="12.75">
      <c r="A76" s="51"/>
      <c r="B76" s="53"/>
      <c r="C76" s="53"/>
    </row>
    <row r="77" spans="1:3" ht="12.75">
      <c r="A77" s="51"/>
      <c r="B77" s="53"/>
      <c r="C77" s="53"/>
    </row>
    <row r="78" spans="1:3" ht="12.75">
      <c r="A78" s="51"/>
      <c r="B78" s="53"/>
      <c r="C78" s="53"/>
    </row>
    <row r="79" spans="1:3" ht="12.75">
      <c r="A79" s="51"/>
      <c r="B79" s="53"/>
      <c r="C79" s="53"/>
    </row>
    <row r="80" spans="1:3" ht="12.75">
      <c r="A80" s="51"/>
      <c r="B80" s="53"/>
      <c r="C80" s="53"/>
    </row>
    <row r="81" spans="1:3" ht="12.75">
      <c r="A81" s="51"/>
      <c r="B81" s="53"/>
      <c r="C81" s="53"/>
    </row>
    <row r="82" spans="1:3" ht="12.75">
      <c r="A82" s="51"/>
      <c r="B82" s="53"/>
      <c r="C82" s="53"/>
    </row>
    <row r="83" spans="1:3" ht="12.75">
      <c r="A83" s="51"/>
      <c r="B83" s="53"/>
      <c r="C83" s="53"/>
    </row>
    <row r="84" spans="1:3" ht="12.75">
      <c r="A84" s="51"/>
      <c r="B84" s="53"/>
      <c r="C84" s="53"/>
    </row>
    <row r="85" spans="1:3" ht="12.75">
      <c r="A85" s="51"/>
      <c r="B85" s="53"/>
      <c r="C85" s="53"/>
    </row>
    <row r="86" spans="1:3" ht="12.75">
      <c r="A86" s="51"/>
      <c r="B86" s="53"/>
      <c r="C86" s="53"/>
    </row>
    <row r="87" spans="1:3" ht="12.75">
      <c r="A87" s="51"/>
      <c r="B87" s="53"/>
      <c r="C87" s="53"/>
    </row>
    <row r="88" spans="1:3" ht="12.75">
      <c r="A88" s="51"/>
      <c r="B88" s="53"/>
      <c r="C88" s="53"/>
    </row>
    <row r="89" spans="1:3" ht="12.75">
      <c r="A89" s="51"/>
      <c r="B89" s="53"/>
      <c r="C89" s="53"/>
    </row>
    <row r="90" spans="1:3" ht="12.75">
      <c r="A90" s="51"/>
      <c r="B90" s="53"/>
      <c r="C90" s="53"/>
    </row>
    <row r="91" spans="1:3" ht="12.75">
      <c r="A91" s="51"/>
      <c r="B91" s="53"/>
      <c r="C91" s="53"/>
    </row>
    <row r="92" spans="1:3" ht="12.75">
      <c r="A92" s="51"/>
      <c r="B92" s="53"/>
      <c r="C92" s="53"/>
    </row>
    <row r="93" spans="1:3" ht="12.75">
      <c r="A93" s="51"/>
      <c r="B93" s="53"/>
      <c r="C93" s="53"/>
    </row>
    <row r="94" spans="1:3" ht="12.75">
      <c r="A94" s="51"/>
      <c r="B94" s="53"/>
      <c r="C94" s="53"/>
    </row>
    <row r="95" spans="1:3" ht="12.75">
      <c r="A95" s="51"/>
      <c r="B95" s="53"/>
      <c r="C95" s="53"/>
    </row>
    <row r="96" spans="1:3" ht="12.75">
      <c r="A96" s="51"/>
      <c r="B96" s="53"/>
      <c r="C96" s="53"/>
    </row>
    <row r="97" spans="1:3" ht="12.75">
      <c r="A97" s="51"/>
      <c r="B97" s="53"/>
      <c r="C97" s="53"/>
    </row>
    <row r="98" spans="1:3" ht="12.75">
      <c r="A98" s="51"/>
      <c r="B98" s="53"/>
      <c r="C98" s="53"/>
    </row>
    <row r="99" spans="1:3" ht="12.75">
      <c r="A99" s="51"/>
      <c r="B99" s="53"/>
      <c r="C99" s="53"/>
    </row>
    <row r="100" spans="1:3" ht="12.75">
      <c r="A100" s="51"/>
      <c r="B100" s="53"/>
      <c r="C100" s="53"/>
    </row>
    <row r="101" spans="1:3" ht="12.75">
      <c r="A101" s="51"/>
      <c r="B101" s="53"/>
      <c r="C101" s="53"/>
    </row>
    <row r="102" spans="1:3" ht="12.75">
      <c r="A102" s="51"/>
      <c r="B102" s="53"/>
      <c r="C102" s="53"/>
    </row>
    <row r="103" spans="1:3" ht="12.75">
      <c r="A103" s="51"/>
      <c r="B103" s="53"/>
      <c r="C103" s="53"/>
    </row>
    <row r="104" spans="1:3" ht="12.75">
      <c r="A104" s="51"/>
      <c r="B104" s="53"/>
      <c r="C104" s="53"/>
    </row>
    <row r="105" spans="1:3" ht="12.75">
      <c r="A105" s="51"/>
      <c r="B105" s="53"/>
      <c r="C105" s="53"/>
    </row>
    <row r="106" spans="1:3" ht="12.75">
      <c r="A106" s="51"/>
      <c r="B106" s="53"/>
      <c r="C106" s="53"/>
    </row>
    <row r="107" spans="1:3" ht="12.75">
      <c r="A107" s="51"/>
      <c r="B107" s="53"/>
      <c r="C107" s="53"/>
    </row>
    <row r="108" spans="1:3" ht="12.75">
      <c r="A108" s="51"/>
      <c r="B108" s="53"/>
      <c r="C108" s="53"/>
    </row>
    <row r="109" spans="1:3" ht="12.75">
      <c r="A109" s="51"/>
      <c r="B109" s="53"/>
      <c r="C109" s="53"/>
    </row>
    <row r="110" spans="1:3" ht="12.75">
      <c r="A110" s="51"/>
      <c r="B110" s="53"/>
      <c r="C110" s="53"/>
    </row>
    <row r="111" spans="1:3" ht="12.75">
      <c r="A111" s="51"/>
      <c r="B111" s="53"/>
      <c r="C111" s="53"/>
    </row>
    <row r="112" spans="1:3" ht="12.75">
      <c r="A112" s="51"/>
      <c r="B112" s="53"/>
      <c r="C112" s="53"/>
    </row>
    <row r="113" spans="1:3" ht="12.75">
      <c r="A113" s="51"/>
      <c r="B113" s="53"/>
      <c r="C113" s="53"/>
    </row>
    <row r="114" spans="1:3" ht="12.75">
      <c r="A114" s="51"/>
      <c r="B114" s="53"/>
      <c r="C114" s="53"/>
    </row>
    <row r="115" spans="1:3" ht="12.75">
      <c r="A115" s="51"/>
      <c r="B115" s="53"/>
      <c r="C115" s="53"/>
    </row>
    <row r="116" spans="1:3" ht="12.75">
      <c r="A116" s="51"/>
      <c r="B116" s="53"/>
      <c r="C116" s="53"/>
    </row>
    <row r="117" spans="1:3" ht="12.75">
      <c r="A117" s="51"/>
      <c r="B117" s="53"/>
      <c r="C117" s="53"/>
    </row>
    <row r="118" spans="1:3" ht="12.75">
      <c r="A118" s="51"/>
      <c r="B118" s="53"/>
      <c r="C118" s="53"/>
    </row>
    <row r="119" spans="1:3" ht="12.75">
      <c r="A119" s="51"/>
      <c r="B119" s="53"/>
      <c r="C119" s="53"/>
    </row>
    <row r="120" spans="1:3" ht="12.75">
      <c r="A120" s="51"/>
      <c r="B120" s="53"/>
      <c r="C120" s="53"/>
    </row>
    <row r="121" spans="1:3" ht="12.75">
      <c r="A121" s="51"/>
      <c r="B121" s="53"/>
      <c r="C121" s="53"/>
    </row>
    <row r="122" spans="1:3" ht="12.75">
      <c r="A122" s="51"/>
      <c r="B122" s="53"/>
      <c r="C122" s="53"/>
    </row>
    <row r="123" spans="1:3" ht="12.75">
      <c r="A123" s="51"/>
      <c r="B123" s="53"/>
      <c r="C123" s="53"/>
    </row>
    <row r="124" spans="1:3" ht="12.75">
      <c r="A124" s="51"/>
      <c r="B124" s="53"/>
      <c r="C124" s="53"/>
    </row>
    <row r="125" spans="1:3" ht="12.75">
      <c r="A125" s="51"/>
      <c r="B125" s="53"/>
      <c r="C125" s="53"/>
    </row>
    <row r="126" spans="1:3" ht="12.75">
      <c r="A126" s="51"/>
      <c r="B126" s="53"/>
      <c r="C126" s="53"/>
    </row>
    <row r="127" spans="1:3" ht="12.75">
      <c r="A127" s="51"/>
      <c r="B127" s="53"/>
      <c r="C127" s="53"/>
    </row>
    <row r="128" spans="1:3" ht="12.75">
      <c r="A128" s="51"/>
      <c r="B128" s="53"/>
      <c r="C128" s="53"/>
    </row>
    <row r="129" spans="1:3" ht="12.75">
      <c r="A129" s="51"/>
      <c r="B129" s="53"/>
      <c r="C129" s="53"/>
    </row>
    <row r="130" spans="1:3" ht="12.75">
      <c r="A130" s="51"/>
      <c r="B130" s="53"/>
      <c r="C130" s="53"/>
    </row>
    <row r="131" spans="1:3" ht="12.75">
      <c r="A131" s="51"/>
      <c r="B131" s="53"/>
      <c r="C131" s="53"/>
    </row>
    <row r="132" spans="1:3" ht="12.75">
      <c r="A132" s="51"/>
      <c r="B132" s="53"/>
      <c r="C132" s="53"/>
    </row>
    <row r="133" spans="1:3" ht="12.75">
      <c r="A133" s="51"/>
      <c r="B133" s="53"/>
      <c r="C133" s="53"/>
    </row>
    <row r="134" spans="1:3" ht="12.75">
      <c r="A134" s="51"/>
      <c r="B134" s="53"/>
      <c r="C134" s="53"/>
    </row>
    <row r="135" spans="1:3" ht="12.75">
      <c r="A135" s="51"/>
      <c r="B135" s="53"/>
      <c r="C135" s="53"/>
    </row>
    <row r="136" spans="1:3" ht="12.75">
      <c r="A136" s="51"/>
      <c r="B136" s="53"/>
      <c r="C136" s="53"/>
    </row>
    <row r="137" spans="1:3" ht="12.75">
      <c r="A137" s="51"/>
      <c r="B137" s="53"/>
      <c r="C137" s="53"/>
    </row>
    <row r="138" spans="1:3" ht="12.75">
      <c r="A138" s="51"/>
      <c r="B138" s="53"/>
      <c r="C138" s="53"/>
    </row>
    <row r="139" spans="1:3" ht="12.75">
      <c r="A139" s="51"/>
      <c r="B139" s="53"/>
      <c r="C139" s="53"/>
    </row>
    <row r="140" spans="1:3" ht="12.75">
      <c r="A140" s="51"/>
      <c r="B140" s="53"/>
      <c r="C140" s="53"/>
    </row>
    <row r="141" spans="1:3" ht="12.75">
      <c r="A141" s="51"/>
      <c r="B141" s="53"/>
      <c r="C141" s="53"/>
    </row>
    <row r="142" spans="1:3" ht="12.75">
      <c r="A142" s="51"/>
      <c r="B142" s="53"/>
      <c r="C142" s="53"/>
    </row>
    <row r="143" spans="1:3" ht="12.75">
      <c r="A143" s="51"/>
      <c r="B143" s="53"/>
      <c r="C143" s="53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49" bottom="0.35433070866141736" header="0.35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C26" sqref="DC26"/>
    </sheetView>
  </sheetViews>
  <sheetFormatPr defaultColWidth="9.00390625" defaultRowHeight="12.75" outlineLevelRow="1" outlineLevelCol="1"/>
  <cols>
    <col min="1" max="1" width="23.25390625" style="171" customWidth="1"/>
    <col min="2" max="2" width="12.125" style="171" customWidth="1"/>
    <col min="3" max="14" width="9.125" style="171" hidden="1" customWidth="1" outlineLevel="1"/>
    <col min="15" max="15" width="10.125" style="172" bestFit="1" customWidth="1" collapsed="1"/>
    <col min="16" max="27" width="9.125" style="171" hidden="1" customWidth="1" outlineLevel="1"/>
    <col min="28" max="28" width="10.125" style="172" bestFit="1" customWidth="1" collapsed="1"/>
    <col min="29" max="40" width="9.125" style="171" hidden="1" customWidth="1" outlineLevel="1"/>
    <col min="41" max="41" width="10.125" style="172" bestFit="1" customWidth="1" collapsed="1"/>
    <col min="42" max="47" width="9.125" style="171" hidden="1" customWidth="1" outlineLevel="1"/>
    <col min="48" max="48" width="9.25390625" style="171" hidden="1" customWidth="1" outlineLevel="1"/>
    <col min="49" max="53" width="8.75390625" style="171" hidden="1" customWidth="1" outlineLevel="1"/>
    <col min="54" max="54" width="10.125" style="172" bestFit="1" customWidth="1" collapsed="1"/>
    <col min="55" max="66" width="8.75390625" style="171" hidden="1" customWidth="1" outlineLevel="1"/>
    <col min="67" max="67" width="10.125" style="172" bestFit="1" customWidth="1" collapsed="1"/>
    <col min="68" max="79" width="8.75390625" style="171" hidden="1" customWidth="1" outlineLevel="1"/>
    <col min="80" max="80" width="10.125" style="172" bestFit="1" customWidth="1" collapsed="1"/>
    <col min="81" max="92" width="8.75390625" style="171" hidden="1" customWidth="1" outlineLevel="1"/>
    <col min="93" max="93" width="10.125" style="172" bestFit="1" customWidth="1" collapsed="1"/>
    <col min="94" max="105" width="8.75390625" style="171" hidden="1" customWidth="1" outlineLevel="1"/>
    <col min="106" max="106" width="10.125" style="172" bestFit="1" customWidth="1" collapsed="1"/>
    <col min="107" max="16384" width="9.125" style="171" customWidth="1"/>
  </cols>
  <sheetData>
    <row r="1" ht="9.75" customHeight="1"/>
    <row r="2" spans="1:15" ht="18.75" customHeight="1">
      <c r="A2" s="172" t="s">
        <v>96</v>
      </c>
      <c r="B2" s="173"/>
      <c r="D2" s="174"/>
      <c r="E2" s="174"/>
      <c r="F2" s="175"/>
      <c r="G2" s="174"/>
      <c r="O2" s="176"/>
    </row>
    <row r="3" spans="1:15" ht="13.5" customHeight="1">
      <c r="A3" s="177"/>
      <c r="B3" s="173"/>
      <c r="D3" s="174"/>
      <c r="E3" s="174"/>
      <c r="F3" s="175"/>
      <c r="G3" s="174"/>
      <c r="O3" s="176"/>
    </row>
    <row r="4" spans="1:2" ht="12.75">
      <c r="A4" s="269"/>
      <c r="B4" s="270"/>
    </row>
    <row r="5" spans="1:106" ht="15.75" customHeight="1">
      <c r="A5" s="178" t="s">
        <v>10</v>
      </c>
      <c r="B5" s="271">
        <f>Исх!C32</f>
        <v>0.07</v>
      </c>
      <c r="C5" s="311">
        <v>2014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>
        <v>2015</v>
      </c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>
        <v>2016</v>
      </c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>
        <v>2017</v>
      </c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>
        <v>2018</v>
      </c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>
        <v>2019</v>
      </c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>
        <v>2020</v>
      </c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>
        <v>2021</v>
      </c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</row>
    <row r="6" spans="1:106" s="183" customFormat="1" ht="15" customHeight="1">
      <c r="A6" s="179" t="s">
        <v>8</v>
      </c>
      <c r="B6" s="180" t="s">
        <v>85</v>
      </c>
      <c r="C6" s="181">
        <v>1</v>
      </c>
      <c r="D6" s="181">
        <v>2</v>
      </c>
      <c r="E6" s="181">
        <f>D6+1</f>
        <v>3</v>
      </c>
      <c r="F6" s="181">
        <f aca="true" t="shared" si="0" ref="F6:N6">E6+1</f>
        <v>4</v>
      </c>
      <c r="G6" s="181">
        <f t="shared" si="0"/>
        <v>5</v>
      </c>
      <c r="H6" s="181">
        <f t="shared" si="0"/>
        <v>6</v>
      </c>
      <c r="I6" s="181">
        <f t="shared" si="0"/>
        <v>7</v>
      </c>
      <c r="J6" s="181">
        <f t="shared" si="0"/>
        <v>8</v>
      </c>
      <c r="K6" s="181">
        <f t="shared" si="0"/>
        <v>9</v>
      </c>
      <c r="L6" s="181">
        <f t="shared" si="0"/>
        <v>10</v>
      </c>
      <c r="M6" s="181">
        <f t="shared" si="0"/>
        <v>11</v>
      </c>
      <c r="N6" s="181">
        <f t="shared" si="0"/>
        <v>12</v>
      </c>
      <c r="O6" s="182" t="s">
        <v>0</v>
      </c>
      <c r="P6" s="181">
        <v>1</v>
      </c>
      <c r="Q6" s="181">
        <v>2</v>
      </c>
      <c r="R6" s="181">
        <f>Q6+1</f>
        <v>3</v>
      </c>
      <c r="S6" s="181">
        <f aca="true" t="shared" si="1" ref="S6:AA6">R6+1</f>
        <v>4</v>
      </c>
      <c r="T6" s="181">
        <f t="shared" si="1"/>
        <v>5</v>
      </c>
      <c r="U6" s="181">
        <f t="shared" si="1"/>
        <v>6</v>
      </c>
      <c r="V6" s="181">
        <f t="shared" si="1"/>
        <v>7</v>
      </c>
      <c r="W6" s="181">
        <f t="shared" si="1"/>
        <v>8</v>
      </c>
      <c r="X6" s="181">
        <f t="shared" si="1"/>
        <v>9</v>
      </c>
      <c r="Y6" s="181">
        <f t="shared" si="1"/>
        <v>10</v>
      </c>
      <c r="Z6" s="181">
        <f t="shared" si="1"/>
        <v>11</v>
      </c>
      <c r="AA6" s="181">
        <f t="shared" si="1"/>
        <v>12</v>
      </c>
      <c r="AB6" s="182" t="s">
        <v>0</v>
      </c>
      <c r="AC6" s="181">
        <v>1</v>
      </c>
      <c r="AD6" s="181">
        <v>2</v>
      </c>
      <c r="AE6" s="181">
        <f aca="true" t="shared" si="2" ref="AE6:BN6">AD6+1</f>
        <v>3</v>
      </c>
      <c r="AF6" s="181">
        <f t="shared" si="2"/>
        <v>4</v>
      </c>
      <c r="AG6" s="181">
        <f t="shared" si="2"/>
        <v>5</v>
      </c>
      <c r="AH6" s="181">
        <f t="shared" si="2"/>
        <v>6</v>
      </c>
      <c r="AI6" s="181">
        <f t="shared" si="2"/>
        <v>7</v>
      </c>
      <c r="AJ6" s="181">
        <f t="shared" si="2"/>
        <v>8</v>
      </c>
      <c r="AK6" s="181">
        <f t="shared" si="2"/>
        <v>9</v>
      </c>
      <c r="AL6" s="181">
        <f t="shared" si="2"/>
        <v>10</v>
      </c>
      <c r="AM6" s="181">
        <f t="shared" si="2"/>
        <v>11</v>
      </c>
      <c r="AN6" s="181">
        <f t="shared" si="2"/>
        <v>12</v>
      </c>
      <c r="AO6" s="182" t="s">
        <v>0</v>
      </c>
      <c r="AP6" s="181">
        <v>1</v>
      </c>
      <c r="AQ6" s="181">
        <v>2</v>
      </c>
      <c r="AR6" s="181">
        <f>AQ6+1</f>
        <v>3</v>
      </c>
      <c r="AS6" s="181">
        <f t="shared" si="2"/>
        <v>4</v>
      </c>
      <c r="AT6" s="181">
        <f t="shared" si="2"/>
        <v>5</v>
      </c>
      <c r="AU6" s="181">
        <f t="shared" si="2"/>
        <v>6</v>
      </c>
      <c r="AV6" s="181">
        <f t="shared" si="2"/>
        <v>7</v>
      </c>
      <c r="AW6" s="181">
        <f t="shared" si="2"/>
        <v>8</v>
      </c>
      <c r="AX6" s="181">
        <f t="shared" si="2"/>
        <v>9</v>
      </c>
      <c r="AY6" s="181">
        <f t="shared" si="2"/>
        <v>10</v>
      </c>
      <c r="AZ6" s="181">
        <f t="shared" si="2"/>
        <v>11</v>
      </c>
      <c r="BA6" s="181">
        <f t="shared" si="2"/>
        <v>12</v>
      </c>
      <c r="BB6" s="182" t="s">
        <v>0</v>
      </c>
      <c r="BC6" s="181">
        <v>1</v>
      </c>
      <c r="BD6" s="181">
        <v>2</v>
      </c>
      <c r="BE6" s="181">
        <f>BD6+1</f>
        <v>3</v>
      </c>
      <c r="BF6" s="181">
        <f t="shared" si="2"/>
        <v>4</v>
      </c>
      <c r="BG6" s="181">
        <f t="shared" si="2"/>
        <v>5</v>
      </c>
      <c r="BH6" s="181">
        <f t="shared" si="2"/>
        <v>6</v>
      </c>
      <c r="BI6" s="181">
        <f t="shared" si="2"/>
        <v>7</v>
      </c>
      <c r="BJ6" s="181">
        <f t="shared" si="2"/>
        <v>8</v>
      </c>
      <c r="BK6" s="181">
        <f t="shared" si="2"/>
        <v>9</v>
      </c>
      <c r="BL6" s="181">
        <f t="shared" si="2"/>
        <v>10</v>
      </c>
      <c r="BM6" s="181">
        <f t="shared" si="2"/>
        <v>11</v>
      </c>
      <c r="BN6" s="181">
        <f t="shared" si="2"/>
        <v>12</v>
      </c>
      <c r="BO6" s="182" t="s">
        <v>0</v>
      </c>
      <c r="BP6" s="181">
        <v>1</v>
      </c>
      <c r="BQ6" s="181">
        <v>2</v>
      </c>
      <c r="BR6" s="181">
        <f aca="true" t="shared" si="3" ref="BR6:CA6">BQ6+1</f>
        <v>3</v>
      </c>
      <c r="BS6" s="181">
        <f t="shared" si="3"/>
        <v>4</v>
      </c>
      <c r="BT6" s="181">
        <f t="shared" si="3"/>
        <v>5</v>
      </c>
      <c r="BU6" s="181">
        <f t="shared" si="3"/>
        <v>6</v>
      </c>
      <c r="BV6" s="181">
        <f t="shared" si="3"/>
        <v>7</v>
      </c>
      <c r="BW6" s="181">
        <f t="shared" si="3"/>
        <v>8</v>
      </c>
      <c r="BX6" s="181">
        <f t="shared" si="3"/>
        <v>9</v>
      </c>
      <c r="BY6" s="181">
        <f t="shared" si="3"/>
        <v>10</v>
      </c>
      <c r="BZ6" s="181">
        <f t="shared" si="3"/>
        <v>11</v>
      </c>
      <c r="CA6" s="181">
        <f t="shared" si="3"/>
        <v>12</v>
      </c>
      <c r="CB6" s="182" t="s">
        <v>0</v>
      </c>
      <c r="CC6" s="181">
        <v>1</v>
      </c>
      <c r="CD6" s="181">
        <v>2</v>
      </c>
      <c r="CE6" s="181">
        <f aca="true" t="shared" si="4" ref="CE6:CN6">CD6+1</f>
        <v>3</v>
      </c>
      <c r="CF6" s="181">
        <f t="shared" si="4"/>
        <v>4</v>
      </c>
      <c r="CG6" s="181">
        <f t="shared" si="4"/>
        <v>5</v>
      </c>
      <c r="CH6" s="181">
        <f t="shared" si="4"/>
        <v>6</v>
      </c>
      <c r="CI6" s="181">
        <f t="shared" si="4"/>
        <v>7</v>
      </c>
      <c r="CJ6" s="181">
        <f t="shared" si="4"/>
        <v>8</v>
      </c>
      <c r="CK6" s="181">
        <f t="shared" si="4"/>
        <v>9</v>
      </c>
      <c r="CL6" s="181">
        <f t="shared" si="4"/>
        <v>10</v>
      </c>
      <c r="CM6" s="181">
        <f t="shared" si="4"/>
        <v>11</v>
      </c>
      <c r="CN6" s="181">
        <f t="shared" si="4"/>
        <v>12</v>
      </c>
      <c r="CO6" s="182" t="s">
        <v>0</v>
      </c>
      <c r="CP6" s="181">
        <v>1</v>
      </c>
      <c r="CQ6" s="181">
        <v>2</v>
      </c>
      <c r="CR6" s="181">
        <f aca="true" t="shared" si="5" ref="CR6:DA6">CQ6+1</f>
        <v>3</v>
      </c>
      <c r="CS6" s="181">
        <f t="shared" si="5"/>
        <v>4</v>
      </c>
      <c r="CT6" s="181">
        <f t="shared" si="5"/>
        <v>5</v>
      </c>
      <c r="CU6" s="181">
        <f t="shared" si="5"/>
        <v>6</v>
      </c>
      <c r="CV6" s="181">
        <f t="shared" si="5"/>
        <v>7</v>
      </c>
      <c r="CW6" s="181">
        <f t="shared" si="5"/>
        <v>8</v>
      </c>
      <c r="CX6" s="181">
        <f t="shared" si="5"/>
        <v>9</v>
      </c>
      <c r="CY6" s="181">
        <f t="shared" si="5"/>
        <v>10</v>
      </c>
      <c r="CZ6" s="181">
        <f t="shared" si="5"/>
        <v>11</v>
      </c>
      <c r="DA6" s="181">
        <f t="shared" si="5"/>
        <v>12</v>
      </c>
      <c r="DB6" s="182" t="s">
        <v>0</v>
      </c>
    </row>
    <row r="7" spans="1:107" ht="12.75">
      <c r="A7" s="179" t="s">
        <v>104</v>
      </c>
      <c r="B7" s="184">
        <f>O7+AB7+AO7+BB7+BO7+CB7+CO7+DB7</f>
        <v>136377.52000000002</v>
      </c>
      <c r="C7" s="185">
        <f>'1-Ф3'!D30</f>
        <v>2050</v>
      </c>
      <c r="D7" s="185">
        <f>'1-Ф3'!E30</f>
        <v>2050</v>
      </c>
      <c r="E7" s="185">
        <f>'1-Ф3'!F30</f>
        <v>25706.453333333342</v>
      </c>
      <c r="F7" s="185">
        <f>'1-Ф3'!G30</f>
        <v>35792.45333333334</v>
      </c>
      <c r="G7" s="185">
        <f>'1-Ф3'!H30</f>
        <v>10086</v>
      </c>
      <c r="H7" s="185">
        <f>'1-Ф3'!I30</f>
        <v>11419.333333333334</v>
      </c>
      <c r="I7" s="185">
        <f>'1-Ф3'!J30</f>
        <v>11419.333333333334</v>
      </c>
      <c r="J7" s="185">
        <f>'1-Ф3'!K30</f>
        <v>11419.333333333334</v>
      </c>
      <c r="K7" s="185">
        <f>'1-Ф3'!L30</f>
        <v>26434.613333333342</v>
      </c>
      <c r="L7" s="185"/>
      <c r="M7" s="185"/>
      <c r="N7" s="185"/>
      <c r="O7" s="186">
        <f>SUM(C7:N7)</f>
        <v>136377.52000000002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6">
        <f>SUM(P7:AA7)</f>
        <v>0</v>
      </c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7"/>
    </row>
    <row r="8" spans="1:106" s="188" customFormat="1" ht="20.25" customHeight="1">
      <c r="A8" s="179" t="s">
        <v>29</v>
      </c>
      <c r="B8" s="184">
        <f>O8+AB8+AO8+BB8+BO8+CB8+CO8+DB8</f>
        <v>14691.097088888893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>
        <f>SUM(C8:N8)</f>
        <v>0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>
        <f>SUM(O9:AA9)</f>
        <v>14691.097088888893</v>
      </c>
      <c r="AB8" s="186">
        <f>SUM(P8:AA8)</f>
        <v>14691.097088888893</v>
      </c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6">
        <f>SUM(AC8:AN8)</f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>
        <f>SUM(AP8:BA8)</f>
        <v>0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6">
        <f>SUM(BC8:BN8)</f>
        <v>0</v>
      </c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6">
        <f>SUM(BP8:CA8)</f>
        <v>0</v>
      </c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6">
        <f>SUM(CC8:CN8)</f>
        <v>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6">
        <f>SUM(CP8:DA8)</f>
        <v>0</v>
      </c>
    </row>
    <row r="9" spans="1:106" s="188" customFormat="1" ht="12.75">
      <c r="A9" s="189" t="s">
        <v>11</v>
      </c>
      <c r="B9" s="184">
        <f>O9+AB9+AO9+BB9+BO9+CB9+CO9+DB9</f>
        <v>41568.72187928705</v>
      </c>
      <c r="C9" s="185"/>
      <c r="D9" s="185">
        <f>C12*$B$5/12</f>
        <v>11.958333333333334</v>
      </c>
      <c r="E9" s="185">
        <f>D12*$B$5/12</f>
        <v>23.916666666666668</v>
      </c>
      <c r="F9" s="185">
        <f>E12*$B$5/12</f>
        <v>173.87097777777785</v>
      </c>
      <c r="G9" s="185">
        <f>F12*$B$5/12</f>
        <v>382.660288888889</v>
      </c>
      <c r="H9" s="185">
        <f>G12*$B$5/12</f>
        <v>441.495288888889</v>
      </c>
      <c r="I9" s="185">
        <f aca="true" t="shared" si="6" ref="I9:AA9">H12*$B$5/12</f>
        <v>508.10806666666673</v>
      </c>
      <c r="J9" s="185">
        <f t="shared" si="6"/>
        <v>574.7208444444445</v>
      </c>
      <c r="K9" s="185">
        <f t="shared" si="6"/>
        <v>641.3336222222223</v>
      </c>
      <c r="L9" s="185">
        <f>K12*$B$5/12</f>
        <v>795.5355333333335</v>
      </c>
      <c r="M9" s="185">
        <f t="shared" si="6"/>
        <v>795.5355333333335</v>
      </c>
      <c r="N9" s="185">
        <f t="shared" si="6"/>
        <v>795.5355333333335</v>
      </c>
      <c r="O9" s="186">
        <f>SUM(C9:N9)</f>
        <v>5144.67068888889</v>
      </c>
      <c r="P9" s="185">
        <f t="shared" si="6"/>
        <v>795.5355333333335</v>
      </c>
      <c r="Q9" s="185">
        <f t="shared" si="6"/>
        <v>795.5355333333335</v>
      </c>
      <c r="R9" s="185">
        <f t="shared" si="6"/>
        <v>795.5355333333335</v>
      </c>
      <c r="S9" s="185">
        <f t="shared" si="6"/>
        <v>795.5355333333335</v>
      </c>
      <c r="T9" s="185">
        <f t="shared" si="6"/>
        <v>795.5355333333335</v>
      </c>
      <c r="U9" s="185">
        <f t="shared" si="6"/>
        <v>795.5355333333335</v>
      </c>
      <c r="V9" s="185">
        <f t="shared" si="6"/>
        <v>795.5355333333335</v>
      </c>
      <c r="W9" s="185">
        <f t="shared" si="6"/>
        <v>795.5355333333335</v>
      </c>
      <c r="X9" s="185">
        <f t="shared" si="6"/>
        <v>795.5355333333335</v>
      </c>
      <c r="Y9" s="185">
        <f t="shared" si="6"/>
        <v>795.5355333333335</v>
      </c>
      <c r="Z9" s="185">
        <f t="shared" si="6"/>
        <v>795.5355333333335</v>
      </c>
      <c r="AA9" s="185">
        <f t="shared" si="6"/>
        <v>795.5355333333335</v>
      </c>
      <c r="AB9" s="186">
        <f>SUM(P9:AA9)</f>
        <v>9546.426400000002</v>
      </c>
      <c r="AC9" s="185">
        <f aca="true" t="shared" si="7" ref="AC9:AN9">AB12*$B$5/12</f>
        <v>881.2335996851854</v>
      </c>
      <c r="AD9" s="185">
        <f t="shared" si="7"/>
        <v>866.5463730237657</v>
      </c>
      <c r="AE9" s="185">
        <f t="shared" si="7"/>
        <v>851.8591463623458</v>
      </c>
      <c r="AF9" s="185">
        <f t="shared" si="7"/>
        <v>837.171919700926</v>
      </c>
      <c r="AG9" s="185">
        <f t="shared" si="7"/>
        <v>822.4846930395062</v>
      </c>
      <c r="AH9" s="185">
        <f t="shared" si="7"/>
        <v>807.7974663780864</v>
      </c>
      <c r="AI9" s="185">
        <f t="shared" si="7"/>
        <v>793.1102397166665</v>
      </c>
      <c r="AJ9" s="185">
        <f t="shared" si="7"/>
        <v>778.4230130552468</v>
      </c>
      <c r="AK9" s="185">
        <f t="shared" si="7"/>
        <v>763.735786393827</v>
      </c>
      <c r="AL9" s="185">
        <f t="shared" si="7"/>
        <v>749.0485597324072</v>
      </c>
      <c r="AM9" s="185">
        <f t="shared" si="7"/>
        <v>734.3613330709874</v>
      </c>
      <c r="AN9" s="185">
        <f t="shared" si="7"/>
        <v>719.6741064095677</v>
      </c>
      <c r="AO9" s="186">
        <f>SUM(AC9:AN9)</f>
        <v>9605.446236568516</v>
      </c>
      <c r="AP9" s="185">
        <f aca="true" t="shared" si="8" ref="AP9:BA9">AO12*$B$5/12</f>
        <v>704.986879748148</v>
      </c>
      <c r="AQ9" s="185">
        <f t="shared" si="8"/>
        <v>690.2996530867282</v>
      </c>
      <c r="AR9" s="185">
        <f t="shared" si="8"/>
        <v>675.6124264253085</v>
      </c>
      <c r="AS9" s="185">
        <f t="shared" si="8"/>
        <v>660.9251997638888</v>
      </c>
      <c r="AT9" s="185">
        <f t="shared" si="8"/>
        <v>646.237973102469</v>
      </c>
      <c r="AU9" s="185">
        <f t="shared" si="8"/>
        <v>631.5507464410493</v>
      </c>
      <c r="AV9" s="185">
        <f t="shared" si="8"/>
        <v>616.8635197796295</v>
      </c>
      <c r="AW9" s="185">
        <f t="shared" si="8"/>
        <v>602.1762931182099</v>
      </c>
      <c r="AX9" s="185">
        <f t="shared" si="8"/>
        <v>587.48906645679</v>
      </c>
      <c r="AY9" s="185">
        <f t="shared" si="8"/>
        <v>572.8018397953704</v>
      </c>
      <c r="AZ9" s="185">
        <f t="shared" si="8"/>
        <v>558.1146131339507</v>
      </c>
      <c r="BA9" s="185">
        <f t="shared" si="8"/>
        <v>543.4273864725309</v>
      </c>
      <c r="BB9" s="186">
        <f>SUM(AP9:BA9)</f>
        <v>7490.485597324074</v>
      </c>
      <c r="BC9" s="185">
        <f aca="true" t="shared" si="9" ref="BC9:BN9">BB12*$B$5/12</f>
        <v>528.7401598111111</v>
      </c>
      <c r="BD9" s="185">
        <f t="shared" si="9"/>
        <v>514.0529331496914</v>
      </c>
      <c r="BE9" s="185">
        <f t="shared" si="9"/>
        <v>499.36570648827166</v>
      </c>
      <c r="BF9" s="185">
        <f t="shared" si="9"/>
        <v>484.67847982685197</v>
      </c>
      <c r="BG9" s="185">
        <f t="shared" si="9"/>
        <v>469.9912531654322</v>
      </c>
      <c r="BH9" s="185">
        <f t="shared" si="9"/>
        <v>455.3040265040124</v>
      </c>
      <c r="BI9" s="185">
        <f t="shared" si="9"/>
        <v>440.6167998425927</v>
      </c>
      <c r="BJ9" s="185">
        <f t="shared" si="9"/>
        <v>425.929573181173</v>
      </c>
      <c r="BK9" s="185">
        <f t="shared" si="9"/>
        <v>411.24234651975326</v>
      </c>
      <c r="BL9" s="185">
        <f t="shared" si="9"/>
        <v>396.5551198583335</v>
      </c>
      <c r="BM9" s="185">
        <f t="shared" si="9"/>
        <v>381.8678931969137</v>
      </c>
      <c r="BN9" s="185">
        <f t="shared" si="9"/>
        <v>367.180666535494</v>
      </c>
      <c r="BO9" s="186">
        <f>SUM(BC9:BN9)</f>
        <v>5375.524958079631</v>
      </c>
      <c r="BP9" s="185">
        <f aca="true" t="shared" si="10" ref="BP9:CA9">BO12*$B$5/12</f>
        <v>352.4934398740743</v>
      </c>
      <c r="BQ9" s="185">
        <f t="shared" si="10"/>
        <v>337.80621321265454</v>
      </c>
      <c r="BR9" s="185">
        <f t="shared" si="10"/>
        <v>323.11898655123485</v>
      </c>
      <c r="BS9" s="185">
        <f t="shared" si="10"/>
        <v>308.43175988981505</v>
      </c>
      <c r="BT9" s="185">
        <f t="shared" si="10"/>
        <v>293.74453322839537</v>
      </c>
      <c r="BU9" s="185">
        <f t="shared" si="10"/>
        <v>279.05730656697557</v>
      </c>
      <c r="BV9" s="185">
        <f t="shared" si="10"/>
        <v>264.3700799055559</v>
      </c>
      <c r="BW9" s="185">
        <f t="shared" si="10"/>
        <v>249.68285324413614</v>
      </c>
      <c r="BX9" s="185">
        <f t="shared" si="10"/>
        <v>234.99562658271637</v>
      </c>
      <c r="BY9" s="185">
        <f t="shared" si="10"/>
        <v>220.30839992129665</v>
      </c>
      <c r="BZ9" s="185">
        <f t="shared" si="10"/>
        <v>205.62117325987694</v>
      </c>
      <c r="CA9" s="185">
        <f t="shared" si="10"/>
        <v>190.93394659845717</v>
      </c>
      <c r="CB9" s="186">
        <f>SUM(BP9:CA9)</f>
        <v>3260.5643188351887</v>
      </c>
      <c r="CC9" s="185">
        <f aca="true" t="shared" si="11" ref="CC9:CN9">CB12*$B$5/12</f>
        <v>176.2467199370374</v>
      </c>
      <c r="CD9" s="185">
        <f t="shared" si="11"/>
        <v>161.55949327561765</v>
      </c>
      <c r="CE9" s="185">
        <f t="shared" si="11"/>
        <v>146.87226661419788</v>
      </c>
      <c r="CF9" s="185">
        <f t="shared" si="11"/>
        <v>132.1850399527781</v>
      </c>
      <c r="CG9" s="185">
        <f t="shared" si="11"/>
        <v>117.49781329135836</v>
      </c>
      <c r="CH9" s="185">
        <f t="shared" si="11"/>
        <v>102.81058662993861</v>
      </c>
      <c r="CI9" s="185">
        <f t="shared" si="11"/>
        <v>88.12335996851886</v>
      </c>
      <c r="CJ9" s="185">
        <f t="shared" si="11"/>
        <v>73.4361333070991</v>
      </c>
      <c r="CK9" s="185">
        <f t="shared" si="11"/>
        <v>58.748906645679334</v>
      </c>
      <c r="CL9" s="185">
        <f t="shared" si="11"/>
        <v>44.06167998425957</v>
      </c>
      <c r="CM9" s="185">
        <f t="shared" si="11"/>
        <v>29.374453322839813</v>
      </c>
      <c r="CN9" s="185">
        <f t="shared" si="11"/>
        <v>14.687226661420057</v>
      </c>
      <c r="CO9" s="186">
        <f>SUM(CC9:CN9)</f>
        <v>1145.6036795907448</v>
      </c>
      <c r="CP9" s="185">
        <f aca="true" t="shared" si="12" ref="CP9:DA9">CO12*$B$5/12</f>
        <v>3.0240698833949866E-13</v>
      </c>
      <c r="CQ9" s="185">
        <f t="shared" si="12"/>
        <v>3.0240698833949866E-13</v>
      </c>
      <c r="CR9" s="185">
        <f t="shared" si="12"/>
        <v>3.0240698833949866E-13</v>
      </c>
      <c r="CS9" s="185">
        <f t="shared" si="12"/>
        <v>3.0240698833949866E-13</v>
      </c>
      <c r="CT9" s="185">
        <f t="shared" si="12"/>
        <v>3.0240698833949866E-13</v>
      </c>
      <c r="CU9" s="185">
        <f t="shared" si="12"/>
        <v>3.0240698833949866E-13</v>
      </c>
      <c r="CV9" s="185">
        <f t="shared" si="12"/>
        <v>3.0240698833949866E-13</v>
      </c>
      <c r="CW9" s="185">
        <f t="shared" si="12"/>
        <v>3.0240698833949866E-13</v>
      </c>
      <c r="CX9" s="185">
        <f t="shared" si="12"/>
        <v>3.0240698833949866E-13</v>
      </c>
      <c r="CY9" s="185">
        <f t="shared" si="12"/>
        <v>3.0240698833949866E-13</v>
      </c>
      <c r="CZ9" s="185">
        <f t="shared" si="12"/>
        <v>3.0240698833949866E-13</v>
      </c>
      <c r="DA9" s="185">
        <f t="shared" si="12"/>
        <v>3.0240698833949866E-13</v>
      </c>
      <c r="DB9" s="186">
        <f>SUM(CP9:DA9)</f>
        <v>3.628883860073984E-12</v>
      </c>
    </row>
    <row r="10" spans="1:107" ht="12.75">
      <c r="A10" s="179" t="s">
        <v>12</v>
      </c>
      <c r="B10" s="184">
        <f>O10+AB10+AO10+BB10+BO10+CB10+CO10+DB10</f>
        <v>151068.61708888892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6">
        <f>SUM(C10:N10)</f>
        <v>0</v>
      </c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86">
        <f>SUM(P10:AA10)</f>
        <v>0</v>
      </c>
      <c r="AC10" s="185">
        <f>$AA$12/$B$13</f>
        <v>2517.810284814815</v>
      </c>
      <c r="AD10" s="185">
        <f aca="true" t="shared" si="13" ref="AD10:CN10">$AA$12/$B$13</f>
        <v>2517.810284814815</v>
      </c>
      <c r="AE10" s="185">
        <f t="shared" si="13"/>
        <v>2517.810284814815</v>
      </c>
      <c r="AF10" s="185">
        <f t="shared" si="13"/>
        <v>2517.810284814815</v>
      </c>
      <c r="AG10" s="185">
        <f t="shared" si="13"/>
        <v>2517.810284814815</v>
      </c>
      <c r="AH10" s="185">
        <f t="shared" si="13"/>
        <v>2517.810284814815</v>
      </c>
      <c r="AI10" s="185">
        <f t="shared" si="13"/>
        <v>2517.810284814815</v>
      </c>
      <c r="AJ10" s="185">
        <f t="shared" si="13"/>
        <v>2517.810284814815</v>
      </c>
      <c r="AK10" s="185">
        <f t="shared" si="13"/>
        <v>2517.810284814815</v>
      </c>
      <c r="AL10" s="185">
        <f t="shared" si="13"/>
        <v>2517.810284814815</v>
      </c>
      <c r="AM10" s="185">
        <f t="shared" si="13"/>
        <v>2517.810284814815</v>
      </c>
      <c r="AN10" s="185">
        <f t="shared" si="13"/>
        <v>2517.810284814815</v>
      </c>
      <c r="AO10" s="186">
        <f>SUM(AC10:AN10)</f>
        <v>30213.723417777783</v>
      </c>
      <c r="AP10" s="185">
        <f t="shared" si="13"/>
        <v>2517.810284814815</v>
      </c>
      <c r="AQ10" s="185">
        <f t="shared" si="13"/>
        <v>2517.810284814815</v>
      </c>
      <c r="AR10" s="185">
        <f t="shared" si="13"/>
        <v>2517.810284814815</v>
      </c>
      <c r="AS10" s="185">
        <f t="shared" si="13"/>
        <v>2517.810284814815</v>
      </c>
      <c r="AT10" s="185">
        <f t="shared" si="13"/>
        <v>2517.810284814815</v>
      </c>
      <c r="AU10" s="185">
        <f t="shared" si="13"/>
        <v>2517.810284814815</v>
      </c>
      <c r="AV10" s="185">
        <f t="shared" si="13"/>
        <v>2517.810284814815</v>
      </c>
      <c r="AW10" s="185">
        <f t="shared" si="13"/>
        <v>2517.810284814815</v>
      </c>
      <c r="AX10" s="185">
        <f t="shared" si="13"/>
        <v>2517.810284814815</v>
      </c>
      <c r="AY10" s="185">
        <f t="shared" si="13"/>
        <v>2517.810284814815</v>
      </c>
      <c r="AZ10" s="185">
        <f t="shared" si="13"/>
        <v>2517.810284814815</v>
      </c>
      <c r="BA10" s="185">
        <f t="shared" si="13"/>
        <v>2517.810284814815</v>
      </c>
      <c r="BB10" s="186">
        <f>SUM(AP10:BA10)</f>
        <v>30213.723417777783</v>
      </c>
      <c r="BC10" s="185">
        <f t="shared" si="13"/>
        <v>2517.810284814815</v>
      </c>
      <c r="BD10" s="185">
        <f t="shared" si="13"/>
        <v>2517.810284814815</v>
      </c>
      <c r="BE10" s="185">
        <f t="shared" si="13"/>
        <v>2517.810284814815</v>
      </c>
      <c r="BF10" s="185">
        <f t="shared" si="13"/>
        <v>2517.810284814815</v>
      </c>
      <c r="BG10" s="185">
        <f t="shared" si="13"/>
        <v>2517.810284814815</v>
      </c>
      <c r="BH10" s="185">
        <f t="shared" si="13"/>
        <v>2517.810284814815</v>
      </c>
      <c r="BI10" s="185">
        <f t="shared" si="13"/>
        <v>2517.810284814815</v>
      </c>
      <c r="BJ10" s="185">
        <f t="shared" si="13"/>
        <v>2517.810284814815</v>
      </c>
      <c r="BK10" s="185">
        <f t="shared" si="13"/>
        <v>2517.810284814815</v>
      </c>
      <c r="BL10" s="185">
        <f t="shared" si="13"/>
        <v>2517.810284814815</v>
      </c>
      <c r="BM10" s="185">
        <f t="shared" si="13"/>
        <v>2517.810284814815</v>
      </c>
      <c r="BN10" s="185">
        <f t="shared" si="13"/>
        <v>2517.810284814815</v>
      </c>
      <c r="BO10" s="186">
        <f>SUM(BC10:BN10)</f>
        <v>30213.723417777783</v>
      </c>
      <c r="BP10" s="185">
        <f t="shared" si="13"/>
        <v>2517.810284814815</v>
      </c>
      <c r="BQ10" s="185">
        <f t="shared" si="13"/>
        <v>2517.810284814815</v>
      </c>
      <c r="BR10" s="185">
        <f t="shared" si="13"/>
        <v>2517.810284814815</v>
      </c>
      <c r="BS10" s="185">
        <f t="shared" si="13"/>
        <v>2517.810284814815</v>
      </c>
      <c r="BT10" s="185">
        <f t="shared" si="13"/>
        <v>2517.810284814815</v>
      </c>
      <c r="BU10" s="185">
        <f t="shared" si="13"/>
        <v>2517.810284814815</v>
      </c>
      <c r="BV10" s="185">
        <f t="shared" si="13"/>
        <v>2517.810284814815</v>
      </c>
      <c r="BW10" s="185">
        <f t="shared" si="13"/>
        <v>2517.810284814815</v>
      </c>
      <c r="BX10" s="185">
        <f t="shared" si="13"/>
        <v>2517.810284814815</v>
      </c>
      <c r="BY10" s="185">
        <f t="shared" si="13"/>
        <v>2517.810284814815</v>
      </c>
      <c r="BZ10" s="185">
        <f t="shared" si="13"/>
        <v>2517.810284814815</v>
      </c>
      <c r="CA10" s="185">
        <f t="shared" si="13"/>
        <v>2517.810284814815</v>
      </c>
      <c r="CB10" s="186">
        <f>SUM(BP10:CA10)</f>
        <v>30213.723417777783</v>
      </c>
      <c r="CC10" s="185">
        <f t="shared" si="13"/>
        <v>2517.810284814815</v>
      </c>
      <c r="CD10" s="185">
        <f t="shared" si="13"/>
        <v>2517.810284814815</v>
      </c>
      <c r="CE10" s="185">
        <f t="shared" si="13"/>
        <v>2517.810284814815</v>
      </c>
      <c r="CF10" s="185">
        <f t="shared" si="13"/>
        <v>2517.810284814815</v>
      </c>
      <c r="CG10" s="185">
        <f t="shared" si="13"/>
        <v>2517.810284814815</v>
      </c>
      <c r="CH10" s="185">
        <f t="shared" si="13"/>
        <v>2517.810284814815</v>
      </c>
      <c r="CI10" s="185">
        <f t="shared" si="13"/>
        <v>2517.810284814815</v>
      </c>
      <c r="CJ10" s="185">
        <f t="shared" si="13"/>
        <v>2517.810284814815</v>
      </c>
      <c r="CK10" s="185">
        <f t="shared" si="13"/>
        <v>2517.810284814815</v>
      </c>
      <c r="CL10" s="185">
        <f t="shared" si="13"/>
        <v>2517.810284814815</v>
      </c>
      <c r="CM10" s="185">
        <f t="shared" si="13"/>
        <v>2517.810284814815</v>
      </c>
      <c r="CN10" s="185">
        <f t="shared" si="13"/>
        <v>2517.810284814815</v>
      </c>
      <c r="CO10" s="186">
        <f>SUM(CC10:CN10)</f>
        <v>30213.723417777783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6">
        <f>SUM(CP10:DA10)</f>
        <v>0</v>
      </c>
      <c r="DC10" s="187"/>
    </row>
    <row r="11" spans="1:107" ht="12.75">
      <c r="A11" s="179" t="s">
        <v>13</v>
      </c>
      <c r="B11" s="184">
        <f>O11+AB11+AO11+BB11+BO11+CB11+CO11+DB11</f>
        <v>26877.624790398157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86">
        <f>SUM(C11:N11)</f>
        <v>0</v>
      </c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86">
        <f>SUM(P11:AA11)</f>
        <v>0</v>
      </c>
      <c r="AC11" s="185">
        <f aca="true" t="shared" si="14" ref="AC11:BN11">AC9</f>
        <v>881.2335996851854</v>
      </c>
      <c r="AD11" s="185">
        <f t="shared" si="14"/>
        <v>866.5463730237657</v>
      </c>
      <c r="AE11" s="185">
        <f t="shared" si="14"/>
        <v>851.8591463623458</v>
      </c>
      <c r="AF11" s="185">
        <f t="shared" si="14"/>
        <v>837.171919700926</v>
      </c>
      <c r="AG11" s="185">
        <f t="shared" si="14"/>
        <v>822.4846930395062</v>
      </c>
      <c r="AH11" s="185">
        <f t="shared" si="14"/>
        <v>807.7974663780864</v>
      </c>
      <c r="AI11" s="185">
        <f t="shared" si="14"/>
        <v>793.1102397166665</v>
      </c>
      <c r="AJ11" s="185">
        <f t="shared" si="14"/>
        <v>778.4230130552468</v>
      </c>
      <c r="AK11" s="185">
        <f t="shared" si="14"/>
        <v>763.735786393827</v>
      </c>
      <c r="AL11" s="185">
        <f t="shared" si="14"/>
        <v>749.0485597324072</v>
      </c>
      <c r="AM11" s="185">
        <f t="shared" si="14"/>
        <v>734.3613330709874</v>
      </c>
      <c r="AN11" s="185">
        <f t="shared" si="14"/>
        <v>719.6741064095677</v>
      </c>
      <c r="AO11" s="186">
        <f>SUM(AC11:AN11)</f>
        <v>9605.446236568516</v>
      </c>
      <c r="AP11" s="185">
        <f t="shared" si="14"/>
        <v>704.986879748148</v>
      </c>
      <c r="AQ11" s="185">
        <f t="shared" si="14"/>
        <v>690.2996530867282</v>
      </c>
      <c r="AR11" s="185">
        <f t="shared" si="14"/>
        <v>675.6124264253085</v>
      </c>
      <c r="AS11" s="185">
        <f t="shared" si="14"/>
        <v>660.9251997638888</v>
      </c>
      <c r="AT11" s="185">
        <f t="shared" si="14"/>
        <v>646.237973102469</v>
      </c>
      <c r="AU11" s="185">
        <f t="shared" si="14"/>
        <v>631.5507464410493</v>
      </c>
      <c r="AV11" s="185">
        <f t="shared" si="14"/>
        <v>616.8635197796295</v>
      </c>
      <c r="AW11" s="185">
        <f t="shared" si="14"/>
        <v>602.1762931182099</v>
      </c>
      <c r="AX11" s="185">
        <f t="shared" si="14"/>
        <v>587.48906645679</v>
      </c>
      <c r="AY11" s="185">
        <f t="shared" si="14"/>
        <v>572.8018397953704</v>
      </c>
      <c r="AZ11" s="185">
        <f t="shared" si="14"/>
        <v>558.1146131339507</v>
      </c>
      <c r="BA11" s="185">
        <f t="shared" si="14"/>
        <v>543.4273864725309</v>
      </c>
      <c r="BB11" s="186">
        <f>SUM(AP11:BA11)</f>
        <v>7490.485597324074</v>
      </c>
      <c r="BC11" s="185">
        <f t="shared" si="14"/>
        <v>528.7401598111111</v>
      </c>
      <c r="BD11" s="185">
        <f t="shared" si="14"/>
        <v>514.0529331496914</v>
      </c>
      <c r="BE11" s="185">
        <f t="shared" si="14"/>
        <v>499.36570648827166</v>
      </c>
      <c r="BF11" s="185">
        <f t="shared" si="14"/>
        <v>484.67847982685197</v>
      </c>
      <c r="BG11" s="185">
        <f t="shared" si="14"/>
        <v>469.9912531654322</v>
      </c>
      <c r="BH11" s="185">
        <f t="shared" si="14"/>
        <v>455.3040265040124</v>
      </c>
      <c r="BI11" s="185">
        <f t="shared" si="14"/>
        <v>440.6167998425927</v>
      </c>
      <c r="BJ11" s="185">
        <f t="shared" si="14"/>
        <v>425.929573181173</v>
      </c>
      <c r="BK11" s="185">
        <f t="shared" si="14"/>
        <v>411.24234651975326</v>
      </c>
      <c r="BL11" s="185">
        <f t="shared" si="14"/>
        <v>396.5551198583335</v>
      </c>
      <c r="BM11" s="185">
        <f t="shared" si="14"/>
        <v>381.8678931969137</v>
      </c>
      <c r="BN11" s="185">
        <f t="shared" si="14"/>
        <v>367.180666535494</v>
      </c>
      <c r="BO11" s="186">
        <f>SUM(BC11:BN11)</f>
        <v>5375.524958079631</v>
      </c>
      <c r="BP11" s="185">
        <f aca="true" t="shared" si="15" ref="BP11:CA11">BP9</f>
        <v>352.4934398740743</v>
      </c>
      <c r="BQ11" s="185">
        <f t="shared" si="15"/>
        <v>337.80621321265454</v>
      </c>
      <c r="BR11" s="185">
        <f t="shared" si="15"/>
        <v>323.11898655123485</v>
      </c>
      <c r="BS11" s="185">
        <f t="shared" si="15"/>
        <v>308.43175988981505</v>
      </c>
      <c r="BT11" s="185">
        <f t="shared" si="15"/>
        <v>293.74453322839537</v>
      </c>
      <c r="BU11" s="185">
        <f t="shared" si="15"/>
        <v>279.05730656697557</v>
      </c>
      <c r="BV11" s="185">
        <f t="shared" si="15"/>
        <v>264.3700799055559</v>
      </c>
      <c r="BW11" s="185">
        <f t="shared" si="15"/>
        <v>249.68285324413614</v>
      </c>
      <c r="BX11" s="185">
        <f t="shared" si="15"/>
        <v>234.99562658271637</v>
      </c>
      <c r="BY11" s="185">
        <f t="shared" si="15"/>
        <v>220.30839992129665</v>
      </c>
      <c r="BZ11" s="185">
        <f t="shared" si="15"/>
        <v>205.62117325987694</v>
      </c>
      <c r="CA11" s="185">
        <f t="shared" si="15"/>
        <v>190.93394659845717</v>
      </c>
      <c r="CB11" s="186">
        <f>SUM(BP11:CA11)</f>
        <v>3260.5643188351887</v>
      </c>
      <c r="CC11" s="185">
        <f aca="true" t="shared" si="16" ref="CC11:CN11">CC9</f>
        <v>176.2467199370374</v>
      </c>
      <c r="CD11" s="185">
        <f t="shared" si="16"/>
        <v>161.55949327561765</v>
      </c>
      <c r="CE11" s="185">
        <f t="shared" si="16"/>
        <v>146.87226661419788</v>
      </c>
      <c r="CF11" s="185">
        <f t="shared" si="16"/>
        <v>132.1850399527781</v>
      </c>
      <c r="CG11" s="185">
        <f t="shared" si="16"/>
        <v>117.49781329135836</v>
      </c>
      <c r="CH11" s="185">
        <f t="shared" si="16"/>
        <v>102.81058662993861</v>
      </c>
      <c r="CI11" s="185">
        <f t="shared" si="16"/>
        <v>88.12335996851886</v>
      </c>
      <c r="CJ11" s="185">
        <f t="shared" si="16"/>
        <v>73.4361333070991</v>
      </c>
      <c r="CK11" s="185">
        <f t="shared" si="16"/>
        <v>58.748906645679334</v>
      </c>
      <c r="CL11" s="185">
        <f t="shared" si="16"/>
        <v>44.06167998425957</v>
      </c>
      <c r="CM11" s="185">
        <f t="shared" si="16"/>
        <v>29.374453322839813</v>
      </c>
      <c r="CN11" s="185">
        <f t="shared" si="16"/>
        <v>14.687226661420057</v>
      </c>
      <c r="CO11" s="186">
        <f>SUM(CC11:CN11)</f>
        <v>1145.6036795907448</v>
      </c>
      <c r="CP11" s="185">
        <f aca="true" t="shared" si="17" ref="CP11:DA11">CP9</f>
        <v>3.0240698833949866E-13</v>
      </c>
      <c r="CQ11" s="185">
        <f t="shared" si="17"/>
        <v>3.0240698833949866E-13</v>
      </c>
      <c r="CR11" s="185">
        <f t="shared" si="17"/>
        <v>3.0240698833949866E-13</v>
      </c>
      <c r="CS11" s="185">
        <f t="shared" si="17"/>
        <v>3.0240698833949866E-13</v>
      </c>
      <c r="CT11" s="185">
        <f t="shared" si="17"/>
        <v>3.0240698833949866E-13</v>
      </c>
      <c r="CU11" s="185">
        <f t="shared" si="17"/>
        <v>3.0240698833949866E-13</v>
      </c>
      <c r="CV11" s="185">
        <f t="shared" si="17"/>
        <v>3.0240698833949866E-13</v>
      </c>
      <c r="CW11" s="185">
        <f t="shared" si="17"/>
        <v>3.0240698833949866E-13</v>
      </c>
      <c r="CX11" s="185">
        <f t="shared" si="17"/>
        <v>3.0240698833949866E-13</v>
      </c>
      <c r="CY11" s="185">
        <f t="shared" si="17"/>
        <v>3.0240698833949866E-13</v>
      </c>
      <c r="CZ11" s="185">
        <f t="shared" si="17"/>
        <v>3.0240698833949866E-13</v>
      </c>
      <c r="DA11" s="185">
        <f t="shared" si="17"/>
        <v>3.0240698833949866E-13</v>
      </c>
      <c r="DB11" s="186">
        <f>SUM(CP11:DA11)</f>
        <v>3.628883860073984E-12</v>
      </c>
      <c r="DC11" s="187" t="s">
        <v>55</v>
      </c>
    </row>
    <row r="12" spans="1:107" ht="12.75">
      <c r="A12" s="179" t="s">
        <v>14</v>
      </c>
      <c r="B12" s="184">
        <f>DB12</f>
        <v>5.184119800105691E-11</v>
      </c>
      <c r="C12" s="185">
        <f>C7</f>
        <v>2050</v>
      </c>
      <c r="D12" s="185">
        <f>C12+D7-D10+D8</f>
        <v>4100</v>
      </c>
      <c r="E12" s="185">
        <f>D12+E7-E10+E8</f>
        <v>29806.453333333342</v>
      </c>
      <c r="F12" s="185">
        <f>E12+F7-F10+F8</f>
        <v>65598.90666666668</v>
      </c>
      <c r="G12" s="185">
        <f aca="true" t="shared" si="18" ref="G12:M12">F12+G7-G10+G8</f>
        <v>75684.90666666668</v>
      </c>
      <c r="H12" s="185">
        <f>G12+H7-H10+H8</f>
        <v>87104.24</v>
      </c>
      <c r="I12" s="185">
        <f t="shared" si="18"/>
        <v>98523.57333333333</v>
      </c>
      <c r="J12" s="185">
        <f t="shared" si="18"/>
        <v>109942.90666666666</v>
      </c>
      <c r="K12" s="185">
        <f t="shared" si="18"/>
        <v>136377.52000000002</v>
      </c>
      <c r="L12" s="185">
        <f t="shared" si="18"/>
        <v>136377.52000000002</v>
      </c>
      <c r="M12" s="185">
        <f t="shared" si="18"/>
        <v>136377.52000000002</v>
      </c>
      <c r="N12" s="185">
        <f>M12+N7-N10+N8</f>
        <v>136377.52000000002</v>
      </c>
      <c r="O12" s="186">
        <f>N12</f>
        <v>136377.52000000002</v>
      </c>
      <c r="P12" s="185">
        <f>O12+P7-P10+P8</f>
        <v>136377.52000000002</v>
      </c>
      <c r="Q12" s="185">
        <f aca="true" t="shared" si="19" ref="Q12:Z12">P12+Q7-Q10+Q8</f>
        <v>136377.52000000002</v>
      </c>
      <c r="R12" s="185">
        <f t="shared" si="19"/>
        <v>136377.52000000002</v>
      </c>
      <c r="S12" s="185">
        <f t="shared" si="19"/>
        <v>136377.52000000002</v>
      </c>
      <c r="T12" s="185">
        <f t="shared" si="19"/>
        <v>136377.52000000002</v>
      </c>
      <c r="U12" s="185">
        <f t="shared" si="19"/>
        <v>136377.52000000002</v>
      </c>
      <c r="V12" s="185">
        <f t="shared" si="19"/>
        <v>136377.52000000002</v>
      </c>
      <c r="W12" s="185">
        <f t="shared" si="19"/>
        <v>136377.52000000002</v>
      </c>
      <c r="X12" s="185">
        <f t="shared" si="19"/>
        <v>136377.52000000002</v>
      </c>
      <c r="Y12" s="185">
        <f t="shared" si="19"/>
        <v>136377.52000000002</v>
      </c>
      <c r="Z12" s="185">
        <f t="shared" si="19"/>
        <v>136377.52000000002</v>
      </c>
      <c r="AA12" s="185">
        <f>Z12+AA7-AA10+AA8</f>
        <v>151068.61708888892</v>
      </c>
      <c r="AB12" s="186">
        <f>AA12</f>
        <v>151068.61708888892</v>
      </c>
      <c r="AC12" s="185">
        <f>AB12+AC7-AC10+AC8</f>
        <v>148550.8068040741</v>
      </c>
      <c r="AD12" s="185">
        <f aca="true" t="shared" si="20" ref="AD12:AN12">AC12+AD7-AD10+AD8</f>
        <v>146032.99651925926</v>
      </c>
      <c r="AE12" s="185">
        <f t="shared" si="20"/>
        <v>143515.18623444444</v>
      </c>
      <c r="AF12" s="185">
        <f t="shared" si="20"/>
        <v>140997.3759496296</v>
      </c>
      <c r="AG12" s="185">
        <f t="shared" si="20"/>
        <v>138479.56566481479</v>
      </c>
      <c r="AH12" s="185">
        <f t="shared" si="20"/>
        <v>135961.75537999996</v>
      </c>
      <c r="AI12" s="185">
        <f t="shared" si="20"/>
        <v>133443.94509518513</v>
      </c>
      <c r="AJ12" s="185">
        <f t="shared" si="20"/>
        <v>130926.13481037032</v>
      </c>
      <c r="AK12" s="185">
        <f t="shared" si="20"/>
        <v>128408.32452555551</v>
      </c>
      <c r="AL12" s="185">
        <f t="shared" si="20"/>
        <v>125890.5142407407</v>
      </c>
      <c r="AM12" s="185">
        <f t="shared" si="20"/>
        <v>123372.70395592588</v>
      </c>
      <c r="AN12" s="185">
        <f t="shared" si="20"/>
        <v>120854.89367111107</v>
      </c>
      <c r="AO12" s="186">
        <f>AN12</f>
        <v>120854.89367111107</v>
      </c>
      <c r="AP12" s="185">
        <f>AO12+AP7-AP10+AP8</f>
        <v>118337.08338629626</v>
      </c>
      <c r="AQ12" s="185">
        <f aca="true" t="shared" si="21" ref="AQ12:BA12">AP12+AQ7-AQ10+AQ8</f>
        <v>115819.27310148145</v>
      </c>
      <c r="AR12" s="185">
        <f t="shared" si="21"/>
        <v>113301.46281666664</v>
      </c>
      <c r="AS12" s="185">
        <f t="shared" si="21"/>
        <v>110783.65253185183</v>
      </c>
      <c r="AT12" s="185">
        <f t="shared" si="21"/>
        <v>108265.84224703701</v>
      </c>
      <c r="AU12" s="185">
        <f t="shared" si="21"/>
        <v>105748.0319622222</v>
      </c>
      <c r="AV12" s="185">
        <f t="shared" si="21"/>
        <v>103230.22167740739</v>
      </c>
      <c r="AW12" s="185">
        <f t="shared" si="21"/>
        <v>100712.41139259258</v>
      </c>
      <c r="AX12" s="185">
        <f t="shared" si="21"/>
        <v>98194.60110777777</v>
      </c>
      <c r="AY12" s="185">
        <f t="shared" si="21"/>
        <v>95676.79082296295</v>
      </c>
      <c r="AZ12" s="185">
        <f t="shared" si="21"/>
        <v>93158.98053814814</v>
      </c>
      <c r="BA12" s="185">
        <f t="shared" si="21"/>
        <v>90641.17025333333</v>
      </c>
      <c r="BB12" s="186">
        <f>BA12</f>
        <v>90641.17025333333</v>
      </c>
      <c r="BC12" s="185">
        <f>BB12+BC7-BC10+BC8</f>
        <v>88123.35996851852</v>
      </c>
      <c r="BD12" s="185">
        <f aca="true" t="shared" si="22" ref="BD12:BN12">BC12+BD7-BD10+BD8</f>
        <v>85605.5496837037</v>
      </c>
      <c r="BE12" s="185">
        <f t="shared" si="22"/>
        <v>83087.7393988889</v>
      </c>
      <c r="BF12" s="185">
        <f t="shared" si="22"/>
        <v>80569.92911407408</v>
      </c>
      <c r="BG12" s="185">
        <f t="shared" si="22"/>
        <v>78052.11882925927</v>
      </c>
      <c r="BH12" s="185">
        <f t="shared" si="22"/>
        <v>75534.30854444446</v>
      </c>
      <c r="BI12" s="185">
        <f t="shared" si="22"/>
        <v>73016.49825962965</v>
      </c>
      <c r="BJ12" s="185">
        <f t="shared" si="22"/>
        <v>70498.68797481483</v>
      </c>
      <c r="BK12" s="185">
        <f t="shared" si="22"/>
        <v>67980.87769000002</v>
      </c>
      <c r="BL12" s="185">
        <f t="shared" si="22"/>
        <v>65463.06740518521</v>
      </c>
      <c r="BM12" s="185">
        <f t="shared" si="22"/>
        <v>62945.2571203704</v>
      </c>
      <c r="BN12" s="185">
        <f t="shared" si="22"/>
        <v>60427.44683555559</v>
      </c>
      <c r="BO12" s="186">
        <f>BN12</f>
        <v>60427.44683555559</v>
      </c>
      <c r="BP12" s="185">
        <f aca="true" t="shared" si="23" ref="BP12:CA12">BO12+BP7-BP10+BP8</f>
        <v>57909.636550740775</v>
      </c>
      <c r="BQ12" s="185">
        <f t="shared" si="23"/>
        <v>55391.82626592596</v>
      </c>
      <c r="BR12" s="185">
        <f t="shared" si="23"/>
        <v>52874.01598111115</v>
      </c>
      <c r="BS12" s="185">
        <f t="shared" si="23"/>
        <v>50356.20569629634</v>
      </c>
      <c r="BT12" s="185">
        <f t="shared" si="23"/>
        <v>47838.39541148153</v>
      </c>
      <c r="BU12" s="185">
        <f t="shared" si="23"/>
        <v>45320.585126666716</v>
      </c>
      <c r="BV12" s="185">
        <f t="shared" si="23"/>
        <v>42802.774841851904</v>
      </c>
      <c r="BW12" s="185">
        <f t="shared" si="23"/>
        <v>40284.96455703709</v>
      </c>
      <c r="BX12" s="185">
        <f t="shared" si="23"/>
        <v>37767.15427222228</v>
      </c>
      <c r="BY12" s="185">
        <f t="shared" si="23"/>
        <v>35249.34398740747</v>
      </c>
      <c r="BZ12" s="185">
        <f t="shared" si="23"/>
        <v>32731.533702592653</v>
      </c>
      <c r="CA12" s="185">
        <f t="shared" si="23"/>
        <v>30213.723417777837</v>
      </c>
      <c r="CB12" s="186">
        <f>CA12</f>
        <v>30213.723417777837</v>
      </c>
      <c r="CC12" s="185">
        <f aca="true" t="shared" si="24" ref="CC12:CN12">CB12+CC7-CC10+CC8</f>
        <v>27695.91313296302</v>
      </c>
      <c r="CD12" s="185">
        <f t="shared" si="24"/>
        <v>25178.102848148206</v>
      </c>
      <c r="CE12" s="185">
        <f t="shared" si="24"/>
        <v>22660.29256333339</v>
      </c>
      <c r="CF12" s="185">
        <f t="shared" si="24"/>
        <v>20142.482278518575</v>
      </c>
      <c r="CG12" s="185">
        <f t="shared" si="24"/>
        <v>17624.67199370376</v>
      </c>
      <c r="CH12" s="185">
        <f t="shared" si="24"/>
        <v>15106.861708888944</v>
      </c>
      <c r="CI12" s="185">
        <f t="shared" si="24"/>
        <v>12589.051424074129</v>
      </c>
      <c r="CJ12" s="185">
        <f t="shared" si="24"/>
        <v>10071.241139259313</v>
      </c>
      <c r="CK12" s="185">
        <f t="shared" si="24"/>
        <v>7553.4308544444975</v>
      </c>
      <c r="CL12" s="185">
        <f t="shared" si="24"/>
        <v>5035.620569629682</v>
      </c>
      <c r="CM12" s="185">
        <f t="shared" si="24"/>
        <v>2517.810284814867</v>
      </c>
      <c r="CN12" s="185">
        <f t="shared" si="24"/>
        <v>5.184119800105691E-11</v>
      </c>
      <c r="CO12" s="186">
        <f>CN12</f>
        <v>5.184119800105691E-11</v>
      </c>
      <c r="CP12" s="185">
        <f aca="true" t="shared" si="25" ref="CP12:DA12">CO12+CP7-CP10+CP8</f>
        <v>5.184119800105691E-11</v>
      </c>
      <c r="CQ12" s="185">
        <f t="shared" si="25"/>
        <v>5.184119800105691E-11</v>
      </c>
      <c r="CR12" s="185">
        <f t="shared" si="25"/>
        <v>5.184119800105691E-11</v>
      </c>
      <c r="CS12" s="185">
        <f t="shared" si="25"/>
        <v>5.184119800105691E-11</v>
      </c>
      <c r="CT12" s="185">
        <f t="shared" si="25"/>
        <v>5.184119800105691E-11</v>
      </c>
      <c r="CU12" s="185">
        <f t="shared" si="25"/>
        <v>5.184119800105691E-11</v>
      </c>
      <c r="CV12" s="185">
        <f t="shared" si="25"/>
        <v>5.184119800105691E-11</v>
      </c>
      <c r="CW12" s="185">
        <f t="shared" si="25"/>
        <v>5.184119800105691E-11</v>
      </c>
      <c r="CX12" s="185">
        <f t="shared" si="25"/>
        <v>5.184119800105691E-11</v>
      </c>
      <c r="CY12" s="185">
        <f t="shared" si="25"/>
        <v>5.184119800105691E-11</v>
      </c>
      <c r="CZ12" s="185">
        <f t="shared" si="25"/>
        <v>5.184119800105691E-11</v>
      </c>
      <c r="DA12" s="185">
        <f t="shared" si="25"/>
        <v>5.184119800105691E-11</v>
      </c>
      <c r="DB12" s="186">
        <f>DA12</f>
        <v>5.184119800105691E-11</v>
      </c>
      <c r="DC12" s="191">
        <f>MAX(C12:DB12)</f>
        <v>151068.61708888892</v>
      </c>
    </row>
    <row r="13" spans="1:107" ht="12.75">
      <c r="A13" s="171" t="s">
        <v>75</v>
      </c>
      <c r="B13" s="171">
        <f>Исх!C33*12-Исх!C34</f>
        <v>60</v>
      </c>
      <c r="DC13" s="174"/>
    </row>
    <row r="16" ht="12.75" outlineLevel="1">
      <c r="A16" s="192">
        <f>B7+B8-B10</f>
        <v>0</v>
      </c>
    </row>
    <row r="17" ht="12.75" outlineLevel="1">
      <c r="A17" s="192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24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N1" sqref="N1:P16384"/>
    </sheetView>
  </sheetViews>
  <sheetFormatPr defaultColWidth="8.875" defaultRowHeight="12.75" outlineLevelRow="1" outlineLevelCol="1"/>
  <cols>
    <col min="1" max="1" width="38.125" style="70" customWidth="1"/>
    <col min="2" max="2" width="10.00390625" style="70" customWidth="1"/>
    <col min="3" max="3" width="9.00390625" style="70" customWidth="1"/>
    <col min="4" max="4" width="10.00390625" style="70" customWidth="1"/>
    <col min="5" max="6" width="5.625" style="70" bestFit="1" customWidth="1" outlineLevel="1"/>
    <col min="7" max="13" width="6.625" style="70" bestFit="1" customWidth="1" outlineLevel="1"/>
    <col min="14" max="16" width="4.375" style="70" customWidth="1" outlineLevel="1"/>
    <col min="17" max="17" width="10.125" style="70" customWidth="1"/>
    <col min="18" max="18" width="8.375" style="70" customWidth="1"/>
    <col min="19" max="19" width="16.00390625" style="70" customWidth="1"/>
    <col min="20" max="20" width="12.875" style="70" bestFit="1" customWidth="1"/>
    <col min="21" max="16384" width="8.875" style="70" customWidth="1"/>
  </cols>
  <sheetData>
    <row r="1" ht="8.25" customHeight="1"/>
    <row r="2" spans="1:19" ht="12.75">
      <c r="A2" s="60" t="s">
        <v>218</v>
      </c>
      <c r="B2" s="167"/>
      <c r="Q2" s="143" t="s">
        <v>56</v>
      </c>
      <c r="R2" s="193"/>
      <c r="S2" s="165"/>
    </row>
    <row r="3" spans="1:19" ht="17.25" customHeight="1">
      <c r="A3" s="315" t="s">
        <v>184</v>
      </c>
      <c r="B3" s="316" t="s">
        <v>154</v>
      </c>
      <c r="C3" s="316" t="s">
        <v>155</v>
      </c>
      <c r="D3" s="317" t="s">
        <v>153</v>
      </c>
      <c r="E3" s="312">
        <v>2014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85" t="s">
        <v>0</v>
      </c>
      <c r="R3" s="193"/>
      <c r="S3" s="194"/>
    </row>
    <row r="4" spans="1:17" ht="12.75">
      <c r="A4" s="315"/>
      <c r="B4" s="316"/>
      <c r="C4" s="316"/>
      <c r="D4" s="317"/>
      <c r="E4" s="195">
        <v>1</v>
      </c>
      <c r="F4" s="195">
        <v>2</v>
      </c>
      <c r="G4" s="195">
        <v>3</v>
      </c>
      <c r="H4" s="195">
        <v>4</v>
      </c>
      <c r="I4" s="195">
        <v>5</v>
      </c>
      <c r="J4" s="195">
        <v>6</v>
      </c>
      <c r="K4" s="195">
        <v>7</v>
      </c>
      <c r="L4" s="195">
        <v>8</v>
      </c>
      <c r="M4" s="195">
        <v>9</v>
      </c>
      <c r="N4" s="195">
        <v>10</v>
      </c>
      <c r="O4" s="195">
        <v>11</v>
      </c>
      <c r="P4" s="195">
        <v>12</v>
      </c>
      <c r="Q4" s="87">
        <v>2014</v>
      </c>
    </row>
    <row r="5" spans="1:17" s="60" customFormat="1" ht="12.75">
      <c r="A5" s="196" t="s">
        <v>183</v>
      </c>
      <c r="B5" s="197"/>
      <c r="C5" s="197"/>
      <c r="D5" s="140">
        <f aca="true" t="shared" si="0" ref="D5:Q5">SUM(D6:D8)</f>
        <v>62630</v>
      </c>
      <c r="E5" s="140">
        <f t="shared" si="0"/>
        <v>2050</v>
      </c>
      <c r="F5" s="140">
        <f t="shared" si="0"/>
        <v>2050</v>
      </c>
      <c r="G5" s="140">
        <f t="shared" si="0"/>
        <v>2050</v>
      </c>
      <c r="H5" s="140">
        <f t="shared" si="0"/>
        <v>12136</v>
      </c>
      <c r="I5" s="140">
        <f t="shared" si="0"/>
        <v>10086</v>
      </c>
      <c r="J5" s="140">
        <f t="shared" si="0"/>
        <v>11419.333333333334</v>
      </c>
      <c r="K5" s="140">
        <f t="shared" si="0"/>
        <v>11419.333333333334</v>
      </c>
      <c r="L5" s="140">
        <f t="shared" si="0"/>
        <v>11419.333333333334</v>
      </c>
      <c r="M5" s="140">
        <f t="shared" si="0"/>
        <v>0</v>
      </c>
      <c r="N5" s="140">
        <f t="shared" si="0"/>
        <v>0</v>
      </c>
      <c r="O5" s="140">
        <f t="shared" si="0"/>
        <v>0</v>
      </c>
      <c r="P5" s="140">
        <f t="shared" si="0"/>
        <v>0</v>
      </c>
      <c r="Q5" s="140">
        <f t="shared" si="0"/>
        <v>62630</v>
      </c>
    </row>
    <row r="6" spans="1:19" ht="25.5" outlineLevel="1">
      <c r="A6" s="228" t="s">
        <v>247</v>
      </c>
      <c r="B6" s="227">
        <v>1</v>
      </c>
      <c r="C6" s="227">
        <f>20*2*Исх!$C$6</f>
        <v>8200</v>
      </c>
      <c r="D6" s="147">
        <f>B6*C6</f>
        <v>8200</v>
      </c>
      <c r="E6" s="147">
        <f>$D6/4</f>
        <v>2050</v>
      </c>
      <c r="F6" s="147">
        <f>$D6/4</f>
        <v>2050</v>
      </c>
      <c r="G6" s="147">
        <f>$D6/4</f>
        <v>2050</v>
      </c>
      <c r="H6" s="147">
        <f>$D6/4</f>
        <v>2050</v>
      </c>
      <c r="I6" s="147"/>
      <c r="J6" s="147"/>
      <c r="K6" s="147"/>
      <c r="L6" s="147"/>
      <c r="M6" s="147"/>
      <c r="N6" s="147"/>
      <c r="O6" s="147"/>
      <c r="P6" s="147"/>
      <c r="Q6" s="148">
        <f>SUM(E6:P6)</f>
        <v>8200</v>
      </c>
      <c r="R6" s="60"/>
      <c r="S6" s="60"/>
    </row>
    <row r="7" spans="1:19" ht="12.75" outlineLevel="1">
      <c r="A7" s="198" t="s">
        <v>252</v>
      </c>
      <c r="B7" s="141">
        <v>984</v>
      </c>
      <c r="C7" s="141">
        <f>250*Исх!$C$6/1000</f>
        <v>51.25</v>
      </c>
      <c r="D7" s="147">
        <f>B7*C7</f>
        <v>50430</v>
      </c>
      <c r="E7" s="147"/>
      <c r="F7" s="147"/>
      <c r="G7" s="147"/>
      <c r="H7" s="147">
        <f>$D7/5</f>
        <v>10086</v>
      </c>
      <c r="I7" s="147">
        <f>$D7/5</f>
        <v>10086</v>
      </c>
      <c r="J7" s="147">
        <f>$D7/5</f>
        <v>10086</v>
      </c>
      <c r="K7" s="147">
        <f>$D7/5</f>
        <v>10086</v>
      </c>
      <c r="L7" s="147">
        <f>$D7/5</f>
        <v>10086</v>
      </c>
      <c r="M7" s="147"/>
      <c r="N7" s="147"/>
      <c r="O7" s="147"/>
      <c r="P7" s="147"/>
      <c r="Q7" s="148">
        <f>SUM(E7:P7)</f>
        <v>50430</v>
      </c>
      <c r="R7" s="216" t="s">
        <v>253</v>
      </c>
      <c r="S7" s="60"/>
    </row>
    <row r="8" spans="1:19" ht="12.75" outlineLevel="1">
      <c r="A8" s="198" t="s">
        <v>251</v>
      </c>
      <c r="B8" s="141">
        <v>1</v>
      </c>
      <c r="C8" s="141">
        <v>4000</v>
      </c>
      <c r="D8" s="147">
        <f>B8*C8</f>
        <v>4000</v>
      </c>
      <c r="E8" s="147"/>
      <c r="F8" s="147"/>
      <c r="G8" s="147"/>
      <c r="H8" s="147"/>
      <c r="I8" s="147"/>
      <c r="J8" s="147">
        <f>$D8/3</f>
        <v>1333.3333333333333</v>
      </c>
      <c r="K8" s="147">
        <f>$D8/3</f>
        <v>1333.3333333333333</v>
      </c>
      <c r="L8" s="147">
        <f>$D8/3</f>
        <v>1333.3333333333333</v>
      </c>
      <c r="M8" s="147"/>
      <c r="N8" s="147"/>
      <c r="O8" s="147"/>
      <c r="P8" s="147"/>
      <c r="Q8" s="148">
        <f>SUM(E8:P8)</f>
        <v>4000</v>
      </c>
      <c r="R8" s="60"/>
      <c r="S8" s="60"/>
    </row>
    <row r="9" spans="1:19" ht="12.75">
      <c r="A9" s="196" t="s">
        <v>103</v>
      </c>
      <c r="B9" s="197"/>
      <c r="C9" s="197"/>
      <c r="D9" s="140">
        <f aca="true" t="shared" si="1" ref="D9:Q9">SUM(D10:D13)</f>
        <v>73747.52000000003</v>
      </c>
      <c r="E9" s="140">
        <f t="shared" si="1"/>
        <v>0</v>
      </c>
      <c r="F9" s="140">
        <f t="shared" si="1"/>
        <v>0</v>
      </c>
      <c r="G9" s="140">
        <f t="shared" si="1"/>
        <v>23656.453333333342</v>
      </c>
      <c r="H9" s="140">
        <f t="shared" si="1"/>
        <v>23656.453333333342</v>
      </c>
      <c r="I9" s="140">
        <f t="shared" si="1"/>
        <v>0</v>
      </c>
      <c r="J9" s="140">
        <f t="shared" si="1"/>
        <v>0</v>
      </c>
      <c r="K9" s="140">
        <f t="shared" si="1"/>
        <v>0</v>
      </c>
      <c r="L9" s="140">
        <f t="shared" si="1"/>
        <v>0</v>
      </c>
      <c r="M9" s="140">
        <f t="shared" si="1"/>
        <v>26434.613333333342</v>
      </c>
      <c r="N9" s="140">
        <f t="shared" si="1"/>
        <v>0</v>
      </c>
      <c r="O9" s="140">
        <f t="shared" si="1"/>
        <v>0</v>
      </c>
      <c r="P9" s="140">
        <f t="shared" si="1"/>
        <v>0</v>
      </c>
      <c r="Q9" s="140">
        <f t="shared" si="1"/>
        <v>73747.52000000003</v>
      </c>
      <c r="R9" s="60"/>
      <c r="S9" s="60"/>
    </row>
    <row r="10" spans="1:19" ht="12.75" outlineLevel="1">
      <c r="A10" s="220" t="s">
        <v>248</v>
      </c>
      <c r="B10" s="141">
        <v>1</v>
      </c>
      <c r="C10" s="141">
        <f>220*1.1*1.12*Исх!$C$6</f>
        <v>55563.20000000002</v>
      </c>
      <c r="D10" s="147">
        <f>B10*C10</f>
        <v>55563.20000000002</v>
      </c>
      <c r="E10" s="147"/>
      <c r="F10" s="147"/>
      <c r="G10" s="147">
        <f>$D10/3</f>
        <v>18521.066666666673</v>
      </c>
      <c r="H10" s="147">
        <f>$D10/3</f>
        <v>18521.066666666673</v>
      </c>
      <c r="I10" s="147"/>
      <c r="J10" s="147"/>
      <c r="K10" s="147"/>
      <c r="L10" s="147"/>
      <c r="M10" s="147">
        <f>$D10/3</f>
        <v>18521.066666666673</v>
      </c>
      <c r="N10" s="147"/>
      <c r="O10" s="147"/>
      <c r="P10" s="147"/>
      <c r="Q10" s="148">
        <f>SUM(E10:P10)</f>
        <v>55563.20000000002</v>
      </c>
      <c r="R10" s="60"/>
      <c r="S10" s="60"/>
    </row>
    <row r="11" spans="1:19" ht="12.75" outlineLevel="1">
      <c r="A11" s="220" t="s">
        <v>254</v>
      </c>
      <c r="B11" s="141">
        <v>1</v>
      </c>
      <c r="C11" s="141">
        <f>50*1.1*1.12*Исх!$C$6</f>
        <v>12628.000000000004</v>
      </c>
      <c r="D11" s="147">
        <f>B11*C11</f>
        <v>12628.000000000004</v>
      </c>
      <c r="E11" s="147"/>
      <c r="F11" s="147"/>
      <c r="G11" s="147">
        <f>$D11/3</f>
        <v>4209.333333333335</v>
      </c>
      <c r="H11" s="147">
        <f>$D11/3</f>
        <v>4209.333333333335</v>
      </c>
      <c r="I11" s="147"/>
      <c r="J11" s="147"/>
      <c r="K11" s="147"/>
      <c r="L11" s="147"/>
      <c r="M11" s="147">
        <f>$D11/3</f>
        <v>4209.333333333335</v>
      </c>
      <c r="N11" s="147"/>
      <c r="O11" s="147"/>
      <c r="P11" s="147"/>
      <c r="Q11" s="148">
        <f>SUM(E11:P11)</f>
        <v>12628.000000000004</v>
      </c>
      <c r="R11" s="60"/>
      <c r="S11" s="60"/>
    </row>
    <row r="12" spans="1:19" ht="12.75" outlineLevel="1">
      <c r="A12" s="199" t="s">
        <v>249</v>
      </c>
      <c r="B12" s="282">
        <v>0.05</v>
      </c>
      <c r="C12" s="141">
        <f>B12*C10</f>
        <v>2778.160000000001</v>
      </c>
      <c r="D12" s="147">
        <f>C12</f>
        <v>2778.160000000001</v>
      </c>
      <c r="E12" s="147"/>
      <c r="F12" s="147"/>
      <c r="G12" s="147"/>
      <c r="H12" s="147"/>
      <c r="I12" s="147"/>
      <c r="J12" s="147"/>
      <c r="K12" s="147"/>
      <c r="L12" s="147"/>
      <c r="M12" s="147">
        <f>D12</f>
        <v>2778.160000000001</v>
      </c>
      <c r="N12" s="147"/>
      <c r="O12" s="147"/>
      <c r="P12" s="147"/>
      <c r="Q12" s="148">
        <f>SUM(E12:P12)</f>
        <v>2778.160000000001</v>
      </c>
      <c r="R12" s="60"/>
      <c r="S12" s="60"/>
    </row>
    <row r="13" spans="1:19" ht="12.75" outlineLevel="1">
      <c r="A13" s="199" t="s">
        <v>250</v>
      </c>
      <c r="B13" s="282">
        <v>0.05</v>
      </c>
      <c r="C13" s="141">
        <f>B13*C10</f>
        <v>2778.160000000001</v>
      </c>
      <c r="D13" s="147">
        <f>C13</f>
        <v>2778.160000000001</v>
      </c>
      <c r="E13" s="147"/>
      <c r="F13" s="147"/>
      <c r="G13" s="147">
        <f>$D13/3</f>
        <v>926.0533333333337</v>
      </c>
      <c r="H13" s="147">
        <f>$D13/3</f>
        <v>926.0533333333337</v>
      </c>
      <c r="I13" s="147"/>
      <c r="J13" s="147"/>
      <c r="K13" s="147"/>
      <c r="L13" s="147"/>
      <c r="M13" s="147">
        <f>$D13/3</f>
        <v>926.0533333333337</v>
      </c>
      <c r="N13" s="147"/>
      <c r="O13" s="147"/>
      <c r="P13" s="147"/>
      <c r="Q13" s="148">
        <f>SUM(E13:P13)</f>
        <v>2778.160000000001</v>
      </c>
      <c r="R13" s="60"/>
      <c r="S13" s="60"/>
    </row>
    <row r="14" spans="1:19" ht="12.75" hidden="1">
      <c r="A14" s="196" t="s">
        <v>234</v>
      </c>
      <c r="B14" s="197"/>
      <c r="C14" s="197"/>
      <c r="D14" s="140">
        <f aca="true" t="shared" si="2" ref="D14:Q14">SUM(D15:D17)</f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 t="shared" si="2"/>
        <v>0</v>
      </c>
      <c r="I14" s="140">
        <f t="shared" si="2"/>
        <v>0</v>
      </c>
      <c r="J14" s="140">
        <f t="shared" si="2"/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 t="shared" si="2"/>
        <v>0</v>
      </c>
      <c r="Q14" s="140">
        <f t="shared" si="2"/>
        <v>0</v>
      </c>
      <c r="R14" s="60"/>
      <c r="S14" s="60"/>
    </row>
    <row r="15" spans="1:19" ht="12.75" hidden="1" outlineLevel="1">
      <c r="A15" s="220"/>
      <c r="B15" s="276"/>
      <c r="C15" s="276"/>
      <c r="D15" s="147">
        <f>B15*C15</f>
        <v>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>
        <f>SUM(E15:P15)</f>
        <v>0</v>
      </c>
      <c r="R15" s="60"/>
      <c r="S15" s="60"/>
    </row>
    <row r="16" spans="1:19" ht="12.75" hidden="1" outlineLevel="1">
      <c r="A16" s="199"/>
      <c r="B16" s="276"/>
      <c r="C16" s="276"/>
      <c r="D16" s="147">
        <f>B16*C16</f>
        <v>0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>
        <f>SUM(E16:P16)</f>
        <v>0</v>
      </c>
      <c r="R16" s="60"/>
      <c r="S16" s="256"/>
    </row>
    <row r="17" spans="1:19" ht="12.75" hidden="1" outlineLevel="1">
      <c r="A17" s="199"/>
      <c r="B17" s="276"/>
      <c r="C17" s="276"/>
      <c r="D17" s="147">
        <f>B17*C17</f>
        <v>0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>
        <f>SUM(E17:P17)</f>
        <v>0</v>
      </c>
      <c r="R17" s="60"/>
      <c r="S17" s="256"/>
    </row>
    <row r="18" spans="1:18" ht="12.75" collapsed="1">
      <c r="A18" s="137" t="s">
        <v>0</v>
      </c>
      <c r="B18" s="161"/>
      <c r="C18" s="161"/>
      <c r="D18" s="161">
        <f aca="true" t="shared" si="3" ref="D18:Q18">D5+D9+D14</f>
        <v>136377.52000000002</v>
      </c>
      <c r="E18" s="161">
        <f t="shared" si="3"/>
        <v>2050</v>
      </c>
      <c r="F18" s="161">
        <f t="shared" si="3"/>
        <v>2050</v>
      </c>
      <c r="G18" s="161">
        <f t="shared" si="3"/>
        <v>25706.453333333342</v>
      </c>
      <c r="H18" s="161">
        <f t="shared" si="3"/>
        <v>35792.45333333334</v>
      </c>
      <c r="I18" s="161">
        <f t="shared" si="3"/>
        <v>10086</v>
      </c>
      <c r="J18" s="161">
        <f t="shared" si="3"/>
        <v>11419.333333333334</v>
      </c>
      <c r="K18" s="161">
        <f t="shared" si="3"/>
        <v>11419.333333333334</v>
      </c>
      <c r="L18" s="161">
        <f t="shared" si="3"/>
        <v>11419.333333333334</v>
      </c>
      <c r="M18" s="161">
        <f t="shared" si="3"/>
        <v>26434.613333333342</v>
      </c>
      <c r="N18" s="161">
        <f t="shared" si="3"/>
        <v>0</v>
      </c>
      <c r="O18" s="161">
        <f t="shared" si="3"/>
        <v>0</v>
      </c>
      <c r="P18" s="161">
        <f t="shared" si="3"/>
        <v>0</v>
      </c>
      <c r="Q18" s="161">
        <f t="shared" si="3"/>
        <v>136377.52000000002</v>
      </c>
      <c r="R18" s="60"/>
    </row>
    <row r="19" ht="12.75">
      <c r="D19" s="193">
        <f>D18-Q18</f>
        <v>0</v>
      </c>
    </row>
    <row r="20" spans="2:4" ht="12.75">
      <c r="B20" s="143" t="s">
        <v>56</v>
      </c>
      <c r="C20" s="193" t="s">
        <v>40</v>
      </c>
      <c r="D20" s="200" t="s">
        <v>95</v>
      </c>
    </row>
    <row r="21" spans="1:12" ht="12.75">
      <c r="A21" s="70" t="s">
        <v>108</v>
      </c>
      <c r="B21" s="193">
        <f>Q5</f>
        <v>62630</v>
      </c>
      <c r="C21" s="193">
        <f>B21/Исх!$C$19</f>
        <v>55919.642857142855</v>
      </c>
      <c r="D21" s="162">
        <f>B21/Исх!$C$5</f>
        <v>413.29022040385377</v>
      </c>
      <c r="L21" s="167"/>
    </row>
    <row r="22" spans="1:12" ht="12.75">
      <c r="A22" s="70" t="s">
        <v>103</v>
      </c>
      <c r="B22" s="193">
        <f>Q9</f>
        <v>73747.52000000003</v>
      </c>
      <c r="C22" s="193">
        <f>B22/Исх!$C$19</f>
        <v>65846.00000000003</v>
      </c>
      <c r="D22" s="162">
        <f>B22/Исх!$C$5</f>
        <v>486.6538207733934</v>
      </c>
      <c r="L22" s="167"/>
    </row>
    <row r="23" spans="1:12" ht="12.75">
      <c r="A23" s="70" t="s">
        <v>189</v>
      </c>
      <c r="B23" s="193">
        <f>Q14</f>
        <v>0</v>
      </c>
      <c r="C23" s="193">
        <f>B23/Исх!$C$19</f>
        <v>0</v>
      </c>
      <c r="D23" s="162">
        <f>B23/Исх!$C$5</f>
        <v>0</v>
      </c>
      <c r="L23" s="167"/>
    </row>
    <row r="24" spans="1:4" ht="12.75">
      <c r="A24" s="60" t="s">
        <v>85</v>
      </c>
      <c r="B24" s="201">
        <f>SUM(B21:B23)</f>
        <v>136377.52000000002</v>
      </c>
      <c r="C24" s="201">
        <f>SUM(C21:C23)</f>
        <v>121765.64285714288</v>
      </c>
      <c r="D24" s="261">
        <f>SUM(D21:D23)</f>
        <v>899.9440411772472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R7" r:id="rId1" display="http://www.uzv.su/ru/building/standardprojects/sturgeon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0" customWidth="1"/>
    <col min="2" max="2" width="7.875" style="70" hidden="1" customWidth="1"/>
    <col min="3" max="16384" width="9.125" style="70" customWidth="1"/>
  </cols>
  <sheetData>
    <row r="1" spans="1:6" ht="12.75">
      <c r="A1" s="60" t="s">
        <v>71</v>
      </c>
      <c r="B1" s="60"/>
      <c r="C1" s="60"/>
      <c r="D1" s="60"/>
      <c r="E1" s="60"/>
      <c r="F1" s="60"/>
    </row>
    <row r="2" spans="1:9" ht="12.75">
      <c r="A2" s="202"/>
      <c r="B2" s="202"/>
      <c r="C2" s="202"/>
      <c r="D2" s="202"/>
      <c r="E2" s="202"/>
      <c r="F2" s="202"/>
      <c r="I2" s="143" t="str">
        <f>Исх!$C$10</f>
        <v>тыс.тг.</v>
      </c>
    </row>
    <row r="3" spans="1:9" ht="12.75">
      <c r="A3" s="212" t="s">
        <v>8</v>
      </c>
      <c r="B3" s="218">
        <v>2014</v>
      </c>
      <c r="C3" s="218">
        <f aca="true" t="shared" si="0" ref="C3:I3">B3+1</f>
        <v>2015</v>
      </c>
      <c r="D3" s="218">
        <f t="shared" si="0"/>
        <v>2016</v>
      </c>
      <c r="E3" s="218">
        <f t="shared" si="0"/>
        <v>2017</v>
      </c>
      <c r="F3" s="218">
        <f t="shared" si="0"/>
        <v>2018</v>
      </c>
      <c r="G3" s="218">
        <f t="shared" si="0"/>
        <v>2019</v>
      </c>
      <c r="H3" s="218">
        <f t="shared" si="0"/>
        <v>2020</v>
      </c>
      <c r="I3" s="218">
        <f t="shared" si="0"/>
        <v>2021</v>
      </c>
    </row>
    <row r="4" spans="1:9" ht="12.75">
      <c r="A4" s="203" t="s">
        <v>302</v>
      </c>
      <c r="B4" s="204">
        <f>'2-ф2'!P5</f>
        <v>0</v>
      </c>
      <c r="C4" s="204">
        <f>'2-ф2'!AC5</f>
        <v>31116.071428571428</v>
      </c>
      <c r="D4" s="204">
        <f>'2-ф2'!AD5</f>
        <v>124464.2857142857</v>
      </c>
      <c r="E4" s="204">
        <f>'2-ф2'!AE5</f>
        <v>124464.2857142857</v>
      </c>
      <c r="F4" s="204">
        <f>'2-ф2'!AF5</f>
        <v>124464.2857142857</v>
      </c>
      <c r="G4" s="204">
        <f>'2-ф2'!AG5</f>
        <v>124464.2857142857</v>
      </c>
      <c r="H4" s="204">
        <f>'2-ф2'!AH5</f>
        <v>124464.2857142857</v>
      </c>
      <c r="I4" s="204">
        <f>'2-ф2'!AI5</f>
        <v>124464.2857142857</v>
      </c>
    </row>
    <row r="5" spans="1:9" ht="12.75">
      <c r="A5" s="203" t="s">
        <v>86</v>
      </c>
      <c r="B5" s="205">
        <f aca="true" t="shared" si="1" ref="B5:H5">B4-B6</f>
        <v>-25605.866116307046</v>
      </c>
      <c r="C5" s="205">
        <f t="shared" si="1"/>
        <v>-60248.924348511915</v>
      </c>
      <c r="D5" s="205">
        <f t="shared" si="1"/>
        <v>33082.2098327767</v>
      </c>
      <c r="E5" s="205">
        <f t="shared" si="1"/>
        <v>35239.110204164</v>
      </c>
      <c r="F5" s="205">
        <f t="shared" si="1"/>
        <v>37396.01057555129</v>
      </c>
      <c r="G5" s="205">
        <f t="shared" si="1"/>
        <v>39552.9109469386</v>
      </c>
      <c r="H5" s="205">
        <f t="shared" si="1"/>
        <v>41709.8113183259</v>
      </c>
      <c r="I5" s="205">
        <f>I4-I6</f>
        <v>42897.354730059495</v>
      </c>
    </row>
    <row r="6" spans="1:9" ht="12.75">
      <c r="A6" s="203" t="s">
        <v>303</v>
      </c>
      <c r="B6" s="206">
        <f aca="true" t="shared" si="2" ref="B6:H6">SUM(B7:B8)</f>
        <v>25605.866116307046</v>
      </c>
      <c r="C6" s="206">
        <f t="shared" si="2"/>
        <v>91364.99577708334</v>
      </c>
      <c r="D6" s="206">
        <f t="shared" si="2"/>
        <v>91382.075881509</v>
      </c>
      <c r="E6" s="206">
        <f t="shared" si="2"/>
        <v>89225.1755101217</v>
      </c>
      <c r="F6" s="206">
        <f t="shared" si="2"/>
        <v>87068.2751387344</v>
      </c>
      <c r="G6" s="206">
        <f t="shared" si="2"/>
        <v>84911.3747673471</v>
      </c>
      <c r="H6" s="206">
        <f t="shared" si="2"/>
        <v>82754.4743959598</v>
      </c>
      <c r="I6" s="206">
        <f>SUM(I7:I8)</f>
        <v>81566.9309842262</v>
      </c>
    </row>
    <row r="7" spans="1:9" ht="12.75">
      <c r="A7" s="203" t="s">
        <v>87</v>
      </c>
      <c r="B7" s="204">
        <f>'2-ф2'!P14+'2-ф2'!P13+'2-ф2'!P12</f>
        <v>13402.290402021332</v>
      </c>
      <c r="C7" s="204">
        <f>'2-ф2'!AC14+'2-ф2'!AC13+'2-ф2'!AC12</f>
        <v>42550.69291994048</v>
      </c>
      <c r="D7" s="204">
        <f>'2-ф2'!AD14+'2-ф2'!AD13+'2-ф2'!AD12</f>
        <v>42567.773024366135</v>
      </c>
      <c r="E7" s="204">
        <f>'2-ф2'!AE14+'2-ф2'!AE13+'2-ф2'!AE12</f>
        <v>40410.87265297884</v>
      </c>
      <c r="F7" s="204">
        <f>'2-ф2'!AF14+'2-ф2'!AF13+'2-ф2'!AF12</f>
        <v>38253.972281591545</v>
      </c>
      <c r="G7" s="204">
        <f>'2-ф2'!AG14+'2-ф2'!AG13+'2-ф2'!AG12</f>
        <v>36097.071910204235</v>
      </c>
      <c r="H7" s="204">
        <f>'2-ф2'!AH14+'2-ф2'!AH13+'2-ф2'!AH12</f>
        <v>33940.17153881694</v>
      </c>
      <c r="I7" s="204">
        <f>'2-ф2'!AI14+'2-ф2'!AI13+'2-ф2'!AI12</f>
        <v>32752.628127083342</v>
      </c>
    </row>
    <row r="8" spans="1:9" ht="12.75">
      <c r="A8" s="203" t="s">
        <v>88</v>
      </c>
      <c r="B8" s="204">
        <f>'2-ф2'!P8</f>
        <v>12203.575714285715</v>
      </c>
      <c r="C8" s="204">
        <f>'2-ф2'!AC8</f>
        <v>48814.302857142866</v>
      </c>
      <c r="D8" s="204">
        <f>'2-ф2'!AD8</f>
        <v>48814.30285714286</v>
      </c>
      <c r="E8" s="204">
        <f>'2-ф2'!AE8</f>
        <v>48814.30285714286</v>
      </c>
      <c r="F8" s="204">
        <f>'2-ф2'!AF8</f>
        <v>48814.30285714286</v>
      </c>
      <c r="G8" s="204">
        <f>'2-ф2'!AG8</f>
        <v>48814.30285714286</v>
      </c>
      <c r="H8" s="204">
        <f>'2-ф2'!AH8</f>
        <v>48814.30285714286</v>
      </c>
      <c r="I8" s="204">
        <f>'2-ф2'!AI8</f>
        <v>48814.30285714286</v>
      </c>
    </row>
    <row r="9" spans="1:9" ht="12.75">
      <c r="A9" s="203" t="s">
        <v>89</v>
      </c>
      <c r="B9" s="206">
        <f aca="true" t="shared" si="3" ref="B9:H9">B4-B8</f>
        <v>-12203.575714285715</v>
      </c>
      <c r="C9" s="206">
        <f t="shared" si="3"/>
        <v>-17698.23142857144</v>
      </c>
      <c r="D9" s="206">
        <f t="shared" si="3"/>
        <v>75649.98285714284</v>
      </c>
      <c r="E9" s="206">
        <f t="shared" si="3"/>
        <v>75649.98285714284</v>
      </c>
      <c r="F9" s="206">
        <f t="shared" si="3"/>
        <v>75649.98285714284</v>
      </c>
      <c r="G9" s="206">
        <f t="shared" si="3"/>
        <v>75649.98285714284</v>
      </c>
      <c r="H9" s="206">
        <f t="shared" si="3"/>
        <v>75649.98285714284</v>
      </c>
      <c r="I9" s="206">
        <f>I4-I8</f>
        <v>75649.98285714284</v>
      </c>
    </row>
    <row r="10" spans="1:9" ht="12.75">
      <c r="A10" s="203" t="s">
        <v>72</v>
      </c>
      <c r="B10" s="207" t="e">
        <f aca="true" t="shared" si="4" ref="B10:H10">B9/B4</f>
        <v>#DIV/0!</v>
      </c>
      <c r="C10" s="207">
        <f t="shared" si="4"/>
        <v>-0.5687810387374466</v>
      </c>
      <c r="D10" s="207">
        <f t="shared" si="4"/>
        <v>0.6078047403156384</v>
      </c>
      <c r="E10" s="207">
        <f t="shared" si="4"/>
        <v>0.6078047403156384</v>
      </c>
      <c r="F10" s="207">
        <f t="shared" si="4"/>
        <v>0.6078047403156384</v>
      </c>
      <c r="G10" s="207">
        <f t="shared" si="4"/>
        <v>0.6078047403156384</v>
      </c>
      <c r="H10" s="207">
        <f t="shared" si="4"/>
        <v>0.6078047403156384</v>
      </c>
      <c r="I10" s="207">
        <f>I9/I4</f>
        <v>0.6078047403156384</v>
      </c>
    </row>
    <row r="11" spans="1:9" ht="12.75">
      <c r="A11" s="203" t="s">
        <v>90</v>
      </c>
      <c r="B11" s="206" t="e">
        <f aca="true" t="shared" si="5" ref="B11:H11">B7/B10</f>
        <v>#DIV/0!</v>
      </c>
      <c r="C11" s="206">
        <f t="shared" si="5"/>
        <v>-74810.3224650254</v>
      </c>
      <c r="D11" s="206">
        <f t="shared" si="5"/>
        <v>70035.27646437952</v>
      </c>
      <c r="E11" s="206">
        <f t="shared" si="5"/>
        <v>66486.6032995944</v>
      </c>
      <c r="F11" s="206">
        <f t="shared" si="5"/>
        <v>62937.93013480928</v>
      </c>
      <c r="G11" s="206">
        <f t="shared" si="5"/>
        <v>59389.25697002414</v>
      </c>
      <c r="H11" s="206">
        <f t="shared" si="5"/>
        <v>55840.58380523902</v>
      </c>
      <c r="I11" s="206">
        <f>I7/I10</f>
        <v>53886.759932268076</v>
      </c>
    </row>
    <row r="12" spans="1:9" ht="25.5">
      <c r="A12" s="208" t="s">
        <v>73</v>
      </c>
      <c r="B12" s="209" t="e">
        <f aca="true" t="shared" si="6" ref="B12:H12">(B4-B11)/B4</f>
        <v>#DIV/0!</v>
      </c>
      <c r="C12" s="209">
        <f t="shared" si="6"/>
        <v>3.4042341796507447</v>
      </c>
      <c r="D12" s="209">
        <f t="shared" si="6"/>
        <v>0.4373062436147412</v>
      </c>
      <c r="E12" s="209">
        <f t="shared" si="6"/>
        <v>0.4658178214092845</v>
      </c>
      <c r="F12" s="209">
        <f t="shared" si="6"/>
        <v>0.49432939920382785</v>
      </c>
      <c r="G12" s="209">
        <f t="shared" si="6"/>
        <v>0.5228409769983713</v>
      </c>
      <c r="H12" s="209">
        <f t="shared" si="6"/>
        <v>0.5513525547929146</v>
      </c>
      <c r="I12" s="209">
        <f>(I4-I11)/I4</f>
        <v>0.567050422351935</v>
      </c>
    </row>
    <row r="13" spans="1:9" ht="12.75">
      <c r="A13" s="203" t="s">
        <v>101</v>
      </c>
      <c r="B13" s="210" t="e">
        <f aca="true" t="shared" si="7" ref="B13:H13">100%-B12</f>
        <v>#DIV/0!</v>
      </c>
      <c r="C13" s="210">
        <f t="shared" si="7"/>
        <v>-2.4042341796507447</v>
      </c>
      <c r="D13" s="210">
        <f t="shared" si="7"/>
        <v>0.5626937563852588</v>
      </c>
      <c r="E13" s="210">
        <f t="shared" si="7"/>
        <v>0.5341821785907155</v>
      </c>
      <c r="F13" s="210">
        <f t="shared" si="7"/>
        <v>0.5056706007961722</v>
      </c>
      <c r="G13" s="210">
        <f t="shared" si="7"/>
        <v>0.4771590230016287</v>
      </c>
      <c r="H13" s="210">
        <f t="shared" si="7"/>
        <v>0.44864744520708544</v>
      </c>
      <c r="I13" s="210">
        <f>100%-I12</f>
        <v>0.43294957764806496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4"/>
  <sheetViews>
    <sheetView showGridLines="0" zoomScalePageLayoutView="0" workbookViewId="0" topLeftCell="A1">
      <pane ySplit="4" topLeftCell="A3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2" customWidth="1"/>
    <col min="2" max="2" width="15.75390625" style="233" bestFit="1" customWidth="1"/>
    <col min="3" max="3" width="14.125" style="234" customWidth="1"/>
    <col min="4" max="4" width="8.25390625" style="234" customWidth="1"/>
    <col min="5" max="5" width="14.625" style="234" customWidth="1"/>
    <col min="6" max="9" width="7.375" style="234" customWidth="1"/>
    <col min="10" max="10" width="6.875" style="234" customWidth="1"/>
    <col min="11" max="11" width="5.875" style="234" customWidth="1"/>
    <col min="12" max="16384" width="9.125" style="234" customWidth="1"/>
  </cols>
  <sheetData>
    <row r="1" ht="13.5" customHeight="1">
      <c r="A1" s="249" t="s">
        <v>206</v>
      </c>
    </row>
    <row r="2" ht="13.5" customHeight="1">
      <c r="A2" s="249" t="s">
        <v>246</v>
      </c>
    </row>
    <row r="3" ht="13.5" customHeight="1"/>
    <row r="4" spans="1:5" ht="13.5" customHeight="1">
      <c r="A4" s="235" t="s">
        <v>192</v>
      </c>
      <c r="B4" s="288" t="s">
        <v>200</v>
      </c>
      <c r="C4" s="288" t="s">
        <v>244</v>
      </c>
      <c r="D4" s="236" t="s">
        <v>85</v>
      </c>
      <c r="E4" s="236" t="s">
        <v>167</v>
      </c>
    </row>
    <row r="5" spans="1:5" ht="13.5" customHeight="1">
      <c r="A5" s="237" t="s">
        <v>166</v>
      </c>
      <c r="B5" s="238">
        <f>'1-Ф3'!P23</f>
        <v>136377.52000000002</v>
      </c>
      <c r="C5" s="238"/>
      <c r="D5" s="238">
        <f>'1-Ф3'!B22</f>
        <v>136377.52000000002</v>
      </c>
      <c r="E5" s="244">
        <f>D5/$D$7</f>
        <v>0.597475229166177</v>
      </c>
    </row>
    <row r="6" spans="1:5" ht="13.5" customHeight="1">
      <c r="A6" s="237" t="s">
        <v>165</v>
      </c>
      <c r="B6" s="238">
        <f>B10</f>
        <v>30295.910644084823</v>
      </c>
      <c r="C6" s="238">
        <f>C10</f>
        <v>61582.927682812515</v>
      </c>
      <c r="D6" s="238">
        <f>'1-Ф3'!B28-'1-Ф3'!B22</f>
        <v>91878.83832689736</v>
      </c>
      <c r="E6" s="244">
        <f>D6/$D$7</f>
        <v>0.40252477083382304</v>
      </c>
    </row>
    <row r="7" spans="1:5" ht="13.5" customHeight="1">
      <c r="A7" s="239" t="s">
        <v>85</v>
      </c>
      <c r="B7" s="240">
        <f>SUM(B5:B6)</f>
        <v>166673.43064408484</v>
      </c>
      <c r="C7" s="240">
        <f>SUM(C5:C6)</f>
        <v>61582.927682812515</v>
      </c>
      <c r="D7" s="240">
        <f>SUM(D5:D6)</f>
        <v>228256.35832689737</v>
      </c>
      <c r="E7" s="245">
        <f>SUM(E5:E6)</f>
        <v>1</v>
      </c>
    </row>
    <row r="8" spans="1:2" ht="13.5" customHeight="1">
      <c r="A8" s="241"/>
      <c r="B8" s="242"/>
    </row>
    <row r="9" spans="1:6" ht="13.5" customHeight="1">
      <c r="A9" s="235" t="s">
        <v>193</v>
      </c>
      <c r="B9" s="288" t="str">
        <f>B4</f>
        <v>2014 год</v>
      </c>
      <c r="C9" s="288" t="str">
        <f>C4</f>
        <v>2015 год</v>
      </c>
      <c r="D9" s="236" t="s">
        <v>153</v>
      </c>
      <c r="E9" s="236" t="s">
        <v>8</v>
      </c>
      <c r="F9" s="236" t="s">
        <v>167</v>
      </c>
    </row>
    <row r="10" spans="1:7" ht="13.5" customHeight="1">
      <c r="A10" s="237" t="s">
        <v>195</v>
      </c>
      <c r="B10" s="238">
        <f>'1-Ф3'!P29</f>
        <v>30295.910644084823</v>
      </c>
      <c r="C10" s="238">
        <f>'1-Ф3'!AC29</f>
        <v>61582.927682812515</v>
      </c>
      <c r="D10" s="238">
        <f>'1-Ф3'!B29</f>
        <v>91878.83832689734</v>
      </c>
      <c r="E10" s="243" t="s">
        <v>296</v>
      </c>
      <c r="F10" s="244">
        <f>D10/$D$12</f>
        <v>0.40252477083382293</v>
      </c>
      <c r="G10" s="255"/>
    </row>
    <row r="11" spans="1:7" ht="12.75">
      <c r="A11" s="237" t="s">
        <v>102</v>
      </c>
      <c r="B11" s="238">
        <f>'1-Ф3'!P30</f>
        <v>136377.52000000002</v>
      </c>
      <c r="C11" s="238"/>
      <c r="D11" s="238">
        <f>'1-Ф3'!B30</f>
        <v>136377.52000000002</v>
      </c>
      <c r="E11" s="254" t="s">
        <v>297</v>
      </c>
      <c r="F11" s="244">
        <f>D11/$D$12</f>
        <v>0.597475229166177</v>
      </c>
      <c r="G11" s="255"/>
    </row>
    <row r="12" spans="1:6" ht="12.75">
      <c r="A12" s="239" t="s">
        <v>85</v>
      </c>
      <c r="B12" s="240">
        <f>SUM(B10:B11)</f>
        <v>166673.43064408484</v>
      </c>
      <c r="C12" s="240">
        <f>SUM(C10:C11)</f>
        <v>61582.927682812515</v>
      </c>
      <c r="D12" s="240">
        <f>SUM(D10:D11)</f>
        <v>228256.35832689737</v>
      </c>
      <c r="E12" s="240"/>
      <c r="F12" s="245">
        <f>SUM(F10:F11)</f>
        <v>1</v>
      </c>
    </row>
    <row r="13" spans="1:2" ht="12.75">
      <c r="A13" s="246"/>
      <c r="B13" s="247"/>
    </row>
    <row r="14" spans="1:2" ht="12.75">
      <c r="A14" s="235" t="s">
        <v>147</v>
      </c>
      <c r="B14" s="236" t="s">
        <v>7</v>
      </c>
    </row>
    <row r="15" spans="1:2" ht="12.75">
      <c r="A15" s="237" t="s">
        <v>168</v>
      </c>
      <c r="B15" s="238" t="s">
        <v>169</v>
      </c>
    </row>
    <row r="16" spans="1:2" ht="12.75">
      <c r="A16" s="237" t="s">
        <v>170</v>
      </c>
      <c r="B16" s="244">
        <f>Исх!C32</f>
        <v>0.07</v>
      </c>
    </row>
    <row r="17" spans="1:2" ht="12.75">
      <c r="A17" s="237" t="s">
        <v>191</v>
      </c>
      <c r="B17" s="248">
        <f>Исх!C33</f>
        <v>7</v>
      </c>
    </row>
    <row r="18" spans="1:2" ht="12.75">
      <c r="A18" s="237" t="s">
        <v>171</v>
      </c>
      <c r="B18" s="238" t="s">
        <v>172</v>
      </c>
    </row>
    <row r="19" spans="1:2" ht="12.75">
      <c r="A19" s="237" t="s">
        <v>174</v>
      </c>
      <c r="B19" s="238">
        <f>Исх!C34</f>
        <v>24</v>
      </c>
    </row>
    <row r="20" spans="1:2" ht="12.75">
      <c r="A20" s="237" t="s">
        <v>175</v>
      </c>
      <c r="B20" s="238">
        <f>Исх!C35</f>
        <v>24</v>
      </c>
    </row>
    <row r="21" spans="1:2" ht="12.75">
      <c r="A21" s="237" t="s">
        <v>304</v>
      </c>
      <c r="B21" s="238" t="s">
        <v>173</v>
      </c>
    </row>
    <row r="23" spans="1:8" ht="12.75">
      <c r="A23" s="252" t="s">
        <v>196</v>
      </c>
      <c r="B23" s="236">
        <v>2015</v>
      </c>
      <c r="C23" s="274">
        <f aca="true" t="shared" si="0" ref="C23:H23">B23+1</f>
        <v>2016</v>
      </c>
      <c r="D23" s="274">
        <f t="shared" si="0"/>
        <v>2017</v>
      </c>
      <c r="E23" s="274">
        <f t="shared" si="0"/>
        <v>2018</v>
      </c>
      <c r="F23" s="274">
        <f t="shared" si="0"/>
        <v>2019</v>
      </c>
      <c r="G23" s="274">
        <f t="shared" si="0"/>
        <v>2020</v>
      </c>
      <c r="H23" s="274">
        <f t="shared" si="0"/>
        <v>2021</v>
      </c>
    </row>
    <row r="24" spans="1:8" ht="12.75">
      <c r="A24" s="259" t="s">
        <v>207</v>
      </c>
      <c r="B24" s="238">
        <f>'2-ф2'!AC5</f>
        <v>31116.071428571428</v>
      </c>
      <c r="C24" s="238">
        <f>'2-ф2'!AD5</f>
        <v>124464.2857142857</v>
      </c>
      <c r="D24" s="238">
        <f>'2-ф2'!AE5</f>
        <v>124464.2857142857</v>
      </c>
      <c r="E24" s="238">
        <f>'2-ф2'!AF5</f>
        <v>124464.2857142857</v>
      </c>
      <c r="F24" s="238">
        <f>'2-ф2'!AG5</f>
        <v>124464.2857142857</v>
      </c>
      <c r="G24" s="238">
        <f>'2-ф2'!AH5</f>
        <v>124464.2857142857</v>
      </c>
      <c r="H24" s="238">
        <f>'2-ф2'!AI5</f>
        <v>124464.2857142857</v>
      </c>
    </row>
    <row r="25" spans="1:8" ht="12.75">
      <c r="A25" s="259" t="s">
        <v>208</v>
      </c>
      <c r="B25" s="238">
        <f>'2-ф2'!AC11</f>
        <v>-17698.23142857144</v>
      </c>
      <c r="C25" s="238">
        <f>'2-ф2'!AD11</f>
        <v>75649.98285714284</v>
      </c>
      <c r="D25" s="238">
        <f>'2-ф2'!AE11</f>
        <v>75649.98285714284</v>
      </c>
      <c r="E25" s="238">
        <f>'2-ф2'!AF11</f>
        <v>75649.98285714284</v>
      </c>
      <c r="F25" s="238">
        <f>'2-ф2'!AG11</f>
        <v>75649.98285714284</v>
      </c>
      <c r="G25" s="238">
        <f>'2-ф2'!AH11</f>
        <v>75649.98285714284</v>
      </c>
      <c r="H25" s="238">
        <f>'2-ф2'!AI11</f>
        <v>75649.98285714284</v>
      </c>
    </row>
    <row r="26" spans="1:8" ht="12.75">
      <c r="A26" s="259" t="s">
        <v>209</v>
      </c>
      <c r="B26" s="238">
        <f>'2-ф2'!AC17</f>
        <v>-60248.92434851192</v>
      </c>
      <c r="C26" s="238">
        <f>'2-ф2'!AD17</f>
        <v>33082.2098327767</v>
      </c>
      <c r="D26" s="238">
        <f>'2-ф2'!AE17</f>
        <v>35239.110204164</v>
      </c>
      <c r="E26" s="238">
        <f>'2-ф2'!AF17</f>
        <v>33423.50254601669</v>
      </c>
      <c r="F26" s="238">
        <f>'2-ф2'!AG17</f>
        <v>31642.32875755088</v>
      </c>
      <c r="G26" s="238">
        <f>'2-ф2'!AH17</f>
        <v>33367.84905466072</v>
      </c>
      <c r="H26" s="238">
        <f>'2-ф2'!AI17</f>
        <v>34317.8837840476</v>
      </c>
    </row>
    <row r="27" spans="1:8" ht="12.75">
      <c r="A27" s="259" t="s">
        <v>240</v>
      </c>
      <c r="B27" s="244">
        <f>B25/B24</f>
        <v>-0.5687810387374466</v>
      </c>
      <c r="C27" s="244">
        <f aca="true" t="shared" si="1" ref="C27:H27">C25/C24</f>
        <v>0.6078047403156384</v>
      </c>
      <c r="D27" s="244">
        <f t="shared" si="1"/>
        <v>0.6078047403156384</v>
      </c>
      <c r="E27" s="244">
        <f t="shared" si="1"/>
        <v>0.6078047403156384</v>
      </c>
      <c r="F27" s="244">
        <f t="shared" si="1"/>
        <v>0.6078047403156384</v>
      </c>
      <c r="G27" s="244">
        <f t="shared" si="1"/>
        <v>0.6078047403156384</v>
      </c>
      <c r="H27" s="244">
        <f t="shared" si="1"/>
        <v>0.6078047403156384</v>
      </c>
    </row>
    <row r="28" spans="1:8" ht="12.75">
      <c r="A28" s="259" t="s">
        <v>210</v>
      </c>
      <c r="B28" s="244">
        <f aca="true" t="shared" si="2" ref="B28:H28">B26/B24</f>
        <v>-1.93626385280727</v>
      </c>
      <c r="C28" s="244">
        <f t="shared" si="2"/>
        <v>0.26579680783866505</v>
      </c>
      <c r="D28" s="244">
        <f t="shared" si="2"/>
        <v>0.2831262799760666</v>
      </c>
      <c r="E28" s="244">
        <f t="shared" si="2"/>
        <v>0.2685389013740222</v>
      </c>
      <c r="F28" s="244">
        <f t="shared" si="2"/>
        <v>0.25422817940069575</v>
      </c>
      <c r="G28" s="244">
        <f t="shared" si="2"/>
        <v>0.268091757110617</v>
      </c>
      <c r="H28" s="244">
        <f t="shared" si="2"/>
        <v>0.27572474776279277</v>
      </c>
    </row>
    <row r="29" spans="1:8" ht="12.75">
      <c r="A29" s="260" t="s">
        <v>211</v>
      </c>
      <c r="B29" s="238">
        <f>'1-Ф3'!AC35</f>
        <v>14322.357439062514</v>
      </c>
      <c r="C29" s="238">
        <f>'1-Ф3'!AD35</f>
        <v>17512.19983404654</v>
      </c>
      <c r="D29" s="238">
        <f>'1-Ф3'!AE35</f>
        <v>19669.10020543385</v>
      </c>
      <c r="E29" s="238">
        <f>'1-Ф3'!AF35</f>
        <v>16750.4907544294</v>
      </c>
      <c r="F29" s="238">
        <f>'1-Ф3'!AG35</f>
        <v>8614.320815963601</v>
      </c>
      <c r="G29" s="238">
        <f>'1-Ф3'!AH35</f>
        <v>10339.841113073435</v>
      </c>
      <c r="H29" s="238">
        <f>'1-Ф3'!AI35</f>
        <v>41503.59926023809</v>
      </c>
    </row>
    <row r="31" spans="1:3" ht="12.75">
      <c r="A31" s="252" t="s">
        <v>219</v>
      </c>
      <c r="B31" s="267" t="s">
        <v>241</v>
      </c>
      <c r="C31" s="262"/>
    </row>
    <row r="32" spans="1:3" ht="12.75">
      <c r="A32" s="237" t="s">
        <v>176</v>
      </c>
      <c r="B32" s="244">
        <f>'1-Ф3'!AQ49</f>
        <v>0.08265037564229227</v>
      </c>
      <c r="C32" s="262"/>
    </row>
    <row r="33" spans="1:3" ht="12.75">
      <c r="A33" s="237" t="s">
        <v>177</v>
      </c>
      <c r="B33" s="238">
        <f>'1-Ф3'!AQ47</f>
        <v>9120.893824571744</v>
      </c>
      <c r="C33" s="262"/>
    </row>
    <row r="34" spans="1:3" ht="12.75">
      <c r="A34" s="237" t="s">
        <v>220</v>
      </c>
      <c r="B34" s="248">
        <f>'1-Ф3'!AQ48</f>
        <v>1.0435243375753442</v>
      </c>
      <c r="C34" s="262"/>
    </row>
    <row r="35" spans="1:3" ht="12.75">
      <c r="A35" s="237" t="s">
        <v>178</v>
      </c>
      <c r="B35" s="248">
        <f>'1-Ф3'!B50</f>
        <v>5.115133579447292</v>
      </c>
      <c r="C35" s="262"/>
    </row>
    <row r="36" spans="1:3" ht="12.75">
      <c r="A36" s="237" t="s">
        <v>179</v>
      </c>
      <c r="B36" s="248">
        <f>'1-Ф3'!B51</f>
        <v>6.624179704544581</v>
      </c>
      <c r="C36" s="262"/>
    </row>
    <row r="38" ht="12.75">
      <c r="A38" s="249" t="s">
        <v>242</v>
      </c>
    </row>
    <row r="39" spans="1:3" ht="12.75">
      <c r="A39" s="268" t="s">
        <v>26</v>
      </c>
      <c r="B39" s="274" t="s">
        <v>226</v>
      </c>
      <c r="C39" s="236" t="s">
        <v>7</v>
      </c>
    </row>
    <row r="40" spans="1:3" ht="12.75">
      <c r="A40" s="237" t="str">
        <f>Исх!A23</f>
        <v>Осетрина</v>
      </c>
      <c r="B40" s="281" t="str">
        <f>Исх!B23</f>
        <v>тн/год</v>
      </c>
      <c r="C40" s="238">
        <f>Исх!C23</f>
        <v>34</v>
      </c>
    </row>
    <row r="42" ht="12.75">
      <c r="A42" s="249" t="s">
        <v>180</v>
      </c>
    </row>
    <row r="43" spans="1:9" ht="12.75">
      <c r="A43" s="318" t="s">
        <v>214</v>
      </c>
      <c r="B43" s="320" t="s">
        <v>200</v>
      </c>
      <c r="C43" s="320"/>
      <c r="D43" s="320"/>
      <c r="E43" s="320"/>
      <c r="F43" s="320" t="s">
        <v>244</v>
      </c>
      <c r="G43" s="320"/>
      <c r="H43" s="320"/>
      <c r="I43" s="320"/>
    </row>
    <row r="44" spans="1:9" ht="12.75">
      <c r="A44" s="319"/>
      <c r="B44" s="236" t="s">
        <v>292</v>
      </c>
      <c r="C44" s="274" t="s">
        <v>293</v>
      </c>
      <c r="D44" s="274" t="s">
        <v>294</v>
      </c>
      <c r="E44" s="274" t="s">
        <v>295</v>
      </c>
      <c r="F44" s="274" t="s">
        <v>292</v>
      </c>
      <c r="G44" s="274" t="s">
        <v>293</v>
      </c>
      <c r="H44" s="274" t="s">
        <v>294</v>
      </c>
      <c r="I44" s="274" t="s">
        <v>295</v>
      </c>
    </row>
    <row r="45" spans="1:9" ht="12.75">
      <c r="A45" s="250" t="s">
        <v>215</v>
      </c>
      <c r="B45" s="251"/>
      <c r="C45" s="244"/>
      <c r="D45" s="244"/>
      <c r="E45" s="244"/>
      <c r="F45" s="244"/>
      <c r="G45" s="244"/>
      <c r="H45" s="244"/>
      <c r="I45" s="244"/>
    </row>
    <row r="46" spans="1:9" ht="12.75">
      <c r="A46" s="237" t="s">
        <v>181</v>
      </c>
      <c r="B46" s="251"/>
      <c r="C46" s="244"/>
      <c r="D46" s="238"/>
      <c r="E46" s="238"/>
      <c r="F46" s="238"/>
      <c r="G46" s="238"/>
      <c r="H46" s="238"/>
      <c r="I46" s="238"/>
    </row>
    <row r="47" spans="1:9" ht="12.75">
      <c r="A47" s="237" t="s">
        <v>182</v>
      </c>
      <c r="B47" s="251"/>
      <c r="C47" s="244"/>
      <c r="D47" s="238"/>
      <c r="E47" s="238"/>
      <c r="F47" s="238"/>
      <c r="G47" s="238"/>
      <c r="H47" s="238"/>
      <c r="I47" s="238"/>
    </row>
    <row r="48" spans="1:9" ht="12.75">
      <c r="A48" s="237" t="s">
        <v>298</v>
      </c>
      <c r="B48" s="251"/>
      <c r="C48" s="251"/>
      <c r="D48" s="244"/>
      <c r="E48" s="244"/>
      <c r="F48" s="244"/>
      <c r="G48" s="244"/>
      <c r="H48" s="244"/>
      <c r="I48" s="244"/>
    </row>
    <row r="49" spans="1:9" ht="12.75">
      <c r="A49" s="237" t="s">
        <v>243</v>
      </c>
      <c r="B49" s="238"/>
      <c r="C49" s="251"/>
      <c r="D49" s="251"/>
      <c r="E49" s="244"/>
      <c r="F49" s="244"/>
      <c r="G49" s="244"/>
      <c r="H49" s="244"/>
      <c r="I49" s="244"/>
    </row>
    <row r="50" spans="1:9" ht="12.75">
      <c r="A50" s="237" t="s">
        <v>245</v>
      </c>
      <c r="B50" s="238"/>
      <c r="C50" s="251"/>
      <c r="D50" s="251"/>
      <c r="E50" s="244"/>
      <c r="F50" s="244"/>
      <c r="G50" s="244"/>
      <c r="H50" s="244"/>
      <c r="I50" s="244"/>
    </row>
    <row r="51" spans="1:9" ht="12.75">
      <c r="A51" s="237" t="s">
        <v>216</v>
      </c>
      <c r="B51" s="238"/>
      <c r="C51" s="244"/>
      <c r="D51" s="251"/>
      <c r="E51" s="244"/>
      <c r="F51" s="244"/>
      <c r="G51" s="244"/>
      <c r="H51" s="244"/>
      <c r="I51" s="244"/>
    </row>
    <row r="52" spans="1:9" ht="12.75">
      <c r="A52" s="237" t="s">
        <v>299</v>
      </c>
      <c r="B52" s="238"/>
      <c r="C52" s="238"/>
      <c r="D52" s="251"/>
      <c r="E52" s="238"/>
      <c r="F52" s="238"/>
      <c r="G52" s="238"/>
      <c r="H52" s="238"/>
      <c r="I52" s="238"/>
    </row>
    <row r="53" spans="1:9" ht="12.75">
      <c r="A53" s="237" t="s">
        <v>300</v>
      </c>
      <c r="B53" s="238"/>
      <c r="C53" s="238"/>
      <c r="D53" s="238"/>
      <c r="E53" s="251"/>
      <c r="F53" s="238"/>
      <c r="G53" s="238"/>
      <c r="H53" s="238"/>
      <c r="I53" s="238"/>
    </row>
    <row r="54" spans="1:9" ht="12.75">
      <c r="A54" s="237" t="s">
        <v>301</v>
      </c>
      <c r="B54" s="238"/>
      <c r="C54" s="238"/>
      <c r="D54" s="238"/>
      <c r="E54" s="238"/>
      <c r="F54" s="251"/>
      <c r="G54" s="251"/>
      <c r="H54" s="251"/>
      <c r="I54" s="238"/>
    </row>
    <row r="55" spans="1:9" ht="12.75">
      <c r="A55" s="237" t="s">
        <v>222</v>
      </c>
      <c r="B55" s="238"/>
      <c r="C55" s="238"/>
      <c r="D55" s="238"/>
      <c r="E55" s="238"/>
      <c r="F55" s="238"/>
      <c r="G55" s="238"/>
      <c r="H55" s="238"/>
      <c r="I55" s="251"/>
    </row>
    <row r="57" ht="12.75">
      <c r="A57" s="249" t="s">
        <v>221</v>
      </c>
    </row>
    <row r="59" spans="1:2" ht="12.75">
      <c r="A59" s="252" t="s">
        <v>187</v>
      </c>
      <c r="B59" s="253" t="s">
        <v>188</v>
      </c>
    </row>
    <row r="60" spans="1:2" ht="12.75">
      <c r="A60" s="237" t="s">
        <v>38</v>
      </c>
      <c r="B60" s="238">
        <f>'1-Ф3'!B18</f>
        <v>23476.995621428567</v>
      </c>
    </row>
    <row r="61" spans="1:2" ht="12.75">
      <c r="A61" s="237" t="str">
        <f>'1-Ф3'!A17</f>
        <v>Корпоративный подоходный налог</v>
      </c>
      <c r="B61" s="238">
        <f>'1-Ф3'!B17</f>
        <v>28804.5234285994</v>
      </c>
    </row>
    <row r="62" spans="1:2" ht="12.75">
      <c r="A62" s="237" t="s">
        <v>186</v>
      </c>
      <c r="B62" s="238">
        <f>(ФОТ!F23+ФОТ!G23+ФОТ!H23+ФОТ!I23)*12*6.25</f>
        <v>19671.899999999998</v>
      </c>
    </row>
    <row r="63" spans="1:2" ht="12.75">
      <c r="A63" s="237" t="s">
        <v>202</v>
      </c>
      <c r="B63" s="238">
        <f>SUM(Пост!C19:I19)*12</f>
        <v>5468.4952566964275</v>
      </c>
    </row>
    <row r="64" spans="1:2" ht="12.75">
      <c r="A64" s="239" t="s">
        <v>0</v>
      </c>
      <c r="B64" s="240">
        <f>SUM(B60:B63)</f>
        <v>77421.91430672439</v>
      </c>
    </row>
  </sheetData>
  <sheetProtection/>
  <mergeCells count="3">
    <mergeCell ref="A43:A44"/>
    <mergeCell ref="B43:E43"/>
    <mergeCell ref="F43:I43"/>
  </mergeCells>
  <printOptions/>
  <pageMargins left="0.2" right="0.2" top="0.51" bottom="0.72" header="0.3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3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K28" sqref="K28"/>
    </sheetView>
  </sheetViews>
  <sheetFormatPr defaultColWidth="10.125" defaultRowHeight="12.75" outlineLevelCol="1"/>
  <cols>
    <col min="1" max="1" width="38.125" style="80" customWidth="1"/>
    <col min="2" max="2" width="11.375" style="80" customWidth="1"/>
    <col min="3" max="3" width="3.875" style="80" customWidth="1"/>
    <col min="4" max="4" width="7.125" style="80" hidden="1" customWidth="1" outlineLevel="1"/>
    <col min="5" max="5" width="8.25390625" style="80" hidden="1" customWidth="1" outlineLevel="1"/>
    <col min="6" max="11" width="7.00390625" style="80" hidden="1" customWidth="1" outlineLevel="1"/>
    <col min="12" max="12" width="8.75390625" style="80" hidden="1" customWidth="1" outlineLevel="1"/>
    <col min="13" max="13" width="7.875" style="80" hidden="1" customWidth="1" outlineLevel="1"/>
    <col min="14" max="15" width="8.625" style="80" hidden="1" customWidth="1" outlineLevel="1"/>
    <col min="16" max="16" width="9.125" style="80" customWidth="1" collapsed="1"/>
    <col min="17" max="28" width="8.375" style="80" hidden="1" customWidth="1" outlineLevel="1"/>
    <col min="29" max="29" width="9.125" style="80" customWidth="1" collapsed="1"/>
    <col min="30" max="30" width="9.125" style="80" customWidth="1"/>
    <col min="31" max="35" width="8.875" style="80" customWidth="1"/>
    <col min="36" max="16384" width="10.125" style="80" customWidth="1"/>
  </cols>
  <sheetData>
    <row r="1" spans="1:3" ht="21" customHeight="1">
      <c r="A1" s="60" t="s">
        <v>109</v>
      </c>
      <c r="B1" s="79"/>
      <c r="C1" s="79"/>
    </row>
    <row r="2" spans="1:3" ht="17.25" customHeight="1">
      <c r="A2" s="60"/>
      <c r="B2" s="12" t="str">
        <f>Исх!$C$10</f>
        <v>тыс.тг.</v>
      </c>
      <c r="C2" s="81"/>
    </row>
    <row r="3" spans="1:35" ht="12.75" customHeight="1">
      <c r="A3" s="296" t="s">
        <v>2</v>
      </c>
      <c r="B3" s="300" t="s">
        <v>85</v>
      </c>
      <c r="C3" s="85"/>
      <c r="D3" s="295">
        <v>2014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>
        <v>2015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86">
        <f>Q3+1</f>
        <v>2016</v>
      </c>
      <c r="AE3" s="86">
        <f>AD3+1</f>
        <v>2017</v>
      </c>
      <c r="AF3" s="86">
        <f>AE3+1</f>
        <v>2018</v>
      </c>
      <c r="AG3" s="86">
        <f>AF3+1</f>
        <v>2019</v>
      </c>
      <c r="AH3" s="86">
        <f>AG3+1</f>
        <v>2020</v>
      </c>
      <c r="AI3" s="86">
        <f>AH3+1</f>
        <v>2021</v>
      </c>
    </row>
    <row r="4" spans="1:35" ht="12.75">
      <c r="A4" s="297"/>
      <c r="B4" s="300"/>
      <c r="C4" s="87"/>
      <c r="D4" s="88">
        <v>1</v>
      </c>
      <c r="E4" s="88">
        <f aca="true" t="shared" si="0" ref="E4:O4">D4+1</f>
        <v>2</v>
      </c>
      <c r="F4" s="88">
        <f t="shared" si="0"/>
        <v>3</v>
      </c>
      <c r="G4" s="88">
        <f t="shared" si="0"/>
        <v>4</v>
      </c>
      <c r="H4" s="88">
        <f t="shared" si="0"/>
        <v>5</v>
      </c>
      <c r="I4" s="88">
        <f t="shared" si="0"/>
        <v>6</v>
      </c>
      <c r="J4" s="88">
        <f t="shared" si="0"/>
        <v>7</v>
      </c>
      <c r="K4" s="88">
        <f t="shared" si="0"/>
        <v>8</v>
      </c>
      <c r="L4" s="88">
        <f t="shared" si="0"/>
        <v>9</v>
      </c>
      <c r="M4" s="88">
        <f t="shared" si="0"/>
        <v>10</v>
      </c>
      <c r="N4" s="88">
        <f t="shared" si="0"/>
        <v>11</v>
      </c>
      <c r="O4" s="88">
        <f t="shared" si="0"/>
        <v>12</v>
      </c>
      <c r="P4" s="84" t="s">
        <v>0</v>
      </c>
      <c r="Q4" s="88">
        <v>1</v>
      </c>
      <c r="R4" s="88">
        <f aca="true" t="shared" si="1" ref="R4:AB4">Q4+1</f>
        <v>2</v>
      </c>
      <c r="S4" s="88">
        <f t="shared" si="1"/>
        <v>3</v>
      </c>
      <c r="T4" s="88">
        <f t="shared" si="1"/>
        <v>4</v>
      </c>
      <c r="U4" s="88">
        <f t="shared" si="1"/>
        <v>5</v>
      </c>
      <c r="V4" s="88">
        <f t="shared" si="1"/>
        <v>6</v>
      </c>
      <c r="W4" s="88">
        <f t="shared" si="1"/>
        <v>7</v>
      </c>
      <c r="X4" s="88">
        <f t="shared" si="1"/>
        <v>8</v>
      </c>
      <c r="Y4" s="88">
        <f t="shared" si="1"/>
        <v>9</v>
      </c>
      <c r="Z4" s="88">
        <f t="shared" si="1"/>
        <v>10</v>
      </c>
      <c r="AA4" s="88">
        <f t="shared" si="1"/>
        <v>11</v>
      </c>
      <c r="AB4" s="88">
        <f t="shared" si="1"/>
        <v>12</v>
      </c>
      <c r="AC4" s="84" t="s">
        <v>0</v>
      </c>
      <c r="AD4" s="84" t="s">
        <v>110</v>
      </c>
      <c r="AE4" s="84" t="s">
        <v>110</v>
      </c>
      <c r="AF4" s="84" t="s">
        <v>110</v>
      </c>
      <c r="AG4" s="84" t="s">
        <v>110</v>
      </c>
      <c r="AH4" s="84" t="s">
        <v>110</v>
      </c>
      <c r="AI4" s="84" t="s">
        <v>110</v>
      </c>
    </row>
    <row r="5" spans="1:36" s="81" customFormat="1" ht="15" customHeight="1">
      <c r="A5" s="89" t="s">
        <v>239</v>
      </c>
      <c r="B5" s="90">
        <f>P5+AC5+AD5+AE5+AF5+AG5+AH5+AI5</f>
        <v>777901.7857142856</v>
      </c>
      <c r="C5" s="91"/>
      <c r="D5" s="91">
        <f aca="true" t="shared" si="2" ref="D5:AI5">SUM(D6:D7)</f>
        <v>0</v>
      </c>
      <c r="E5" s="91">
        <f t="shared" si="2"/>
        <v>0</v>
      </c>
      <c r="F5" s="91">
        <f t="shared" si="2"/>
        <v>0</v>
      </c>
      <c r="G5" s="91">
        <f t="shared" si="2"/>
        <v>0</v>
      </c>
      <c r="H5" s="91">
        <f t="shared" si="2"/>
        <v>0</v>
      </c>
      <c r="I5" s="91">
        <f t="shared" si="2"/>
        <v>0</v>
      </c>
      <c r="J5" s="91">
        <f t="shared" si="2"/>
        <v>0</v>
      </c>
      <c r="K5" s="91">
        <f t="shared" si="2"/>
        <v>0</v>
      </c>
      <c r="L5" s="91">
        <f t="shared" si="2"/>
        <v>0</v>
      </c>
      <c r="M5" s="91">
        <f t="shared" si="2"/>
        <v>0</v>
      </c>
      <c r="N5" s="91">
        <f t="shared" si="2"/>
        <v>0</v>
      </c>
      <c r="O5" s="91">
        <f t="shared" si="2"/>
        <v>0</v>
      </c>
      <c r="P5" s="91">
        <f t="shared" si="2"/>
        <v>0</v>
      </c>
      <c r="Q5" s="91">
        <f t="shared" si="2"/>
        <v>0</v>
      </c>
      <c r="R5" s="91">
        <f t="shared" si="2"/>
        <v>0</v>
      </c>
      <c r="S5" s="91">
        <f t="shared" si="2"/>
        <v>0</v>
      </c>
      <c r="T5" s="91">
        <f t="shared" si="2"/>
        <v>0</v>
      </c>
      <c r="U5" s="91">
        <f t="shared" si="2"/>
        <v>0</v>
      </c>
      <c r="V5" s="91">
        <f t="shared" si="2"/>
        <v>0</v>
      </c>
      <c r="W5" s="91">
        <f t="shared" si="2"/>
        <v>0</v>
      </c>
      <c r="X5" s="91">
        <f t="shared" si="2"/>
        <v>0</v>
      </c>
      <c r="Y5" s="91">
        <f t="shared" si="2"/>
        <v>0</v>
      </c>
      <c r="Z5" s="91">
        <f t="shared" si="2"/>
        <v>10372.02380952381</v>
      </c>
      <c r="AA5" s="91">
        <f t="shared" si="2"/>
        <v>10372.02380952381</v>
      </c>
      <c r="AB5" s="91">
        <f t="shared" si="2"/>
        <v>10372.02380952381</v>
      </c>
      <c r="AC5" s="91">
        <f t="shared" si="2"/>
        <v>31116.071428571428</v>
      </c>
      <c r="AD5" s="91">
        <f t="shared" si="2"/>
        <v>124464.2857142857</v>
      </c>
      <c r="AE5" s="91">
        <f t="shared" si="2"/>
        <v>124464.2857142857</v>
      </c>
      <c r="AF5" s="91">
        <f t="shared" si="2"/>
        <v>124464.2857142857</v>
      </c>
      <c r="AG5" s="91">
        <f t="shared" si="2"/>
        <v>124464.2857142857</v>
      </c>
      <c r="AH5" s="91">
        <f t="shared" si="2"/>
        <v>124464.2857142857</v>
      </c>
      <c r="AI5" s="91">
        <f t="shared" si="2"/>
        <v>124464.2857142857</v>
      </c>
      <c r="AJ5" s="92"/>
    </row>
    <row r="6" spans="1:36" s="81" customFormat="1" ht="12.75">
      <c r="A6" s="287" t="str">
        <f>Исх!A23</f>
        <v>Осетрина</v>
      </c>
      <c r="B6" s="90">
        <f>P6+AC6+AD6+AE6+AF6+AG6+AH6</f>
        <v>653437.4999999999</v>
      </c>
      <c r="C6" s="91"/>
      <c r="D6" s="94"/>
      <c r="E6" s="94">
        <f>Продукция!E6*Исх!$C$25/Исх!$C$19</f>
        <v>0</v>
      </c>
      <c r="F6" s="94">
        <f>Продукция!F6*Исх!$C$25/Исх!$C$19</f>
        <v>0</v>
      </c>
      <c r="G6" s="94">
        <f>Продукция!G6*Исх!$C$25/Исх!$C$19</f>
        <v>0</v>
      </c>
      <c r="H6" s="94">
        <f>Продукция!H6*Исх!$C$25/Исх!$C$19</f>
        <v>0</v>
      </c>
      <c r="I6" s="94">
        <f>Продукция!I6*Исх!$C$25/Исх!$C$19</f>
        <v>0</v>
      </c>
      <c r="J6" s="94">
        <f>Продукция!J6*Исх!$C$25/Исх!$C$19</f>
        <v>0</v>
      </c>
      <c r="K6" s="94">
        <f>Продукция!K6*Исх!$C$25/Исх!$C$19</f>
        <v>0</v>
      </c>
      <c r="L6" s="94">
        <f>Продукция!L6*Исх!$C$25/Исх!$C$19</f>
        <v>0</v>
      </c>
      <c r="M6" s="94">
        <f>Продукция!M6*Исх!$C$25/Исх!$C$19</f>
        <v>0</v>
      </c>
      <c r="N6" s="94">
        <f>Продукция!N6*Исх!$C$25/Исх!$C$19</f>
        <v>0</v>
      </c>
      <c r="O6" s="94">
        <f>Продукция!O6*Исх!$C$25/Исх!$C$19</f>
        <v>0</v>
      </c>
      <c r="P6" s="91">
        <f>SUM(D6:O6)</f>
        <v>0</v>
      </c>
      <c r="Q6" s="94">
        <f>Продукция!Q6*Исх!$C$25/Исх!$C$19</f>
        <v>0</v>
      </c>
      <c r="R6" s="94">
        <f>Продукция!R6*Исх!$C$25/Исх!$C$19</f>
        <v>0</v>
      </c>
      <c r="S6" s="94">
        <f>Продукция!S6*Исх!$C$25/Исх!$C$19</f>
        <v>0</v>
      </c>
      <c r="T6" s="94">
        <f>Продукция!T6*Исх!$C$25/Исх!$C$19</f>
        <v>0</v>
      </c>
      <c r="U6" s="94">
        <f>Продукция!U6*Исх!$C$25/Исх!$C$19</f>
        <v>0</v>
      </c>
      <c r="V6" s="94">
        <f>Продукция!V6*Исх!$C$25/Исх!$C$19</f>
        <v>0</v>
      </c>
      <c r="W6" s="94">
        <f>Продукция!W6*Исх!$C$25/Исх!$C$19</f>
        <v>0</v>
      </c>
      <c r="X6" s="94">
        <f>Продукция!X6*Исх!$C$25/Исх!$C$19</f>
        <v>0</v>
      </c>
      <c r="Y6" s="94">
        <f>Продукция!Y6*Исх!$C$25/Исх!$C$19</f>
        <v>0</v>
      </c>
      <c r="Z6" s="94">
        <f>Продукция!Z6*Исх!$C$25/Исх!$C$19</f>
        <v>10372.02380952381</v>
      </c>
      <c r="AA6" s="94">
        <f>Продукция!AA6*Исх!$C$25/Исх!$C$19</f>
        <v>10372.02380952381</v>
      </c>
      <c r="AB6" s="94">
        <f>Продукция!AB6*Исх!$C$25/Исх!$C$19</f>
        <v>10372.02380952381</v>
      </c>
      <c r="AC6" s="91">
        <f>SUM(Q6:AB6)</f>
        <v>31116.071428571428</v>
      </c>
      <c r="AD6" s="94">
        <f>Продукция!AD6*Исх!$C$25/Исх!$C$19</f>
        <v>124464.2857142857</v>
      </c>
      <c r="AE6" s="94">
        <f>Продукция!AE6*Исх!$C$25/Исх!$C$19</f>
        <v>124464.2857142857</v>
      </c>
      <c r="AF6" s="94">
        <f>Продукция!AF6*Исх!$C$25/Исх!$C$19</f>
        <v>124464.2857142857</v>
      </c>
      <c r="AG6" s="94">
        <f>Продукция!AG6*Исх!$C$25/Исх!$C$19</f>
        <v>124464.2857142857</v>
      </c>
      <c r="AH6" s="94">
        <f>Продукция!AH6*Исх!$C$25/Исх!$C$19</f>
        <v>124464.2857142857</v>
      </c>
      <c r="AI6" s="94">
        <f>Продукция!AI6*Исх!$C$25/Исх!$C$19</f>
        <v>124464.2857142857</v>
      </c>
      <c r="AJ6" s="92"/>
    </row>
    <row r="7" spans="1:36" s="81" customFormat="1" ht="12.75" hidden="1">
      <c r="A7" s="93"/>
      <c r="B7" s="90">
        <f>P7+AC7+AD7+AE7+AF7+AG7+AH7</f>
        <v>0</v>
      </c>
      <c r="C7" s="9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1">
        <f>SUM(D7:O7)</f>
        <v>0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1">
        <f>SUM(Q7:AB7)</f>
        <v>0</v>
      </c>
      <c r="AD7" s="94"/>
      <c r="AE7" s="94"/>
      <c r="AF7" s="94"/>
      <c r="AG7" s="94"/>
      <c r="AH7" s="94"/>
      <c r="AI7" s="94"/>
      <c r="AJ7" s="92"/>
    </row>
    <row r="8" spans="1:35" ht="15" customHeight="1">
      <c r="A8" s="89" t="s">
        <v>287</v>
      </c>
      <c r="B8" s="90">
        <f aca="true" t="shared" si="3" ref="B8:B17">P8+AC8+AD8+AE8+AF8+AG8+AH8</f>
        <v>305089.3928571429</v>
      </c>
      <c r="C8" s="91"/>
      <c r="D8" s="91"/>
      <c r="E8" s="91"/>
      <c r="F8" s="91"/>
      <c r="G8" s="91"/>
      <c r="H8" s="91"/>
      <c r="I8" s="91"/>
      <c r="J8" s="91">
        <f aca="true" t="shared" si="4" ref="J8:AI8">SUM(J9:J10)</f>
        <v>0</v>
      </c>
      <c r="K8" s="91">
        <f t="shared" si="4"/>
        <v>0</v>
      </c>
      <c r="L8" s="91">
        <f t="shared" si="4"/>
        <v>0</v>
      </c>
      <c r="M8" s="91">
        <f t="shared" si="4"/>
        <v>4067.858571428571</v>
      </c>
      <c r="N8" s="91">
        <f t="shared" si="4"/>
        <v>4067.858571428571</v>
      </c>
      <c r="O8" s="91">
        <f t="shared" si="4"/>
        <v>4067.858571428571</v>
      </c>
      <c r="P8" s="91">
        <f t="shared" si="4"/>
        <v>12203.575714285715</v>
      </c>
      <c r="Q8" s="91">
        <f t="shared" si="4"/>
        <v>4067.858571428571</v>
      </c>
      <c r="R8" s="91">
        <f t="shared" si="4"/>
        <v>4067.858571428571</v>
      </c>
      <c r="S8" s="91">
        <f t="shared" si="4"/>
        <v>4067.858571428571</v>
      </c>
      <c r="T8" s="91">
        <f t="shared" si="4"/>
        <v>4067.858571428571</v>
      </c>
      <c r="U8" s="91">
        <f t="shared" si="4"/>
        <v>4067.858571428571</v>
      </c>
      <c r="V8" s="91">
        <f t="shared" si="4"/>
        <v>4067.858571428571</v>
      </c>
      <c r="W8" s="91">
        <f t="shared" si="4"/>
        <v>4067.858571428571</v>
      </c>
      <c r="X8" s="91">
        <f t="shared" si="4"/>
        <v>4067.858571428571</v>
      </c>
      <c r="Y8" s="91">
        <f t="shared" si="4"/>
        <v>4067.858571428571</v>
      </c>
      <c r="Z8" s="91">
        <f t="shared" si="4"/>
        <v>4067.858571428571</v>
      </c>
      <c r="AA8" s="91">
        <f t="shared" si="4"/>
        <v>4067.858571428571</v>
      </c>
      <c r="AB8" s="91">
        <f t="shared" si="4"/>
        <v>4067.858571428571</v>
      </c>
      <c r="AC8" s="91">
        <f t="shared" si="4"/>
        <v>48814.302857142866</v>
      </c>
      <c r="AD8" s="91">
        <f t="shared" si="4"/>
        <v>48814.30285714286</v>
      </c>
      <c r="AE8" s="91">
        <f t="shared" si="4"/>
        <v>48814.30285714286</v>
      </c>
      <c r="AF8" s="91">
        <f t="shared" si="4"/>
        <v>48814.30285714286</v>
      </c>
      <c r="AG8" s="91">
        <f t="shared" si="4"/>
        <v>48814.30285714286</v>
      </c>
      <c r="AH8" s="91">
        <f t="shared" si="4"/>
        <v>48814.30285714286</v>
      </c>
      <c r="AI8" s="91">
        <f t="shared" si="4"/>
        <v>48814.30285714286</v>
      </c>
    </row>
    <row r="9" spans="1:36" s="81" customFormat="1" ht="12.75">
      <c r="A9" s="287" t="s">
        <v>286</v>
      </c>
      <c r="B9" s="90">
        <f>P9+AC9+AD9+AE9+AF9+AG9+AH9</f>
        <v>217895.42410714284</v>
      </c>
      <c r="C9" s="91"/>
      <c r="D9" s="94"/>
      <c r="E9" s="94"/>
      <c r="F9" s="94"/>
      <c r="G9" s="94"/>
      <c r="H9" s="94"/>
      <c r="I9" s="94"/>
      <c r="J9" s="94"/>
      <c r="K9" s="94"/>
      <c r="L9" s="94"/>
      <c r="M9" s="94">
        <f>('Расх перем'!$E$5+'Расх перем'!$E$6)/12</f>
        <v>2905.272321428571</v>
      </c>
      <c r="N9" s="94">
        <f>('Расх перем'!$E$5+'Расх перем'!$E$6)/12</f>
        <v>2905.272321428571</v>
      </c>
      <c r="O9" s="94">
        <f>('Расх перем'!$E$5+'Расх перем'!$E$6)/12</f>
        <v>2905.272321428571</v>
      </c>
      <c r="P9" s="91">
        <f>SUM(D9:O9)</f>
        <v>8715.816964285714</v>
      </c>
      <c r="Q9" s="94">
        <f>('Расх перем'!$E$5+'Расх перем'!$E$6)/12</f>
        <v>2905.272321428571</v>
      </c>
      <c r="R9" s="94">
        <f>('Расх перем'!$E$5+'Расх перем'!$E$6)/12</f>
        <v>2905.272321428571</v>
      </c>
      <c r="S9" s="94">
        <f>('Расх перем'!$E$5+'Расх перем'!$E$6)/12</f>
        <v>2905.272321428571</v>
      </c>
      <c r="T9" s="94">
        <f>('Расх перем'!$E$5+'Расх перем'!$E$6)/12</f>
        <v>2905.272321428571</v>
      </c>
      <c r="U9" s="94">
        <f>('Расх перем'!$E$5+'Расх перем'!$E$6)/12</f>
        <v>2905.272321428571</v>
      </c>
      <c r="V9" s="94">
        <f>('Расх перем'!$E$5+'Расх перем'!$E$6)/12</f>
        <v>2905.272321428571</v>
      </c>
      <c r="W9" s="94">
        <f>('Расх перем'!$E$5+'Расх перем'!$E$6)/12</f>
        <v>2905.272321428571</v>
      </c>
      <c r="X9" s="94">
        <f>('Расх перем'!$E$5+'Расх перем'!$E$6)/12</f>
        <v>2905.272321428571</v>
      </c>
      <c r="Y9" s="94">
        <f>('Расх перем'!$E$5+'Расх перем'!$E$6)/12</f>
        <v>2905.272321428571</v>
      </c>
      <c r="Z9" s="94">
        <f>('Расх перем'!$E$5+'Расх перем'!$E$6)/12</f>
        <v>2905.272321428571</v>
      </c>
      <c r="AA9" s="94">
        <f>('Расх перем'!$E$5+'Расх перем'!$E$6)/12</f>
        <v>2905.272321428571</v>
      </c>
      <c r="AB9" s="94">
        <f>('Расх перем'!$E$5+'Расх перем'!$E$6)/12</f>
        <v>2905.272321428571</v>
      </c>
      <c r="AC9" s="91">
        <f>SUM(Q9:AB9)</f>
        <v>34863.26785714286</v>
      </c>
      <c r="AD9" s="94">
        <f>'Расх перем'!$E$5+'Расх перем'!$E$6</f>
        <v>34863.267857142855</v>
      </c>
      <c r="AE9" s="94">
        <f>'Расх перем'!$E$5+'Расх перем'!$E$6</f>
        <v>34863.267857142855</v>
      </c>
      <c r="AF9" s="94">
        <f>'Расх перем'!$E$5+'Расх перем'!$E$6</f>
        <v>34863.267857142855</v>
      </c>
      <c r="AG9" s="94">
        <f>'Расх перем'!$E$5+'Расх перем'!$E$6</f>
        <v>34863.267857142855</v>
      </c>
      <c r="AH9" s="94">
        <f>'Расх перем'!$E$5+'Расх перем'!$E$6</f>
        <v>34863.267857142855</v>
      </c>
      <c r="AI9" s="94">
        <f>'Расх перем'!$E$5+'Расх перем'!$E$6</f>
        <v>34863.267857142855</v>
      </c>
      <c r="AJ9" s="92"/>
    </row>
    <row r="10" spans="1:36" s="81" customFormat="1" ht="12.75">
      <c r="A10" s="287" t="s">
        <v>288</v>
      </c>
      <c r="B10" s="90">
        <f>P10+AC10+AD10+AE10+AF10+AG10+AH10</f>
        <v>87193.96875000001</v>
      </c>
      <c r="C10" s="91"/>
      <c r="D10" s="94"/>
      <c r="E10" s="94"/>
      <c r="F10" s="94"/>
      <c r="G10" s="94"/>
      <c r="H10" s="94"/>
      <c r="I10" s="94"/>
      <c r="J10" s="94"/>
      <c r="K10" s="94"/>
      <c r="L10" s="94"/>
      <c r="M10" s="94">
        <f>('Расх перем'!$E$7+'Расх перем'!$E$8)/12</f>
        <v>1162.58625</v>
      </c>
      <c r="N10" s="94">
        <f>('Расх перем'!$E$7+'Расх перем'!$E$8)/12</f>
        <v>1162.58625</v>
      </c>
      <c r="O10" s="94">
        <f>('Расх перем'!$E$7+'Расх перем'!$E$8)/12</f>
        <v>1162.58625</v>
      </c>
      <c r="P10" s="91">
        <f>SUM(D10:O10)</f>
        <v>3487.75875</v>
      </c>
      <c r="Q10" s="94">
        <f>('Расх перем'!$E$7+'Расх перем'!$E$8)/12</f>
        <v>1162.58625</v>
      </c>
      <c r="R10" s="94">
        <f>('Расх перем'!$E$7+'Расх перем'!$E$8)/12</f>
        <v>1162.58625</v>
      </c>
      <c r="S10" s="94">
        <f>('Расх перем'!$E$7+'Расх перем'!$E$8)/12</f>
        <v>1162.58625</v>
      </c>
      <c r="T10" s="94">
        <f>('Расх перем'!$E$7+'Расх перем'!$E$8)/12</f>
        <v>1162.58625</v>
      </c>
      <c r="U10" s="94">
        <f>('Расх перем'!$E$7+'Расх перем'!$E$8)/12</f>
        <v>1162.58625</v>
      </c>
      <c r="V10" s="94">
        <f>('Расх перем'!$E$7+'Расх перем'!$E$8)/12</f>
        <v>1162.58625</v>
      </c>
      <c r="W10" s="94">
        <f>('Расх перем'!$E$7+'Расх перем'!$E$8)/12</f>
        <v>1162.58625</v>
      </c>
      <c r="X10" s="94">
        <f>('Расх перем'!$E$7+'Расх перем'!$E$8)/12</f>
        <v>1162.58625</v>
      </c>
      <c r="Y10" s="94">
        <f>('Расх перем'!$E$7+'Расх перем'!$E$8)/12</f>
        <v>1162.58625</v>
      </c>
      <c r="Z10" s="94">
        <f>('Расх перем'!$E$7+'Расх перем'!$E$8)/12</f>
        <v>1162.58625</v>
      </c>
      <c r="AA10" s="94">
        <f>('Расх перем'!$E$7+'Расх перем'!$E$8)/12</f>
        <v>1162.58625</v>
      </c>
      <c r="AB10" s="94">
        <f>('Расх перем'!$E$7+'Расх перем'!$E$8)/12</f>
        <v>1162.58625</v>
      </c>
      <c r="AC10" s="91">
        <f>SUM(Q10:AB10)</f>
        <v>13951.035000000002</v>
      </c>
      <c r="AD10" s="94">
        <f>'Расх перем'!$E$7+'Расх перем'!$E$8</f>
        <v>13951.035</v>
      </c>
      <c r="AE10" s="94">
        <f>'Расх перем'!$E$7+'Расх перем'!$E$8</f>
        <v>13951.035</v>
      </c>
      <c r="AF10" s="94">
        <f>'Расх перем'!$E$7+'Расх перем'!$E$8</f>
        <v>13951.035</v>
      </c>
      <c r="AG10" s="94">
        <f>'Расх перем'!$E$7+'Расх перем'!$E$8</f>
        <v>13951.035</v>
      </c>
      <c r="AH10" s="94">
        <f>'Расх перем'!$E$7+'Расх перем'!$E$8</f>
        <v>13951.035</v>
      </c>
      <c r="AI10" s="94">
        <f>'Расх перем'!$E$7+'Расх перем'!$E$8</f>
        <v>13951.035</v>
      </c>
      <c r="AJ10" s="92"/>
    </row>
    <row r="11" spans="1:35" s="81" customFormat="1" ht="15" customHeight="1">
      <c r="A11" s="89" t="s">
        <v>15</v>
      </c>
      <c r="B11" s="90">
        <f t="shared" si="3"/>
        <v>348348.10714285704</v>
      </c>
      <c r="C11" s="95"/>
      <c r="D11" s="91">
        <f aca="true" t="shared" si="5" ref="D11:AI11">D5-D8</f>
        <v>0</v>
      </c>
      <c r="E11" s="91">
        <f t="shared" si="5"/>
        <v>0</v>
      </c>
      <c r="F11" s="91">
        <f t="shared" si="5"/>
        <v>0</v>
      </c>
      <c r="G11" s="91">
        <f t="shared" si="5"/>
        <v>0</v>
      </c>
      <c r="H11" s="91">
        <f t="shared" si="5"/>
        <v>0</v>
      </c>
      <c r="I11" s="91">
        <f t="shared" si="5"/>
        <v>0</v>
      </c>
      <c r="J11" s="91">
        <f t="shared" si="5"/>
        <v>0</v>
      </c>
      <c r="K11" s="91">
        <f t="shared" si="5"/>
        <v>0</v>
      </c>
      <c r="L11" s="91">
        <f t="shared" si="5"/>
        <v>0</v>
      </c>
      <c r="M11" s="91">
        <f t="shared" si="5"/>
        <v>-4067.858571428571</v>
      </c>
      <c r="N11" s="91">
        <f t="shared" si="5"/>
        <v>-4067.858571428571</v>
      </c>
      <c r="O11" s="91">
        <f t="shared" si="5"/>
        <v>-4067.858571428571</v>
      </c>
      <c r="P11" s="91">
        <f t="shared" si="5"/>
        <v>-12203.575714285715</v>
      </c>
      <c r="Q11" s="91">
        <f t="shared" si="5"/>
        <v>-4067.858571428571</v>
      </c>
      <c r="R11" s="91">
        <f t="shared" si="5"/>
        <v>-4067.858571428571</v>
      </c>
      <c r="S11" s="91">
        <f t="shared" si="5"/>
        <v>-4067.858571428571</v>
      </c>
      <c r="T11" s="91">
        <f t="shared" si="5"/>
        <v>-4067.858571428571</v>
      </c>
      <c r="U11" s="91">
        <f t="shared" si="5"/>
        <v>-4067.858571428571</v>
      </c>
      <c r="V11" s="91">
        <f t="shared" si="5"/>
        <v>-4067.858571428571</v>
      </c>
      <c r="W11" s="91">
        <f t="shared" si="5"/>
        <v>-4067.858571428571</v>
      </c>
      <c r="X11" s="91">
        <f t="shared" si="5"/>
        <v>-4067.858571428571</v>
      </c>
      <c r="Y11" s="91">
        <f t="shared" si="5"/>
        <v>-4067.858571428571</v>
      </c>
      <c r="Z11" s="91">
        <f t="shared" si="5"/>
        <v>6304.165238095238</v>
      </c>
      <c r="AA11" s="91">
        <f t="shared" si="5"/>
        <v>6304.165238095238</v>
      </c>
      <c r="AB11" s="91">
        <f t="shared" si="5"/>
        <v>6304.165238095238</v>
      </c>
      <c r="AC11" s="91">
        <f t="shared" si="5"/>
        <v>-17698.23142857144</v>
      </c>
      <c r="AD11" s="91">
        <f t="shared" si="5"/>
        <v>75649.98285714284</v>
      </c>
      <c r="AE11" s="91">
        <f t="shared" si="5"/>
        <v>75649.98285714284</v>
      </c>
      <c r="AF11" s="91">
        <f t="shared" si="5"/>
        <v>75649.98285714284</v>
      </c>
      <c r="AG11" s="91">
        <f t="shared" si="5"/>
        <v>75649.98285714284</v>
      </c>
      <c r="AH11" s="91">
        <f t="shared" si="5"/>
        <v>75649.98285714284</v>
      </c>
      <c r="AI11" s="91">
        <f t="shared" si="5"/>
        <v>75649.98285714284</v>
      </c>
    </row>
    <row r="12" spans="1:35" ht="15" customHeight="1">
      <c r="A12" s="96" t="s">
        <v>142</v>
      </c>
      <c r="B12" s="90">
        <f t="shared" si="3"/>
        <v>160743.401124442</v>
      </c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94">
        <f>Пост!$C$14+Пост!$C$16+Пост!$C$19</f>
        <v>2153.7302813616075</v>
      </c>
      <c r="N12" s="94">
        <f>Пост!$C$14+Пост!$C$16+Пост!$C$19</f>
        <v>2153.7302813616075</v>
      </c>
      <c r="O12" s="94">
        <f>Пост!$C$14+Пост!$C$16+Пост!$C$19</f>
        <v>2153.7302813616075</v>
      </c>
      <c r="P12" s="91">
        <f aca="true" t="shared" si="6" ref="P12:P17">SUM(D12:O12)</f>
        <v>6461.190844084822</v>
      </c>
      <c r="Q12" s="94">
        <f>Пост!$D$14+Пост!$D$16+Пост!$D$19</f>
        <v>2151.5459203125</v>
      </c>
      <c r="R12" s="94">
        <f>Пост!$D$14+Пост!$D$16+Пост!$D$19</f>
        <v>2151.5459203125</v>
      </c>
      <c r="S12" s="94">
        <f>Пост!$D$14+Пост!$D$16+Пост!$D$19</f>
        <v>2151.5459203125</v>
      </c>
      <c r="T12" s="94">
        <f>Пост!$D$14+Пост!$D$16+Пост!$D$19</f>
        <v>2151.5459203125</v>
      </c>
      <c r="U12" s="94">
        <f>Пост!$D$14+Пост!$D$16+Пост!$D$19</f>
        <v>2151.5459203125</v>
      </c>
      <c r="V12" s="94">
        <f>Пост!$D$14+Пост!$D$16+Пост!$D$19</f>
        <v>2151.5459203125</v>
      </c>
      <c r="W12" s="94">
        <f>Пост!$D$14+Пост!$D$16+Пост!$D$19</f>
        <v>2151.5459203125</v>
      </c>
      <c r="X12" s="94">
        <f>Пост!$D$14+Пост!$D$16+Пост!$D$19</f>
        <v>2151.5459203125</v>
      </c>
      <c r="Y12" s="94">
        <f>Пост!$D$14+Пост!$D$16+Пост!$D$19</f>
        <v>2151.5459203125</v>
      </c>
      <c r="Z12" s="94">
        <f>Пост!$D$14+Пост!$D$16+Пост!$D$19</f>
        <v>2151.5459203125</v>
      </c>
      <c r="AA12" s="94">
        <f>Пост!$D$14+Пост!$D$16+Пост!$D$19</f>
        <v>2151.5459203125</v>
      </c>
      <c r="AB12" s="94">
        <f>Пост!$D$14+Пост!$D$16+Пост!$D$19</f>
        <v>2151.5459203125</v>
      </c>
      <c r="AC12" s="91">
        <f aca="true" t="shared" si="7" ref="AC12:AC17">SUM(Q12:AB12)</f>
        <v>25818.551043749994</v>
      </c>
      <c r="AD12" s="94">
        <f>(Пост!E14+Пост!E16+Пост!E19)*12</f>
        <v>25776.611311607143</v>
      </c>
      <c r="AE12" s="94">
        <f>(Пост!F14+Пост!F16+Пост!F19)*12</f>
        <v>25734.671579464288</v>
      </c>
      <c r="AF12" s="94">
        <f>(Пост!G14+Пост!G16+Пост!G19)*12</f>
        <v>25692.731847321433</v>
      </c>
      <c r="AG12" s="94">
        <f>(Пост!H14+Пост!H16+Пост!H19)*12</f>
        <v>25650.79211517857</v>
      </c>
      <c r="AH12" s="94">
        <f>(Пост!I14+Пост!I16+Пост!I19)*12</f>
        <v>25608.852383035715</v>
      </c>
      <c r="AI12" s="94">
        <f>(Пост!J14+Пост!J16+Пост!J19)*12</f>
        <v>25566.91265089286</v>
      </c>
    </row>
    <row r="13" spans="1:35" ht="15" customHeight="1">
      <c r="A13" s="96" t="s">
        <v>74</v>
      </c>
      <c r="B13" s="90">
        <f t="shared" si="3"/>
        <v>44910.72172619049</v>
      </c>
      <c r="C13" s="91"/>
      <c r="D13" s="94"/>
      <c r="E13" s="94"/>
      <c r="F13" s="94"/>
      <c r="G13" s="94"/>
      <c r="H13" s="94"/>
      <c r="I13" s="94"/>
      <c r="J13" s="94"/>
      <c r="K13" s="94"/>
      <c r="L13" s="94"/>
      <c r="M13" s="94">
        <f>Пост!$C$29/3</f>
        <v>598.8096230158732</v>
      </c>
      <c r="N13" s="94">
        <f>Пост!$C$29/3</f>
        <v>598.8096230158732</v>
      </c>
      <c r="O13" s="94">
        <f>Пост!$C$29/3</f>
        <v>598.8096230158732</v>
      </c>
      <c r="P13" s="91">
        <f t="shared" si="6"/>
        <v>1796.4288690476196</v>
      </c>
      <c r="Q13" s="94">
        <f>Пост!$D$29/12</f>
        <v>598.8096230158732</v>
      </c>
      <c r="R13" s="94">
        <f>Пост!$D$29/12</f>
        <v>598.8096230158732</v>
      </c>
      <c r="S13" s="94">
        <f>Пост!$D$29/12</f>
        <v>598.8096230158732</v>
      </c>
      <c r="T13" s="94">
        <f>Пост!$D$29/12</f>
        <v>598.8096230158732</v>
      </c>
      <c r="U13" s="94">
        <f>Пост!$D$29/12</f>
        <v>598.8096230158732</v>
      </c>
      <c r="V13" s="94">
        <f>Пост!$D$29/12</f>
        <v>598.8096230158732</v>
      </c>
      <c r="W13" s="94">
        <f>Пост!$D$29/12</f>
        <v>598.8096230158732</v>
      </c>
      <c r="X13" s="94">
        <f>Пост!$D$29/12</f>
        <v>598.8096230158732</v>
      </c>
      <c r="Y13" s="94">
        <f>Пост!$D$29/12</f>
        <v>598.8096230158732</v>
      </c>
      <c r="Z13" s="94">
        <f>Пост!$D$29/12</f>
        <v>598.8096230158732</v>
      </c>
      <c r="AA13" s="94">
        <f>Пост!$D$29/12</f>
        <v>598.8096230158732</v>
      </c>
      <c r="AB13" s="94">
        <f>Пост!$D$29/12</f>
        <v>598.8096230158732</v>
      </c>
      <c r="AC13" s="91">
        <f t="shared" si="7"/>
        <v>7185.715476190479</v>
      </c>
      <c r="AD13" s="94">
        <f>Пост!E29</f>
        <v>7185.7154761904785</v>
      </c>
      <c r="AE13" s="94">
        <f>Пост!F29</f>
        <v>7185.7154761904785</v>
      </c>
      <c r="AF13" s="94">
        <f>Пост!G29</f>
        <v>7185.7154761904785</v>
      </c>
      <c r="AG13" s="94">
        <f>Пост!H29</f>
        <v>7185.7154761904785</v>
      </c>
      <c r="AH13" s="94">
        <f>Пост!I29</f>
        <v>7185.7154761904785</v>
      </c>
      <c r="AI13" s="94">
        <f>Пост!J29</f>
        <v>7185.7154761904785</v>
      </c>
    </row>
    <row r="14" spans="1:35" ht="15" customHeight="1">
      <c r="A14" s="96" t="s">
        <v>25</v>
      </c>
      <c r="B14" s="90">
        <f t="shared" si="3"/>
        <v>41568.72187928705</v>
      </c>
      <c r="C14" s="91"/>
      <c r="D14" s="94">
        <f>кр!C9</f>
        <v>0</v>
      </c>
      <c r="E14" s="94">
        <f>кр!D9</f>
        <v>11.958333333333334</v>
      </c>
      <c r="F14" s="94">
        <f>кр!E9</f>
        <v>23.916666666666668</v>
      </c>
      <c r="G14" s="94">
        <f>кр!F9</f>
        <v>173.87097777777785</v>
      </c>
      <c r="H14" s="94">
        <f>кр!G9</f>
        <v>382.660288888889</v>
      </c>
      <c r="I14" s="94">
        <f>кр!H9</f>
        <v>441.495288888889</v>
      </c>
      <c r="J14" s="94">
        <f>кр!I9</f>
        <v>508.10806666666673</v>
      </c>
      <c r="K14" s="94">
        <f>кр!J9</f>
        <v>574.7208444444445</v>
      </c>
      <c r="L14" s="94">
        <f>кр!K9</f>
        <v>641.3336222222223</v>
      </c>
      <c r="M14" s="94">
        <f>кр!L9</f>
        <v>795.5355333333335</v>
      </c>
      <c r="N14" s="94">
        <f>кр!M9</f>
        <v>795.5355333333335</v>
      </c>
      <c r="O14" s="94">
        <f>кр!N9</f>
        <v>795.5355333333335</v>
      </c>
      <c r="P14" s="91">
        <f t="shared" si="6"/>
        <v>5144.67068888889</v>
      </c>
      <c r="Q14" s="94">
        <f>кр!P9</f>
        <v>795.5355333333335</v>
      </c>
      <c r="R14" s="94">
        <f>кр!Q9</f>
        <v>795.5355333333335</v>
      </c>
      <c r="S14" s="94">
        <f>кр!R9</f>
        <v>795.5355333333335</v>
      </c>
      <c r="T14" s="94">
        <f>кр!S9</f>
        <v>795.5355333333335</v>
      </c>
      <c r="U14" s="94">
        <f>кр!T9</f>
        <v>795.5355333333335</v>
      </c>
      <c r="V14" s="94">
        <f>кр!U9</f>
        <v>795.5355333333335</v>
      </c>
      <c r="W14" s="94">
        <f>кр!V9</f>
        <v>795.5355333333335</v>
      </c>
      <c r="X14" s="94">
        <f>кр!W9</f>
        <v>795.5355333333335</v>
      </c>
      <c r="Y14" s="94">
        <f>кр!X9</f>
        <v>795.5355333333335</v>
      </c>
      <c r="Z14" s="94">
        <f>кр!Y9</f>
        <v>795.5355333333335</v>
      </c>
      <c r="AA14" s="94">
        <f>кр!Z9</f>
        <v>795.5355333333335</v>
      </c>
      <c r="AB14" s="94">
        <f>кр!AA9</f>
        <v>795.5355333333335</v>
      </c>
      <c r="AC14" s="91">
        <f t="shared" si="7"/>
        <v>9546.426400000002</v>
      </c>
      <c r="AD14" s="94">
        <f>кр!AO9</f>
        <v>9605.446236568516</v>
      </c>
      <c r="AE14" s="94">
        <f>кр!BB9</f>
        <v>7490.485597324074</v>
      </c>
      <c r="AF14" s="94">
        <f>кр!BO9</f>
        <v>5375.524958079631</v>
      </c>
      <c r="AG14" s="94">
        <f>кр!CB9</f>
        <v>3260.5643188351887</v>
      </c>
      <c r="AH14" s="94">
        <f>кр!CO9</f>
        <v>1145.6036795907448</v>
      </c>
      <c r="AI14" s="94">
        <f>кр!DB9</f>
        <v>3.628883860073984E-12</v>
      </c>
    </row>
    <row r="15" spans="1:35" ht="15" customHeight="1">
      <c r="A15" s="96" t="s">
        <v>205</v>
      </c>
      <c r="B15" s="90">
        <f t="shared" si="3"/>
        <v>101125.26241293752</v>
      </c>
      <c r="C15" s="95"/>
      <c r="D15" s="94">
        <f>D11-D12-D14-D13</f>
        <v>0</v>
      </c>
      <c r="E15" s="94">
        <f aca="true" t="shared" si="8" ref="E15:O15">E11-E12-E14-E13</f>
        <v>-11.958333333333334</v>
      </c>
      <c r="F15" s="94">
        <f t="shared" si="8"/>
        <v>-23.916666666666668</v>
      </c>
      <c r="G15" s="94">
        <f t="shared" si="8"/>
        <v>-173.87097777777785</v>
      </c>
      <c r="H15" s="94">
        <f t="shared" si="8"/>
        <v>-382.660288888889</v>
      </c>
      <c r="I15" s="94">
        <f t="shared" si="8"/>
        <v>-441.495288888889</v>
      </c>
      <c r="J15" s="94">
        <f t="shared" si="8"/>
        <v>-508.10806666666673</v>
      </c>
      <c r="K15" s="94">
        <f t="shared" si="8"/>
        <v>-574.7208444444445</v>
      </c>
      <c r="L15" s="94">
        <f t="shared" si="8"/>
        <v>-641.3336222222223</v>
      </c>
      <c r="M15" s="94">
        <f t="shared" si="8"/>
        <v>-7615.934009139386</v>
      </c>
      <c r="N15" s="94">
        <f t="shared" si="8"/>
        <v>-7615.934009139386</v>
      </c>
      <c r="O15" s="94">
        <f t="shared" si="8"/>
        <v>-7615.934009139386</v>
      </c>
      <c r="P15" s="91">
        <f t="shared" si="6"/>
        <v>-25605.866116307046</v>
      </c>
      <c r="Q15" s="94">
        <f aca="true" t="shared" si="9" ref="Q15:AB15">Q11-Q12-Q14-Q13</f>
        <v>-7613.749648090278</v>
      </c>
      <c r="R15" s="94">
        <f t="shared" si="9"/>
        <v>-7613.749648090278</v>
      </c>
      <c r="S15" s="94">
        <f t="shared" si="9"/>
        <v>-7613.749648090278</v>
      </c>
      <c r="T15" s="94">
        <f t="shared" si="9"/>
        <v>-7613.749648090278</v>
      </c>
      <c r="U15" s="94">
        <f t="shared" si="9"/>
        <v>-7613.749648090278</v>
      </c>
      <c r="V15" s="94">
        <f t="shared" si="9"/>
        <v>-7613.749648090278</v>
      </c>
      <c r="W15" s="94">
        <f t="shared" si="9"/>
        <v>-7613.749648090278</v>
      </c>
      <c r="X15" s="94">
        <f t="shared" si="9"/>
        <v>-7613.749648090278</v>
      </c>
      <c r="Y15" s="94">
        <f t="shared" si="9"/>
        <v>-7613.749648090278</v>
      </c>
      <c r="Z15" s="94">
        <f t="shared" si="9"/>
        <v>2758.2741614335314</v>
      </c>
      <c r="AA15" s="94">
        <f t="shared" si="9"/>
        <v>2758.2741614335314</v>
      </c>
      <c r="AB15" s="94">
        <f t="shared" si="9"/>
        <v>2758.2741614335314</v>
      </c>
      <c r="AC15" s="91">
        <f t="shared" si="7"/>
        <v>-60248.92434851192</v>
      </c>
      <c r="AD15" s="94">
        <f aca="true" t="shared" si="10" ref="AD15:AI15">AD11-AD12-AD14-AD13</f>
        <v>33082.2098327767</v>
      </c>
      <c r="AE15" s="94">
        <f t="shared" si="10"/>
        <v>35239.110204164</v>
      </c>
      <c r="AF15" s="94">
        <f t="shared" si="10"/>
        <v>37396.01057555129</v>
      </c>
      <c r="AG15" s="94">
        <f t="shared" si="10"/>
        <v>39552.9109469386</v>
      </c>
      <c r="AH15" s="94">
        <f t="shared" si="10"/>
        <v>41709.8113183259</v>
      </c>
      <c r="AI15" s="94">
        <f t="shared" si="10"/>
        <v>42897.354730059495</v>
      </c>
    </row>
    <row r="16" spans="1:35" ht="15" customHeight="1">
      <c r="A16" s="96" t="s">
        <v>262</v>
      </c>
      <c r="B16" s="90">
        <f t="shared" si="3"/>
        <v>20225.052482587504</v>
      </c>
      <c r="C16" s="91"/>
      <c r="D16" s="94">
        <f>IF(D15+C18&lt;0,0,IF(C18&lt;0,(C18+D15)*Исх!$C$20,D15*Исх!$C$20))</f>
        <v>0</v>
      </c>
      <c r="E16" s="94">
        <f>IF(E15+D18&lt;0,0,IF(D18&lt;0,(D18+E15)*Исх!$C$20,E15*Исх!$C$20))</f>
        <v>0</v>
      </c>
      <c r="F16" s="94">
        <f>IF(F15+E18&lt;0,0,IF(E18&lt;0,(E18+F15)*Исх!$C$20,F15*Исх!$C$20))</f>
        <v>0</v>
      </c>
      <c r="G16" s="94">
        <f>IF(G15+F18&lt;0,0,IF(F18&lt;0,(F18+G15)*Исх!$C$20,G15*Исх!$C$20))</f>
        <v>0</v>
      </c>
      <c r="H16" s="94">
        <f>IF(H15+G18&lt;0,0,IF(G18&lt;0,(G18+H15)*Исх!$C$20,H15*Исх!$C$20))</f>
        <v>0</v>
      </c>
      <c r="I16" s="94">
        <f>IF(I15+H18&lt;0,0,IF(H18&lt;0,(H18+I15)*Исх!$C$20,I15*Исх!$C$20))</f>
        <v>0</v>
      </c>
      <c r="J16" s="94">
        <f>IF(J15+I18&lt;0,0,IF(I18&lt;0,(I18+J15)*Исх!$C$20,J15*Исх!$C$20))</f>
        <v>0</v>
      </c>
      <c r="K16" s="94">
        <f>IF(K15+J18&lt;0,0,IF(J18&lt;0,(J18+K15)*Исх!$C$20,K15*Исх!$C$20))</f>
        <v>0</v>
      </c>
      <c r="L16" s="94">
        <f>IF(L15+K18&lt;0,0,IF(K18&lt;0,(K18+L15)*Исх!$C$20,L15*Исх!$C$20))</f>
        <v>0</v>
      </c>
      <c r="M16" s="94">
        <f>IF(M15+L18&lt;0,0,IF(L18&lt;0,(L18+M15)*Исх!$C$20,M15*Исх!$C$20))</f>
        <v>0</v>
      </c>
      <c r="N16" s="94">
        <f>IF(N15+M18&lt;0,0,IF(M18&lt;0,(M18+N15)*Исх!$C$20,N15*Исх!$C$20))</f>
        <v>0</v>
      </c>
      <c r="O16" s="94">
        <f>IF(O15+N18&lt;0,0,IF(N18&lt;0,(N18+O15)*Исх!$C$20,O15*Исх!$C$20))</f>
        <v>0</v>
      </c>
      <c r="P16" s="91">
        <f t="shared" si="6"/>
        <v>0</v>
      </c>
      <c r="Q16" s="94">
        <f>IF(Q15+P18&lt;0,0,IF(P18&lt;0,(P18+Q15)*Исх!$C$20,Q15*Исх!$C$20))</f>
        <v>0</v>
      </c>
      <c r="R16" s="94">
        <f>IF(R15+Q18&lt;0,0,IF(Q18&lt;0,(Q18+R15)*Исх!$C$20,R15*Исх!$C$20))</f>
        <v>0</v>
      </c>
      <c r="S16" s="94">
        <f>IF(S15+R18&lt;0,0,IF(R18&lt;0,(R18+S15)*Исх!$C$20,S15*Исх!$C$20))</f>
        <v>0</v>
      </c>
      <c r="T16" s="94">
        <f>IF(T15+S18&lt;0,0,IF(S18&lt;0,(S18+T15)*Исх!$C$20,T15*Исх!$C$20))</f>
        <v>0</v>
      </c>
      <c r="U16" s="94">
        <f>IF(U15+T18&lt;0,0,IF(T18&lt;0,(T18+U15)*Исх!$C$20,U15*Исх!$C$20))</f>
        <v>0</v>
      </c>
      <c r="V16" s="94">
        <f>IF(V15+U18&lt;0,0,IF(U18&lt;0,(U18+V15)*Исх!$C$20,V15*Исх!$C$20))</f>
        <v>0</v>
      </c>
      <c r="W16" s="94">
        <f>IF(W15+V18&lt;0,0,IF(V18&lt;0,(V18+W15)*Исх!$C$20,W15*Исх!$C$20))</f>
        <v>0</v>
      </c>
      <c r="X16" s="94">
        <f>IF(X15+W18&lt;0,0,IF(W18&lt;0,(W18+X15)*Исх!$C$20,X15*Исх!$C$20))</f>
        <v>0</v>
      </c>
      <c r="Y16" s="94">
        <f>IF(Y15+X18&lt;0,0,IF(X18&lt;0,(X18+Y15)*Исх!$C$20,Y15*Исх!$C$20))</f>
        <v>0</v>
      </c>
      <c r="Z16" s="94">
        <f>IF(Z15+Y18&lt;0,0,IF(Y18&lt;0,(Y18+Z15)*Исх!$C$20,Z15*Исх!$C$20))</f>
        <v>0</v>
      </c>
      <c r="AA16" s="94">
        <f>IF(AA15+Z18&lt;0,0,IF(Z18&lt;0,(Z18+AA15)*Исх!$C$20,AA15*Исх!$C$20))</f>
        <v>0</v>
      </c>
      <c r="AB16" s="94">
        <f>IF(AB15+AA18&lt;0,0,IF(AA18&lt;0,(AA18+AB15)*Исх!$C$20,AB15*Исх!$C$20))</f>
        <v>0</v>
      </c>
      <c r="AC16" s="91">
        <f t="shared" si="7"/>
        <v>0</v>
      </c>
      <c r="AD16" s="94">
        <f>IF(AD15+AC18&lt;0,0,IF(AC18&lt;0,(AC18+AD15)*Исх!$C$20,AD15*Исх!$C$20))</f>
        <v>0</v>
      </c>
      <c r="AE16" s="94">
        <f>IF(AE15+AD18&lt;0,0,IF(AD18&lt;0,(AD18+AE15)*Исх!$C$20,AE15*Исх!$C$20))</f>
        <v>0</v>
      </c>
      <c r="AF16" s="94">
        <f>IF(AF15+AE18&lt;0,0,IF(AE18&lt;0,(AE18+AF15)*Исх!$C$20,AF15*Исх!$C$20))</f>
        <v>3972.508029534604</v>
      </c>
      <c r="AG16" s="94">
        <f>IF(AG15+AF18&lt;0,0,IF(AF18&lt;0,(AF18+AG15)*Исх!$C$20,AG15*Исх!$C$20))</f>
        <v>7910.582189387721</v>
      </c>
      <c r="AH16" s="94">
        <f>IF(AH15+AG18&lt;0,0,IF(AG18&lt;0,(AG18+AH15)*Исх!$C$20,AH15*Исх!$C$20))</f>
        <v>8341.96226366518</v>
      </c>
      <c r="AI16" s="94">
        <f>IF(AI15+AH18&lt;0,0,IF(AH18&lt;0,(AH18+AI15)*Исх!$C$20,AI15*Исх!$C$20))</f>
        <v>8579.4709460119</v>
      </c>
    </row>
    <row r="17" spans="1:35" s="81" customFormat="1" ht="15" customHeight="1">
      <c r="A17" s="89" t="s">
        <v>212</v>
      </c>
      <c r="B17" s="90">
        <f t="shared" si="3"/>
        <v>80900.20993035001</v>
      </c>
      <c r="C17" s="95"/>
      <c r="D17" s="91">
        <f aca="true" t="shared" si="11" ref="D17:Q17">D15-D16</f>
        <v>0</v>
      </c>
      <c r="E17" s="91">
        <f>E15-E16</f>
        <v>-11.958333333333334</v>
      </c>
      <c r="F17" s="91">
        <f t="shared" si="11"/>
        <v>-23.916666666666668</v>
      </c>
      <c r="G17" s="91">
        <f t="shared" si="11"/>
        <v>-173.87097777777785</v>
      </c>
      <c r="H17" s="91">
        <f t="shared" si="11"/>
        <v>-382.660288888889</v>
      </c>
      <c r="I17" s="91">
        <f t="shared" si="11"/>
        <v>-441.495288888889</v>
      </c>
      <c r="J17" s="91">
        <f t="shared" si="11"/>
        <v>-508.10806666666673</v>
      </c>
      <c r="K17" s="91">
        <f t="shared" si="11"/>
        <v>-574.7208444444445</v>
      </c>
      <c r="L17" s="91">
        <f t="shared" si="11"/>
        <v>-641.3336222222223</v>
      </c>
      <c r="M17" s="91">
        <f t="shared" si="11"/>
        <v>-7615.934009139386</v>
      </c>
      <c r="N17" s="91">
        <f t="shared" si="11"/>
        <v>-7615.934009139386</v>
      </c>
      <c r="O17" s="91">
        <f t="shared" si="11"/>
        <v>-7615.934009139386</v>
      </c>
      <c r="P17" s="91">
        <f t="shared" si="6"/>
        <v>-25605.866116307046</v>
      </c>
      <c r="Q17" s="91">
        <f t="shared" si="11"/>
        <v>-7613.749648090278</v>
      </c>
      <c r="R17" s="91">
        <f aca="true" t="shared" si="12" ref="R17:AF17">R15-R16</f>
        <v>-7613.749648090278</v>
      </c>
      <c r="S17" s="91">
        <f t="shared" si="12"/>
        <v>-7613.749648090278</v>
      </c>
      <c r="T17" s="91">
        <f t="shared" si="12"/>
        <v>-7613.749648090278</v>
      </c>
      <c r="U17" s="91">
        <f t="shared" si="12"/>
        <v>-7613.749648090278</v>
      </c>
      <c r="V17" s="91">
        <f t="shared" si="12"/>
        <v>-7613.749648090278</v>
      </c>
      <c r="W17" s="91">
        <f t="shared" si="12"/>
        <v>-7613.749648090278</v>
      </c>
      <c r="X17" s="91">
        <f t="shared" si="12"/>
        <v>-7613.749648090278</v>
      </c>
      <c r="Y17" s="91">
        <f t="shared" si="12"/>
        <v>-7613.749648090278</v>
      </c>
      <c r="Z17" s="91">
        <f t="shared" si="12"/>
        <v>2758.2741614335314</v>
      </c>
      <c r="AA17" s="91">
        <f t="shared" si="12"/>
        <v>2758.2741614335314</v>
      </c>
      <c r="AB17" s="91">
        <f t="shared" si="12"/>
        <v>2758.2741614335314</v>
      </c>
      <c r="AC17" s="91">
        <f t="shared" si="7"/>
        <v>-60248.92434851192</v>
      </c>
      <c r="AD17" s="91">
        <f t="shared" si="12"/>
        <v>33082.2098327767</v>
      </c>
      <c r="AE17" s="91">
        <f t="shared" si="12"/>
        <v>35239.110204164</v>
      </c>
      <c r="AF17" s="91">
        <f t="shared" si="12"/>
        <v>33423.50254601669</v>
      </c>
      <c r="AG17" s="91">
        <f>AG15-AG16</f>
        <v>31642.32875755088</v>
      </c>
      <c r="AH17" s="91">
        <f>AH15-AH16</f>
        <v>33367.84905466072</v>
      </c>
      <c r="AI17" s="91">
        <f>AI15-AI16</f>
        <v>34317.8837840476</v>
      </c>
    </row>
    <row r="18" spans="1:35" ht="15" customHeight="1">
      <c r="A18" s="96" t="s">
        <v>213</v>
      </c>
      <c r="B18" s="97">
        <f>AH18</f>
        <v>80900.20993035001</v>
      </c>
      <c r="C18" s="98"/>
      <c r="D18" s="94">
        <f>C18+D17</f>
        <v>0</v>
      </c>
      <c r="E18" s="94">
        <f>D18+E17</f>
        <v>-11.958333333333334</v>
      </c>
      <c r="F18" s="94">
        <f aca="true" t="shared" si="13" ref="F18:O18">E18+F17</f>
        <v>-35.875</v>
      </c>
      <c r="G18" s="94">
        <f t="shared" si="13"/>
        <v>-209.74597777777785</v>
      </c>
      <c r="H18" s="94">
        <f t="shared" si="13"/>
        <v>-592.4062666666669</v>
      </c>
      <c r="I18" s="94">
        <f t="shared" si="13"/>
        <v>-1033.901555555556</v>
      </c>
      <c r="J18" s="94">
        <f t="shared" si="13"/>
        <v>-1542.0096222222226</v>
      </c>
      <c r="K18" s="94">
        <f t="shared" si="13"/>
        <v>-2116.730466666667</v>
      </c>
      <c r="L18" s="94">
        <f t="shared" si="13"/>
        <v>-2758.0640888888893</v>
      </c>
      <c r="M18" s="94">
        <f t="shared" si="13"/>
        <v>-10373.998098028274</v>
      </c>
      <c r="N18" s="94">
        <f t="shared" si="13"/>
        <v>-17989.93210716766</v>
      </c>
      <c r="O18" s="94">
        <f t="shared" si="13"/>
        <v>-25605.866116307046</v>
      </c>
      <c r="P18" s="91">
        <f>O18</f>
        <v>-25605.866116307046</v>
      </c>
      <c r="Q18" s="94">
        <f>P18+Q17</f>
        <v>-33219.61576439733</v>
      </c>
      <c r="R18" s="94">
        <f aca="true" t="shared" si="14" ref="R18:AA18">Q18+R17</f>
        <v>-40833.365412487605</v>
      </c>
      <c r="S18" s="94">
        <f t="shared" si="14"/>
        <v>-48447.11506057788</v>
      </c>
      <c r="T18" s="94">
        <f t="shared" si="14"/>
        <v>-56060.86470866816</v>
      </c>
      <c r="U18" s="94">
        <f t="shared" si="14"/>
        <v>-63674.61435675844</v>
      </c>
      <c r="V18" s="94">
        <f t="shared" si="14"/>
        <v>-71288.36400484871</v>
      </c>
      <c r="W18" s="94">
        <f t="shared" si="14"/>
        <v>-78902.11365293899</v>
      </c>
      <c r="X18" s="94">
        <f t="shared" si="14"/>
        <v>-86515.86330102927</v>
      </c>
      <c r="Y18" s="94">
        <f t="shared" si="14"/>
        <v>-94129.61294911955</v>
      </c>
      <c r="Z18" s="94">
        <f t="shared" si="14"/>
        <v>-91371.33878768602</v>
      </c>
      <c r="AA18" s="94">
        <f t="shared" si="14"/>
        <v>-88613.0646262525</v>
      </c>
      <c r="AB18" s="94">
        <f>AA18+AB17</f>
        <v>-85854.79046481897</v>
      </c>
      <c r="AC18" s="91">
        <f>AB18</f>
        <v>-85854.79046481897</v>
      </c>
      <c r="AD18" s="94">
        <f aca="true" t="shared" si="15" ref="AD18:AI18">AC18+AD17</f>
        <v>-52772.58063204227</v>
      </c>
      <c r="AE18" s="94">
        <f t="shared" si="15"/>
        <v>-17533.470427878274</v>
      </c>
      <c r="AF18" s="94">
        <f t="shared" si="15"/>
        <v>15890.032118138413</v>
      </c>
      <c r="AG18" s="94">
        <f t="shared" si="15"/>
        <v>47532.36087568929</v>
      </c>
      <c r="AH18" s="94">
        <f t="shared" si="15"/>
        <v>80900.20993035001</v>
      </c>
      <c r="AI18" s="94">
        <f t="shared" si="15"/>
        <v>115218.0937143976</v>
      </c>
    </row>
    <row r="19" spans="1:178" ht="1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</row>
    <row r="20" spans="1:178" ht="15" customHeight="1">
      <c r="A20" s="82"/>
      <c r="B20" s="100"/>
      <c r="C20" s="100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</row>
    <row r="21" spans="1:178" ht="1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</row>
    <row r="22" spans="1:35" ht="12.75">
      <c r="A22" s="101" t="s">
        <v>50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48" s="105" customFormat="1" ht="12.75">
      <c r="A23" s="298" t="s">
        <v>2</v>
      </c>
      <c r="B23" s="301" t="s">
        <v>0</v>
      </c>
      <c r="C23" s="102"/>
      <c r="D23" s="292">
        <f>D3</f>
        <v>2014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4"/>
      <c r="Q23" s="292">
        <f>Q3</f>
        <v>2015</v>
      </c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4"/>
      <c r="AD23" s="103">
        <f aca="true" t="shared" si="16" ref="AD23:AI23">AD3</f>
        <v>2016</v>
      </c>
      <c r="AE23" s="103">
        <f t="shared" si="16"/>
        <v>2017</v>
      </c>
      <c r="AF23" s="103">
        <f t="shared" si="16"/>
        <v>2018</v>
      </c>
      <c r="AG23" s="103">
        <f t="shared" si="16"/>
        <v>2019</v>
      </c>
      <c r="AH23" s="103">
        <f t="shared" si="16"/>
        <v>2020</v>
      </c>
      <c r="AI23" s="103">
        <f t="shared" si="16"/>
        <v>2021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</row>
    <row r="24" spans="1:48" s="105" customFormat="1" ht="19.5" customHeight="1">
      <c r="A24" s="299"/>
      <c r="B24" s="302"/>
      <c r="C24" s="106"/>
      <c r="D24" s="107">
        <f>D4</f>
        <v>1</v>
      </c>
      <c r="E24" s="107">
        <f aca="true" t="shared" si="17" ref="E24:O24">E4</f>
        <v>2</v>
      </c>
      <c r="F24" s="107">
        <f t="shared" si="17"/>
        <v>3</v>
      </c>
      <c r="G24" s="107">
        <f t="shared" si="17"/>
        <v>4</v>
      </c>
      <c r="H24" s="107">
        <f t="shared" si="17"/>
        <v>5</v>
      </c>
      <c r="I24" s="107">
        <f t="shared" si="17"/>
        <v>6</v>
      </c>
      <c r="J24" s="107">
        <f t="shared" si="17"/>
        <v>7</v>
      </c>
      <c r="K24" s="107">
        <f t="shared" si="17"/>
        <v>8</v>
      </c>
      <c r="L24" s="107">
        <f t="shared" si="17"/>
        <v>9</v>
      </c>
      <c r="M24" s="107">
        <f t="shared" si="17"/>
        <v>10</v>
      </c>
      <c r="N24" s="107">
        <f t="shared" si="17"/>
        <v>11</v>
      </c>
      <c r="O24" s="107">
        <f t="shared" si="17"/>
        <v>12</v>
      </c>
      <c r="P24" s="108" t="s">
        <v>0</v>
      </c>
      <c r="Q24" s="107">
        <f>Q4</f>
        <v>1</v>
      </c>
      <c r="R24" s="107">
        <f aca="true" t="shared" si="18" ref="R24:AB24">R4</f>
        <v>2</v>
      </c>
      <c r="S24" s="107">
        <f t="shared" si="18"/>
        <v>3</v>
      </c>
      <c r="T24" s="107">
        <f t="shared" si="18"/>
        <v>4</v>
      </c>
      <c r="U24" s="107">
        <f t="shared" si="18"/>
        <v>5</v>
      </c>
      <c r="V24" s="107">
        <f t="shared" si="18"/>
        <v>6</v>
      </c>
      <c r="W24" s="107">
        <f t="shared" si="18"/>
        <v>7</v>
      </c>
      <c r="X24" s="107">
        <f t="shared" si="18"/>
        <v>8</v>
      </c>
      <c r="Y24" s="107">
        <f t="shared" si="18"/>
        <v>9</v>
      </c>
      <c r="Z24" s="107">
        <f t="shared" si="18"/>
        <v>10</v>
      </c>
      <c r="AA24" s="107">
        <f t="shared" si="18"/>
        <v>11</v>
      </c>
      <c r="AB24" s="107">
        <f t="shared" si="18"/>
        <v>12</v>
      </c>
      <c r="AC24" s="108" t="s">
        <v>0</v>
      </c>
      <c r="AD24" s="108"/>
      <c r="AE24" s="108"/>
      <c r="AF24" s="108"/>
      <c r="AG24" s="108"/>
      <c r="AH24" s="108"/>
      <c r="AI24" s="108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</row>
    <row r="25" spans="1:48" s="105" customFormat="1" ht="12.7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</row>
    <row r="26" spans="1:48" s="105" customFormat="1" ht="12.75">
      <c r="A26" s="109" t="s">
        <v>160</v>
      </c>
      <c r="B26" s="97">
        <f>P26+AC26+AD26+AE26+AF26+AG26+AH26</f>
        <v>78412.49999999999</v>
      </c>
      <c r="C26" s="111"/>
      <c r="D26" s="111">
        <f aca="true" t="shared" si="19" ref="D26:O26">D5*ндс</f>
        <v>0</v>
      </c>
      <c r="E26" s="111">
        <f t="shared" si="19"/>
        <v>0</v>
      </c>
      <c r="F26" s="111">
        <f t="shared" si="19"/>
        <v>0</v>
      </c>
      <c r="G26" s="111">
        <f t="shared" si="19"/>
        <v>0</v>
      </c>
      <c r="H26" s="111">
        <f t="shared" si="19"/>
        <v>0</v>
      </c>
      <c r="I26" s="111">
        <f t="shared" si="19"/>
        <v>0</v>
      </c>
      <c r="J26" s="111">
        <f t="shared" si="19"/>
        <v>0</v>
      </c>
      <c r="K26" s="111">
        <f t="shared" si="19"/>
        <v>0</v>
      </c>
      <c r="L26" s="111">
        <f t="shared" si="19"/>
        <v>0</v>
      </c>
      <c r="M26" s="111">
        <f t="shared" si="19"/>
        <v>0</v>
      </c>
      <c r="N26" s="111">
        <f t="shared" si="19"/>
        <v>0</v>
      </c>
      <c r="O26" s="111">
        <f t="shared" si="19"/>
        <v>0</v>
      </c>
      <c r="P26" s="112">
        <f>SUM(D26:O26)</f>
        <v>0</v>
      </c>
      <c r="Q26" s="111">
        <f aca="true" t="shared" si="20" ref="Q26:AB26">Q5*ндс</f>
        <v>0</v>
      </c>
      <c r="R26" s="111">
        <f t="shared" si="20"/>
        <v>0</v>
      </c>
      <c r="S26" s="111">
        <f t="shared" si="20"/>
        <v>0</v>
      </c>
      <c r="T26" s="111">
        <f t="shared" si="20"/>
        <v>0</v>
      </c>
      <c r="U26" s="111">
        <f t="shared" si="20"/>
        <v>0</v>
      </c>
      <c r="V26" s="111">
        <f t="shared" si="20"/>
        <v>0</v>
      </c>
      <c r="W26" s="111">
        <f t="shared" si="20"/>
        <v>0</v>
      </c>
      <c r="X26" s="111">
        <f t="shared" si="20"/>
        <v>0</v>
      </c>
      <c r="Y26" s="111">
        <f t="shared" si="20"/>
        <v>0</v>
      </c>
      <c r="Z26" s="111">
        <f t="shared" si="20"/>
        <v>1244.642857142857</v>
      </c>
      <c r="AA26" s="111">
        <f t="shared" si="20"/>
        <v>1244.642857142857</v>
      </c>
      <c r="AB26" s="111">
        <f t="shared" si="20"/>
        <v>1244.642857142857</v>
      </c>
      <c r="AC26" s="112">
        <f>SUM(Q26:AB26)</f>
        <v>3733.9285714285716</v>
      </c>
      <c r="AD26" s="111">
        <f aca="true" t="shared" si="21" ref="AD26:AI26">AD5*ндс</f>
        <v>14935.714285714283</v>
      </c>
      <c r="AE26" s="111">
        <f t="shared" si="21"/>
        <v>14935.714285714283</v>
      </c>
      <c r="AF26" s="111">
        <f t="shared" si="21"/>
        <v>14935.714285714283</v>
      </c>
      <c r="AG26" s="111">
        <f t="shared" si="21"/>
        <v>14935.714285714283</v>
      </c>
      <c r="AH26" s="111">
        <f t="shared" si="21"/>
        <v>14935.714285714283</v>
      </c>
      <c r="AI26" s="111">
        <f t="shared" si="21"/>
        <v>14935.714285714283</v>
      </c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48" s="105" customFormat="1" ht="12.75">
      <c r="A27" s="109" t="s">
        <v>161</v>
      </c>
      <c r="B27" s="97">
        <f>P27+AC27+AD27+AE27+AF27+AG27+AH27</f>
        <v>47781.625178571434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>
        <f>'1-Ф3'!L13/Исх!$C$19*ндс</f>
        <v>1045.8980357142857</v>
      </c>
      <c r="M27" s="111">
        <f>(M8+M12-Пост!$C$6-Пост!$C$16-Пост!$C$19)*ндс</f>
        <v>623.1430285714285</v>
      </c>
      <c r="N27" s="111">
        <f>(N8+N12-Пост!$C$6-Пост!$C$16-Пост!$C$19)*ндс</f>
        <v>623.1430285714285</v>
      </c>
      <c r="O27" s="111">
        <f>(O8+O12-Пост!$C$6-Пост!$C$16-Пост!$C$19)*ндс</f>
        <v>623.1430285714285</v>
      </c>
      <c r="P27" s="112">
        <f>SUM(D27:O27)</f>
        <v>2915.3271214285714</v>
      </c>
      <c r="Q27" s="111">
        <f>(Q8+Q12-Пост!$D$6-Пост!$D$16-Пост!$D$19)*ндс</f>
        <v>623.1430285714285</v>
      </c>
      <c r="R27" s="111">
        <f>(R8+R12-Пост!$D$6-Пост!$D$16-Пост!$D$19)*ндс</f>
        <v>623.1430285714285</v>
      </c>
      <c r="S27" s="111">
        <f>(S8+S12-Пост!$D$6-Пост!$D$16-Пост!$D$19)*ндс</f>
        <v>623.1430285714285</v>
      </c>
      <c r="T27" s="111">
        <f>(T8+T12-Пост!$D$6-Пост!$D$16-Пост!$D$19)*ндс</f>
        <v>623.1430285714285</v>
      </c>
      <c r="U27" s="111">
        <f>(U8+U12-Пост!$D$6-Пост!$D$16-Пост!$D$19)*ндс</f>
        <v>623.1430285714285</v>
      </c>
      <c r="V27" s="111">
        <f>(V8+V12-Пост!$D$6-Пост!$D$16-Пост!$D$19)*ндс</f>
        <v>623.1430285714285</v>
      </c>
      <c r="W27" s="111">
        <f>(W8+W12-Пост!$D$6-Пост!$D$16-Пост!$D$19)*ндс</f>
        <v>623.1430285714285</v>
      </c>
      <c r="X27" s="111">
        <f>(X8+X12-Пост!$D$6-Пост!$D$16-Пост!$D$19)*ндс</f>
        <v>623.1430285714285</v>
      </c>
      <c r="Y27" s="111">
        <f>(Y8+Y12-Пост!$D$6-Пост!$D$16-Пост!$D$19)*ндс</f>
        <v>623.1430285714285</v>
      </c>
      <c r="Z27" s="111">
        <f>(Z8+Z12-Пост!$D$6-Пост!$D$16-Пост!$D$19)*ндс</f>
        <v>623.1430285714285</v>
      </c>
      <c r="AA27" s="111">
        <f>(AA8+AA12-Пост!$D$6-Пост!$D$16-Пост!$D$19)*ндс</f>
        <v>623.1430285714285</v>
      </c>
      <c r="AB27" s="111">
        <f>(AB8+AB12-Пост!$D$6-Пост!$D$16-Пост!$D$19)*ндс</f>
        <v>623.1430285714285</v>
      </c>
      <c r="AC27" s="112">
        <f>SUM(Q27:AB27)</f>
        <v>7477.716342857143</v>
      </c>
      <c r="AD27" s="111">
        <f>(AD8+AD12-(Пост!E6+Пост!E16+Пост!E19)*12)*ндс</f>
        <v>7477.716342857142</v>
      </c>
      <c r="AE27" s="111">
        <f>(AE8+AE12-(Пост!F6+Пост!F16+Пост!F19)*12)*ндс</f>
        <v>7477.716342857144</v>
      </c>
      <c r="AF27" s="111">
        <f>(AF8+AF12-(Пост!G6+Пост!G16+Пост!G19)*12)*ндс</f>
        <v>7477.716342857143</v>
      </c>
      <c r="AG27" s="111">
        <f>(AG8+AG12-(Пост!H6+Пост!H16+Пост!H19)*12)*ндс</f>
        <v>7477.716342857143</v>
      </c>
      <c r="AH27" s="111">
        <f>(AH8+AH12-(Пост!I6+Пост!I16+Пост!I19)*12)*ндс</f>
        <v>7477.716342857143</v>
      </c>
      <c r="AI27" s="111">
        <f>(AI8+AI12-(Пост!J6+Пост!J16+Пост!J19)*12)*ндс</f>
        <v>7477.716342857143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</row>
    <row r="28" spans="1:48" s="105" customFormat="1" ht="12.75">
      <c r="A28" s="109" t="s">
        <v>162</v>
      </c>
      <c r="B28" s="97">
        <f>P28+AC28+AD28+AE28+AF28+AG28+AH28</f>
        <v>14611.877142857144</v>
      </c>
      <c r="C28" s="111"/>
      <c r="D28" s="111">
        <f>Инв!E18/Исх!$C$19*ндс</f>
        <v>219.6428571428571</v>
      </c>
      <c r="E28" s="111">
        <f>Инв!F18/Исх!$C$19*ндс</f>
        <v>219.6428571428571</v>
      </c>
      <c r="F28" s="111">
        <f>Инв!G18/Исх!$C$19*ндс</f>
        <v>2754.2628571428577</v>
      </c>
      <c r="G28" s="111">
        <f>Инв!H18/Исх!$C$19*ндс</f>
        <v>3834.9057142857146</v>
      </c>
      <c r="H28" s="111">
        <f>Инв!I18/Исх!$C$19*ндс</f>
        <v>1080.6428571428569</v>
      </c>
      <c r="I28" s="111">
        <f>Инв!J18/Исх!$C$19*ндс</f>
        <v>1223.4999999999998</v>
      </c>
      <c r="J28" s="111">
        <f>Инв!K18/Исх!$C$19*ндс</f>
        <v>1223.4999999999998</v>
      </c>
      <c r="K28" s="111">
        <f>Инв!L18/Исх!$C$19*ндс</f>
        <v>1223.4999999999998</v>
      </c>
      <c r="L28" s="111">
        <f>Инв!M18/Исх!$C$19*ндс</f>
        <v>2832.2800000000007</v>
      </c>
      <c r="M28" s="111">
        <f>Инв!N18/Исх!$C$19*ндс</f>
        <v>0</v>
      </c>
      <c r="N28" s="111">
        <f>Инв!O18/Исх!$C$19*ндс</f>
        <v>0</v>
      </c>
      <c r="O28" s="111">
        <f>Инв!P18/Исх!$C$19*ндс</f>
        <v>0</v>
      </c>
      <c r="P28" s="112">
        <f>SUM(D28:O28)</f>
        <v>14611.877142857144</v>
      </c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112"/>
      <c r="AE28" s="112"/>
      <c r="AF28" s="112"/>
      <c r="AG28" s="112"/>
      <c r="AH28" s="112"/>
      <c r="AI28" s="112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</row>
    <row r="29" spans="1:48" s="105" customFormat="1" ht="12.75">
      <c r="A29" s="109" t="s">
        <v>28</v>
      </c>
      <c r="B29" s="97">
        <f>P29+AC29+AD29+AE29+AF29+AG29+AH29</f>
        <v>16018.997678571413</v>
      </c>
      <c r="C29" s="111"/>
      <c r="D29" s="111">
        <f>D26-D27-D28</f>
        <v>-219.6428571428571</v>
      </c>
      <c r="E29" s="111">
        <f aca="true" t="shared" si="22" ref="E29:O29">E26-E27-E28</f>
        <v>-219.6428571428571</v>
      </c>
      <c r="F29" s="111">
        <f t="shared" si="22"/>
        <v>-2754.2628571428577</v>
      </c>
      <c r="G29" s="111">
        <f t="shared" si="22"/>
        <v>-3834.9057142857146</v>
      </c>
      <c r="H29" s="111">
        <f t="shared" si="22"/>
        <v>-1080.6428571428569</v>
      </c>
      <c r="I29" s="111">
        <f t="shared" si="22"/>
        <v>-1223.4999999999998</v>
      </c>
      <c r="J29" s="111">
        <f t="shared" si="22"/>
        <v>-1223.4999999999998</v>
      </c>
      <c r="K29" s="111">
        <f t="shared" si="22"/>
        <v>-1223.4999999999998</v>
      </c>
      <c r="L29" s="111">
        <f t="shared" si="22"/>
        <v>-3878.178035714286</v>
      </c>
      <c r="M29" s="111">
        <f t="shared" si="22"/>
        <v>-623.1430285714285</v>
      </c>
      <c r="N29" s="111">
        <f t="shared" si="22"/>
        <v>-623.1430285714285</v>
      </c>
      <c r="O29" s="111">
        <f t="shared" si="22"/>
        <v>-623.1430285714285</v>
      </c>
      <c r="P29" s="112">
        <f>SUM(D29:O29)</f>
        <v>-17527.204264285712</v>
      </c>
      <c r="Q29" s="111">
        <f aca="true" t="shared" si="23" ref="Q29:AB29">Q26-Q27-Q28</f>
        <v>-623.1430285714285</v>
      </c>
      <c r="R29" s="111">
        <f t="shared" si="23"/>
        <v>-623.1430285714285</v>
      </c>
      <c r="S29" s="111">
        <f t="shared" si="23"/>
        <v>-623.1430285714285</v>
      </c>
      <c r="T29" s="111">
        <f t="shared" si="23"/>
        <v>-623.1430285714285</v>
      </c>
      <c r="U29" s="111">
        <f t="shared" si="23"/>
        <v>-623.1430285714285</v>
      </c>
      <c r="V29" s="111">
        <f t="shared" si="23"/>
        <v>-623.1430285714285</v>
      </c>
      <c r="W29" s="111">
        <f t="shared" si="23"/>
        <v>-623.1430285714285</v>
      </c>
      <c r="X29" s="111">
        <f t="shared" si="23"/>
        <v>-623.1430285714285</v>
      </c>
      <c r="Y29" s="111">
        <f t="shared" si="23"/>
        <v>-623.1430285714285</v>
      </c>
      <c r="Z29" s="111">
        <f t="shared" si="23"/>
        <v>621.4998285714286</v>
      </c>
      <c r="AA29" s="111">
        <f t="shared" si="23"/>
        <v>621.4998285714286</v>
      </c>
      <c r="AB29" s="111">
        <f t="shared" si="23"/>
        <v>621.4998285714286</v>
      </c>
      <c r="AC29" s="112">
        <f>SUM(Q29:AB29)</f>
        <v>-3743.787771428572</v>
      </c>
      <c r="AD29" s="111">
        <f aca="true" t="shared" si="24" ref="AD29:AI29">AD26-AD27-AD28</f>
        <v>7457.9979428571405</v>
      </c>
      <c r="AE29" s="111">
        <f t="shared" si="24"/>
        <v>7457.997942857139</v>
      </c>
      <c r="AF29" s="111">
        <f t="shared" si="24"/>
        <v>7457.99794285714</v>
      </c>
      <c r="AG29" s="111">
        <f t="shared" si="24"/>
        <v>7457.99794285714</v>
      </c>
      <c r="AH29" s="111">
        <f t="shared" si="24"/>
        <v>7457.99794285714</v>
      </c>
      <c r="AI29" s="111">
        <f t="shared" si="24"/>
        <v>7457.99794285714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</row>
    <row r="30" spans="1:48" s="105" customFormat="1" ht="12.75">
      <c r="A30" s="109" t="s">
        <v>163</v>
      </c>
      <c r="B30" s="97">
        <f>AH30</f>
        <v>16018.997678571428</v>
      </c>
      <c r="C30" s="111"/>
      <c r="D30" s="111">
        <f>D29</f>
        <v>-219.6428571428571</v>
      </c>
      <c r="E30" s="111">
        <f>D30+E29</f>
        <v>-439.2857142857142</v>
      </c>
      <c r="F30" s="111">
        <f aca="true" t="shared" si="25" ref="F30:O30">E30+F29</f>
        <v>-3193.548571428572</v>
      </c>
      <c r="G30" s="111">
        <f t="shared" si="25"/>
        <v>-7028.454285714286</v>
      </c>
      <c r="H30" s="111">
        <f t="shared" si="25"/>
        <v>-8109.097142857143</v>
      </c>
      <c r="I30" s="111">
        <f t="shared" si="25"/>
        <v>-9332.597142857143</v>
      </c>
      <c r="J30" s="111">
        <f t="shared" si="25"/>
        <v>-10556.097142857143</v>
      </c>
      <c r="K30" s="111">
        <f t="shared" si="25"/>
        <v>-11779.597142857143</v>
      </c>
      <c r="L30" s="111">
        <f t="shared" si="25"/>
        <v>-15657.775178571428</v>
      </c>
      <c r="M30" s="111">
        <f t="shared" si="25"/>
        <v>-16280.918207142857</v>
      </c>
      <c r="N30" s="111">
        <f t="shared" si="25"/>
        <v>-16904.061235714285</v>
      </c>
      <c r="O30" s="111">
        <f t="shared" si="25"/>
        <v>-17527.204264285712</v>
      </c>
      <c r="P30" s="112">
        <f>O30</f>
        <v>-17527.204264285712</v>
      </c>
      <c r="Q30" s="111">
        <f aca="true" t="shared" si="26" ref="Q30:AB30">P30+Q29</f>
        <v>-18150.34729285714</v>
      </c>
      <c r="R30" s="111">
        <f t="shared" si="26"/>
        <v>-18773.490321428566</v>
      </c>
      <c r="S30" s="111">
        <f t="shared" si="26"/>
        <v>-19396.633349999993</v>
      </c>
      <c r="T30" s="111">
        <f t="shared" si="26"/>
        <v>-20019.77637857142</v>
      </c>
      <c r="U30" s="111">
        <f t="shared" si="26"/>
        <v>-20642.919407142846</v>
      </c>
      <c r="V30" s="111">
        <f t="shared" si="26"/>
        <v>-21266.062435714273</v>
      </c>
      <c r="W30" s="111">
        <f t="shared" si="26"/>
        <v>-21889.2054642857</v>
      </c>
      <c r="X30" s="111">
        <f t="shared" si="26"/>
        <v>-22512.348492857127</v>
      </c>
      <c r="Y30" s="111">
        <f t="shared" si="26"/>
        <v>-23135.491521428554</v>
      </c>
      <c r="Z30" s="111">
        <f t="shared" si="26"/>
        <v>-22513.991692857126</v>
      </c>
      <c r="AA30" s="111">
        <f t="shared" si="26"/>
        <v>-21892.491864285697</v>
      </c>
      <c r="AB30" s="111">
        <f t="shared" si="26"/>
        <v>-21270.99203571427</v>
      </c>
      <c r="AC30" s="112">
        <f>AB30</f>
        <v>-21270.99203571427</v>
      </c>
      <c r="AD30" s="111">
        <f aca="true" t="shared" si="27" ref="AD30:AI30">AC30+AD29</f>
        <v>-13812.994092857129</v>
      </c>
      <c r="AE30" s="111">
        <f t="shared" si="27"/>
        <v>-6354.99614999999</v>
      </c>
      <c r="AF30" s="111">
        <f t="shared" si="27"/>
        <v>1103.0017928571497</v>
      </c>
      <c r="AG30" s="111">
        <f t="shared" si="27"/>
        <v>8560.99973571429</v>
      </c>
      <c r="AH30" s="111">
        <f t="shared" si="27"/>
        <v>16018.997678571428</v>
      </c>
      <c r="AI30" s="111">
        <f t="shared" si="27"/>
        <v>23476.995621428567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</row>
    <row r="31" spans="1:48" s="105" customFormat="1" ht="12.75">
      <c r="A31" s="109" t="s">
        <v>164</v>
      </c>
      <c r="B31" s="97">
        <f>P31+AC31+AD31+AE31+AF31+AG31+AH31</f>
        <v>16018.997678571428</v>
      </c>
      <c r="C31" s="111"/>
      <c r="D31" s="111">
        <f>IF(C30+D29&gt;=0,IF(C30&lt;0,C30+D29,D29),0)</f>
        <v>0</v>
      </c>
      <c r="E31" s="111">
        <f aca="true" t="shared" si="28" ref="E31:AI31">IF(D30+E29&gt;=0,IF(D30&lt;0,D30+E29,E29),0)</f>
        <v>0</v>
      </c>
      <c r="F31" s="111">
        <f t="shared" si="28"/>
        <v>0</v>
      </c>
      <c r="G31" s="111">
        <f t="shared" si="28"/>
        <v>0</v>
      </c>
      <c r="H31" s="111">
        <f t="shared" si="28"/>
        <v>0</v>
      </c>
      <c r="I31" s="111">
        <f t="shared" si="28"/>
        <v>0</v>
      </c>
      <c r="J31" s="111">
        <f t="shared" si="28"/>
        <v>0</v>
      </c>
      <c r="K31" s="111">
        <f t="shared" si="28"/>
        <v>0</v>
      </c>
      <c r="L31" s="111">
        <f t="shared" si="28"/>
        <v>0</v>
      </c>
      <c r="M31" s="111">
        <f t="shared" si="28"/>
        <v>0</v>
      </c>
      <c r="N31" s="111">
        <f t="shared" si="28"/>
        <v>0</v>
      </c>
      <c r="O31" s="111">
        <f t="shared" si="28"/>
        <v>0</v>
      </c>
      <c r="P31" s="112">
        <f>SUM(D31:O31)</f>
        <v>0</v>
      </c>
      <c r="Q31" s="111">
        <f t="shared" si="28"/>
        <v>0</v>
      </c>
      <c r="R31" s="111">
        <f t="shared" si="28"/>
        <v>0</v>
      </c>
      <c r="S31" s="111">
        <f t="shared" si="28"/>
        <v>0</v>
      </c>
      <c r="T31" s="111">
        <f t="shared" si="28"/>
        <v>0</v>
      </c>
      <c r="U31" s="111">
        <f t="shared" si="28"/>
        <v>0</v>
      </c>
      <c r="V31" s="111">
        <f t="shared" si="28"/>
        <v>0</v>
      </c>
      <c r="W31" s="111">
        <f t="shared" si="28"/>
        <v>0</v>
      </c>
      <c r="X31" s="111">
        <f t="shared" si="28"/>
        <v>0</v>
      </c>
      <c r="Y31" s="111">
        <f t="shared" si="28"/>
        <v>0</v>
      </c>
      <c r="Z31" s="111">
        <f t="shared" si="28"/>
        <v>0</v>
      </c>
      <c r="AA31" s="111">
        <f t="shared" si="28"/>
        <v>0</v>
      </c>
      <c r="AB31" s="111">
        <f t="shared" si="28"/>
        <v>0</v>
      </c>
      <c r="AC31" s="112">
        <f>SUM(Q31:AB31)</f>
        <v>0</v>
      </c>
      <c r="AD31" s="111">
        <f t="shared" si="28"/>
        <v>0</v>
      </c>
      <c r="AE31" s="111">
        <f t="shared" si="28"/>
        <v>0</v>
      </c>
      <c r="AF31" s="111">
        <f t="shared" si="28"/>
        <v>1103.0017928571497</v>
      </c>
      <c r="AG31" s="111">
        <f t="shared" si="28"/>
        <v>7457.99794285714</v>
      </c>
      <c r="AH31" s="111">
        <f t="shared" si="28"/>
        <v>7457.99794285714</v>
      </c>
      <c r="AI31" s="111">
        <f t="shared" si="28"/>
        <v>7457.99794285714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</row>
    <row r="33" ht="12.75">
      <c r="B33" s="113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N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K19" sqref="K19"/>
    </sheetView>
  </sheetViews>
  <sheetFormatPr defaultColWidth="10.125" defaultRowHeight="12.75" outlineLevelCol="1"/>
  <cols>
    <col min="1" max="1" width="38.125" style="115" customWidth="1"/>
    <col min="2" max="2" width="2.375" style="115" customWidth="1"/>
    <col min="3" max="3" width="7.125" style="115" customWidth="1"/>
    <col min="4" max="4" width="11.375" style="115" hidden="1" customWidth="1" outlineLevel="1"/>
    <col min="5" max="11" width="7.375" style="115" hidden="1" customWidth="1" outlineLevel="1"/>
    <col min="12" max="12" width="8.00390625" style="115" hidden="1" customWidth="1" outlineLevel="1"/>
    <col min="13" max="13" width="7.875" style="115" hidden="1" customWidth="1" outlineLevel="1"/>
    <col min="14" max="15" width="8.125" style="115" hidden="1" customWidth="1" outlineLevel="1"/>
    <col min="16" max="16" width="9.875" style="115" customWidth="1" collapsed="1"/>
    <col min="17" max="23" width="8.375" style="115" hidden="1" customWidth="1" outlineLevel="1"/>
    <col min="24" max="25" width="8.75390625" style="115" hidden="1" customWidth="1" outlineLevel="1"/>
    <col min="26" max="26" width="8.625" style="115" hidden="1" customWidth="1" outlineLevel="1"/>
    <col min="27" max="27" width="9.00390625" style="115" hidden="1" customWidth="1" outlineLevel="1"/>
    <col min="28" max="28" width="9.125" style="115" hidden="1" customWidth="1" outlineLevel="1"/>
    <col min="29" max="29" width="10.125" style="115" customWidth="1" collapsed="1"/>
    <col min="30" max="30" width="9.875" style="115" customWidth="1"/>
    <col min="31" max="31" width="9.75390625" style="115" customWidth="1"/>
    <col min="32" max="32" width="9.625" style="115" customWidth="1"/>
    <col min="33" max="35" width="9.75390625" style="115" customWidth="1"/>
    <col min="36" max="16384" width="10.125" style="115" customWidth="1"/>
  </cols>
  <sheetData>
    <row r="1" spans="1:3" ht="12.75">
      <c r="A1" s="60" t="s">
        <v>112</v>
      </c>
      <c r="B1" s="114"/>
      <c r="C1" s="114"/>
    </row>
    <row r="2" spans="1:35" ht="17.25" customHeight="1">
      <c r="A2" s="60"/>
      <c r="C2" s="12" t="str">
        <f>Исх!$C$10</f>
        <v>тыс.тг.</v>
      </c>
      <c r="P2" s="116"/>
      <c r="AC2" s="116"/>
      <c r="AD2" s="116"/>
      <c r="AE2" s="116"/>
      <c r="AF2" s="116"/>
      <c r="AG2" s="116"/>
      <c r="AH2" s="116"/>
      <c r="AI2" s="116"/>
    </row>
    <row r="3" spans="1:35" ht="12.75" customHeight="1">
      <c r="A3" s="303" t="s">
        <v>2</v>
      </c>
      <c r="B3" s="305"/>
      <c r="C3" s="118"/>
      <c r="D3" s="306">
        <v>2014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>
        <v>2015</v>
      </c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119">
        <f>Q3+1</f>
        <v>2016</v>
      </c>
      <c r="AE3" s="119">
        <f>AD3+1</f>
        <v>2017</v>
      </c>
      <c r="AF3" s="119">
        <f>AE3+1</f>
        <v>2018</v>
      </c>
      <c r="AG3" s="119">
        <f>AF3+1</f>
        <v>2019</v>
      </c>
      <c r="AH3" s="119">
        <f>AG3+1</f>
        <v>2020</v>
      </c>
      <c r="AI3" s="119">
        <f>AH3+1</f>
        <v>2021</v>
      </c>
    </row>
    <row r="4" spans="1:35" ht="12.75">
      <c r="A4" s="304"/>
      <c r="B4" s="305"/>
      <c r="C4" s="120"/>
      <c r="D4" s="121">
        <v>1</v>
      </c>
      <c r="E4" s="121">
        <f>D4+1</f>
        <v>2</v>
      </c>
      <c r="F4" s="121">
        <f aca="true" t="shared" si="0" ref="F4:O4">E4+1</f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 t="shared" si="0"/>
        <v>10</v>
      </c>
      <c r="N4" s="121">
        <f t="shared" si="0"/>
        <v>11</v>
      </c>
      <c r="O4" s="121">
        <f t="shared" si="0"/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</row>
    <row r="5" spans="1:42" s="126" customFormat="1" ht="15" customHeight="1">
      <c r="A5" s="122" t="s">
        <v>113</v>
      </c>
      <c r="B5" s="123"/>
      <c r="C5" s="124">
        <f>C11+C6</f>
        <v>0</v>
      </c>
      <c r="D5" s="124">
        <f>D11+D6</f>
        <v>2050</v>
      </c>
      <c r="E5" s="124">
        <f aca="true" t="shared" si="2" ref="E5:AH5">E11+E6</f>
        <v>4100</v>
      </c>
      <c r="F5" s="124">
        <f t="shared" si="2"/>
        <v>29806.45333333334</v>
      </c>
      <c r="G5" s="124">
        <f t="shared" si="2"/>
        <v>65598.90666666668</v>
      </c>
      <c r="H5" s="124">
        <f t="shared" si="2"/>
        <v>75684.90666666668</v>
      </c>
      <c r="I5" s="124">
        <f t="shared" si="2"/>
        <v>87104.23999999999</v>
      </c>
      <c r="J5" s="124">
        <f t="shared" si="2"/>
        <v>98523.57333333333</v>
      </c>
      <c r="K5" s="124">
        <f t="shared" si="2"/>
        <v>109942.90666666665</v>
      </c>
      <c r="L5" s="124">
        <f t="shared" si="2"/>
        <v>146139.235</v>
      </c>
      <c r="M5" s="124">
        <f t="shared" si="2"/>
        <v>146163.56840555556</v>
      </c>
      <c r="N5" s="124">
        <f t="shared" si="2"/>
        <v>146187.9018111111</v>
      </c>
      <c r="O5" s="124">
        <f t="shared" si="2"/>
        <v>146212.23521666668</v>
      </c>
      <c r="P5" s="124">
        <f t="shared" si="2"/>
        <v>146212.23521666668</v>
      </c>
      <c r="Q5" s="124">
        <f t="shared" si="2"/>
        <v>146236.56862222223</v>
      </c>
      <c r="R5" s="124">
        <f t="shared" si="2"/>
        <v>146260.90202777777</v>
      </c>
      <c r="S5" s="124">
        <f t="shared" si="2"/>
        <v>146285.23543333335</v>
      </c>
      <c r="T5" s="124">
        <f t="shared" si="2"/>
        <v>146309.5688388889</v>
      </c>
      <c r="U5" s="124">
        <f t="shared" si="2"/>
        <v>146333.90224444444</v>
      </c>
      <c r="V5" s="124">
        <f t="shared" si="2"/>
        <v>146358.23565000002</v>
      </c>
      <c r="W5" s="124">
        <f t="shared" si="2"/>
        <v>146382.56905555556</v>
      </c>
      <c r="X5" s="124">
        <f t="shared" si="2"/>
        <v>146406.9024611111</v>
      </c>
      <c r="Y5" s="124">
        <f t="shared" si="2"/>
        <v>146431.23586666668</v>
      </c>
      <c r="Z5" s="124">
        <f t="shared" si="2"/>
        <v>149985.04556143357</v>
      </c>
      <c r="AA5" s="124">
        <f t="shared" si="2"/>
        <v>153538.85525620042</v>
      </c>
      <c r="AB5" s="124">
        <f t="shared" si="2"/>
        <v>157092.66495096727</v>
      </c>
      <c r="AC5" s="124">
        <f t="shared" si="2"/>
        <v>157092.66495096727</v>
      </c>
      <c r="AD5" s="124">
        <f t="shared" si="2"/>
        <v>159961.15136596622</v>
      </c>
      <c r="AE5" s="124">
        <f t="shared" si="2"/>
        <v>164986.53815235244</v>
      </c>
      <c r="AF5" s="124">
        <f t="shared" si="2"/>
        <v>168196.31728059135</v>
      </c>
      <c r="AG5" s="124">
        <f t="shared" si="2"/>
        <v>169624.92262036446</v>
      </c>
      <c r="AH5" s="124">
        <f t="shared" si="2"/>
        <v>172779.04825724743</v>
      </c>
      <c r="AI5" s="124">
        <f>AI11+AI6</f>
        <v>207096.93204129505</v>
      </c>
      <c r="AJ5" s="125"/>
      <c r="AK5" s="125"/>
      <c r="AL5" s="125"/>
      <c r="AM5" s="125"/>
      <c r="AN5" s="125"/>
      <c r="AO5" s="125"/>
      <c r="AP5" s="125"/>
    </row>
    <row r="6" spans="1:35" s="126" customFormat="1" ht="15" customHeight="1">
      <c r="A6" s="122" t="s">
        <v>114</v>
      </c>
      <c r="B6" s="123"/>
      <c r="C6" s="124">
        <f>SUM(C7:C10)</f>
        <v>0</v>
      </c>
      <c r="D6" s="124">
        <f>SUM(D7:D10)</f>
        <v>0</v>
      </c>
      <c r="E6" s="124">
        <f aca="true" t="shared" si="3" ref="E6:AH6">SUM(E7:E10)</f>
        <v>0</v>
      </c>
      <c r="F6" s="124">
        <f t="shared" si="3"/>
        <v>0</v>
      </c>
      <c r="G6" s="124">
        <f t="shared" si="3"/>
        <v>0</v>
      </c>
      <c r="H6" s="124">
        <f t="shared" si="3"/>
        <v>0</v>
      </c>
      <c r="I6" s="124">
        <f t="shared" si="3"/>
        <v>0</v>
      </c>
      <c r="J6" s="124">
        <f t="shared" si="3"/>
        <v>0</v>
      </c>
      <c r="K6" s="124">
        <f t="shared" si="3"/>
        <v>0</v>
      </c>
      <c r="L6" s="124">
        <f t="shared" si="3"/>
        <v>8715.816964285714</v>
      </c>
      <c r="M6" s="124">
        <f t="shared" si="3"/>
        <v>8715.816964285714</v>
      </c>
      <c r="N6" s="124">
        <f t="shared" si="3"/>
        <v>8715.816964285714</v>
      </c>
      <c r="O6" s="124">
        <f t="shared" si="3"/>
        <v>8715.816964285714</v>
      </c>
      <c r="P6" s="124">
        <f t="shared" si="3"/>
        <v>8715.816964285714</v>
      </c>
      <c r="Q6" s="124">
        <f t="shared" si="3"/>
        <v>8715.816964285714</v>
      </c>
      <c r="R6" s="124">
        <f t="shared" si="3"/>
        <v>8715.816964285714</v>
      </c>
      <c r="S6" s="124">
        <f t="shared" si="3"/>
        <v>8715.816964285714</v>
      </c>
      <c r="T6" s="124">
        <f t="shared" si="3"/>
        <v>8715.816964285714</v>
      </c>
      <c r="U6" s="124">
        <f t="shared" si="3"/>
        <v>8715.816964285714</v>
      </c>
      <c r="V6" s="124">
        <f t="shared" si="3"/>
        <v>8715.816964285714</v>
      </c>
      <c r="W6" s="124">
        <f t="shared" si="3"/>
        <v>8715.816964285714</v>
      </c>
      <c r="X6" s="124">
        <f t="shared" si="3"/>
        <v>8715.816964285714</v>
      </c>
      <c r="Y6" s="124">
        <f t="shared" si="3"/>
        <v>8715.816964285714</v>
      </c>
      <c r="Z6" s="124">
        <f t="shared" si="3"/>
        <v>13489.936110639881</v>
      </c>
      <c r="AA6" s="124">
        <f t="shared" si="3"/>
        <v>18264.05525699405</v>
      </c>
      <c r="AB6" s="124">
        <f t="shared" si="3"/>
        <v>23038.174403348217</v>
      </c>
      <c r="AC6" s="124">
        <f t="shared" si="3"/>
        <v>23038.174403348217</v>
      </c>
      <c r="AD6" s="124">
        <f t="shared" si="3"/>
        <v>40550.37423739475</v>
      </c>
      <c r="AE6" s="124">
        <f t="shared" si="3"/>
        <v>60219.47444282859</v>
      </c>
      <c r="AF6" s="124">
        <f t="shared" si="3"/>
        <v>76969.96519725799</v>
      </c>
      <c r="AG6" s="124">
        <f t="shared" si="3"/>
        <v>85584.28601322159</v>
      </c>
      <c r="AH6" s="124">
        <f t="shared" si="3"/>
        <v>95924.12712629502</v>
      </c>
      <c r="AI6" s="124">
        <f>SUM(AI7:AI10)</f>
        <v>137427.72638653312</v>
      </c>
    </row>
    <row r="7" spans="1:35" ht="15" customHeight="1">
      <c r="A7" s="127" t="s">
        <v>115</v>
      </c>
      <c r="B7" s="123"/>
      <c r="C7" s="128"/>
      <c r="D7" s="128">
        <f>'1-Ф3'!D36</f>
        <v>0</v>
      </c>
      <c r="E7" s="128">
        <f>'1-Ф3'!E36</f>
        <v>0</v>
      </c>
      <c r="F7" s="128">
        <f>'1-Ф3'!F36</f>
        <v>0</v>
      </c>
      <c r="G7" s="128">
        <f>'1-Ф3'!G36</f>
        <v>0</v>
      </c>
      <c r="H7" s="128">
        <f>'1-Ф3'!H36</f>
        <v>0</v>
      </c>
      <c r="I7" s="128">
        <f>'1-Ф3'!I36</f>
        <v>0</v>
      </c>
      <c r="J7" s="128">
        <f>'1-Ф3'!J36</f>
        <v>0</v>
      </c>
      <c r="K7" s="128">
        <f>'1-Ф3'!K36</f>
        <v>0</v>
      </c>
      <c r="L7" s="128">
        <f>'1-Ф3'!L36</f>
        <v>0</v>
      </c>
      <c r="M7" s="128">
        <f>'1-Ф3'!M36</f>
        <v>0</v>
      </c>
      <c r="N7" s="128">
        <f>'1-Ф3'!N36</f>
        <v>0</v>
      </c>
      <c r="O7" s="128">
        <f>'1-Ф3'!O36</f>
        <v>0</v>
      </c>
      <c r="P7" s="128">
        <f>'1-Ф3'!P36</f>
        <v>0</v>
      </c>
      <c r="Q7" s="128">
        <f>'1-Ф3'!Q36</f>
        <v>0</v>
      </c>
      <c r="R7" s="128">
        <f>'1-Ф3'!R36</f>
        <v>0</v>
      </c>
      <c r="S7" s="128">
        <f>'1-Ф3'!S36</f>
        <v>0</v>
      </c>
      <c r="T7" s="128">
        <f>'1-Ф3'!T36</f>
        <v>0</v>
      </c>
      <c r="U7" s="128">
        <f>'1-Ф3'!U36</f>
        <v>0</v>
      </c>
      <c r="V7" s="128">
        <f>'1-Ф3'!V36</f>
        <v>0</v>
      </c>
      <c r="W7" s="128">
        <f>'1-Ф3'!W36</f>
        <v>0</v>
      </c>
      <c r="X7" s="128">
        <f>'1-Ф3'!X36</f>
        <v>0</v>
      </c>
      <c r="Y7" s="128">
        <f>'1-Ф3'!Y36</f>
        <v>0</v>
      </c>
      <c r="Z7" s="128">
        <f>'1-Ф3'!Z36</f>
        <v>4774.119146354167</v>
      </c>
      <c r="AA7" s="128">
        <f>'1-Ф3'!AA36</f>
        <v>9548.238292708334</v>
      </c>
      <c r="AB7" s="128">
        <f>'1-Ф3'!AB36</f>
        <v>14322.357439062502</v>
      </c>
      <c r="AC7" s="128">
        <f>'1-Ф3'!AC36</f>
        <v>14322.357439062502</v>
      </c>
      <c r="AD7" s="128">
        <f>'1-Ф3'!AD36</f>
        <v>31834.55727310904</v>
      </c>
      <c r="AE7" s="128">
        <f>'1-Ф3'!AE36</f>
        <v>51503.65747854288</v>
      </c>
      <c r="AF7" s="128">
        <f>'1-Ф3'!AF36</f>
        <v>68254.14823297228</v>
      </c>
      <c r="AG7" s="128">
        <f>'1-Ф3'!AG36</f>
        <v>76868.46904893588</v>
      </c>
      <c r="AH7" s="128">
        <f>'1-Ф3'!AH36</f>
        <v>87208.31016200931</v>
      </c>
      <c r="AI7" s="128">
        <f>'1-Ф3'!AI36</f>
        <v>128711.9094222474</v>
      </c>
    </row>
    <row r="8" spans="1:35" ht="15" customHeight="1">
      <c r="A8" s="127" t="s">
        <v>116</v>
      </c>
      <c r="B8" s="123"/>
      <c r="C8" s="128"/>
      <c r="D8" s="128">
        <f>C8+'2-ф2'!D5-'1-Ф3'!D9/Исх!$C$19</f>
        <v>0</v>
      </c>
      <c r="E8" s="128">
        <f>D8+'2-ф2'!E5-'1-Ф3'!E9/Исх!$C$19</f>
        <v>0</v>
      </c>
      <c r="F8" s="128">
        <f>E8+'2-ф2'!F5-'1-Ф3'!F9/Исх!$C$19</f>
        <v>0</v>
      </c>
      <c r="G8" s="128">
        <f>F8+'2-ф2'!G5-'1-Ф3'!G9/Исх!$C$19</f>
        <v>0</v>
      </c>
      <c r="H8" s="128">
        <f>G8+'2-ф2'!H5-'1-Ф3'!H9/Исх!$C$19</f>
        <v>0</v>
      </c>
      <c r="I8" s="128">
        <f>H8+'2-ф2'!I5-'1-Ф3'!I9/Исх!$C$19</f>
        <v>0</v>
      </c>
      <c r="J8" s="128">
        <f>I8+'2-ф2'!J5-'1-Ф3'!J9/Исх!$C$19</f>
        <v>0</v>
      </c>
      <c r="K8" s="128">
        <f>J8+'2-ф2'!K5-'1-Ф3'!K9/Исх!$C$19</f>
        <v>0</v>
      </c>
      <c r="L8" s="128">
        <f>K8+'2-ф2'!L5-'1-Ф3'!L9/Исх!$C$19</f>
        <v>0</v>
      </c>
      <c r="M8" s="128">
        <f>L8+'2-ф2'!M5-'1-Ф3'!M9/Исх!$C$19</f>
        <v>0</v>
      </c>
      <c r="N8" s="128">
        <f>M8+'2-ф2'!N5-'1-Ф3'!N9/Исх!$C$19</f>
        <v>0</v>
      </c>
      <c r="O8" s="128">
        <f>N8+'2-ф2'!O5-'1-Ф3'!O9/Исх!$C$19</f>
        <v>0</v>
      </c>
      <c r="P8" s="128">
        <f>O8</f>
        <v>0</v>
      </c>
      <c r="Q8" s="128">
        <f>P8+'2-ф2'!Q5-'1-Ф3'!Q9/Исх!$C$19</f>
        <v>0</v>
      </c>
      <c r="R8" s="128">
        <f>Q8+'2-ф2'!R5-'1-Ф3'!R9/Исх!$C$19</f>
        <v>0</v>
      </c>
      <c r="S8" s="128">
        <f>R8+'2-ф2'!S5-'1-Ф3'!S9/Исх!$C$19</f>
        <v>0</v>
      </c>
      <c r="T8" s="128">
        <f>S8+'2-ф2'!T5-'1-Ф3'!T9/Исх!$C$19</f>
        <v>0</v>
      </c>
      <c r="U8" s="128">
        <f>T8+'2-ф2'!U5-'1-Ф3'!U9/Исх!$C$19</f>
        <v>0</v>
      </c>
      <c r="V8" s="128">
        <f>U8+'2-ф2'!V5-'1-Ф3'!V9/Исх!$C$19</f>
        <v>0</v>
      </c>
      <c r="W8" s="128">
        <f>V8+'2-ф2'!W5-'1-Ф3'!W9/Исх!$C$19</f>
        <v>0</v>
      </c>
      <c r="X8" s="128">
        <f>W8+'2-ф2'!X5-'1-Ф3'!X9/Исх!$C$19</f>
        <v>0</v>
      </c>
      <c r="Y8" s="128">
        <f>X8+'2-ф2'!Y5-'1-Ф3'!Y9/Исх!$C$19</f>
        <v>0</v>
      </c>
      <c r="Z8" s="128">
        <f>Y8+'2-ф2'!Z5-'1-Ф3'!Z9/Исх!$C$19</f>
        <v>0</v>
      </c>
      <c r="AA8" s="128">
        <f>Z8+'2-ф2'!AA5-'1-Ф3'!AA9/Исх!$C$19</f>
        <v>0</v>
      </c>
      <c r="AB8" s="128">
        <f>AA8+'2-ф2'!AB5-'1-Ф3'!AB9/Исх!$C$19</f>
        <v>0</v>
      </c>
      <c r="AC8" s="128">
        <f>AB8</f>
        <v>0</v>
      </c>
      <c r="AD8" s="128">
        <f>AC8+'2-ф2'!AD5-'1-Ф3'!AD9/Исх!$C$19</f>
        <v>0</v>
      </c>
      <c r="AE8" s="128">
        <f>AD8+'2-ф2'!AE5-'1-Ф3'!AE9/Исх!$C$19</f>
        <v>0</v>
      </c>
      <c r="AF8" s="128">
        <f>AE8+'2-ф2'!AF5-'1-Ф3'!AF9/Исх!$C$19</f>
        <v>0</v>
      </c>
      <c r="AG8" s="128">
        <f>AF8+'2-ф2'!AG5-'1-Ф3'!AG9/Исх!$C$19</f>
        <v>0</v>
      </c>
      <c r="AH8" s="128">
        <f>AG8+'2-ф2'!AH5-'1-Ф3'!AH9/Исх!$C$19</f>
        <v>0</v>
      </c>
      <c r="AI8" s="128">
        <f>AH8+'2-ф2'!AI5-'1-Ф3'!AI9/Исх!$C$19</f>
        <v>0</v>
      </c>
    </row>
    <row r="9" spans="1:35" ht="15" customHeight="1">
      <c r="A9" s="127" t="s">
        <v>117</v>
      </c>
      <c r="B9" s="123"/>
      <c r="C9" s="128"/>
      <c r="D9" s="128"/>
      <c r="E9" s="128"/>
      <c r="F9" s="128"/>
      <c r="G9" s="128"/>
      <c r="H9" s="128"/>
      <c r="I9" s="128">
        <f>'1-Ф3'!I13</f>
        <v>0</v>
      </c>
      <c r="J9" s="128">
        <f aca="true" t="shared" si="4" ref="J9:O9">I9</f>
        <v>0</v>
      </c>
      <c r="K9" s="128">
        <f t="shared" si="4"/>
        <v>0</v>
      </c>
      <c r="L9" s="128">
        <f>'1-Ф3'!L13/Исх!$C$19</f>
        <v>8715.816964285714</v>
      </c>
      <c r="M9" s="128">
        <f t="shared" si="4"/>
        <v>8715.816964285714</v>
      </c>
      <c r="N9" s="128">
        <f t="shared" si="4"/>
        <v>8715.816964285714</v>
      </c>
      <c r="O9" s="128">
        <f t="shared" si="4"/>
        <v>8715.816964285714</v>
      </c>
      <c r="P9" s="128">
        <f>O9</f>
        <v>8715.816964285714</v>
      </c>
      <c r="Q9" s="128">
        <f>O9</f>
        <v>8715.816964285714</v>
      </c>
      <c r="R9" s="128">
        <f aca="true" t="shared" si="5" ref="R9:AB9">P9</f>
        <v>8715.816964285714</v>
      </c>
      <c r="S9" s="128">
        <f t="shared" si="5"/>
        <v>8715.816964285714</v>
      </c>
      <c r="T9" s="128">
        <f t="shared" si="5"/>
        <v>8715.816964285714</v>
      </c>
      <c r="U9" s="128">
        <f t="shared" si="5"/>
        <v>8715.816964285714</v>
      </c>
      <c r="V9" s="128">
        <f t="shared" si="5"/>
        <v>8715.816964285714</v>
      </c>
      <c r="W9" s="128">
        <f t="shared" si="5"/>
        <v>8715.816964285714</v>
      </c>
      <c r="X9" s="128">
        <f t="shared" si="5"/>
        <v>8715.816964285714</v>
      </c>
      <c r="Y9" s="128">
        <f t="shared" si="5"/>
        <v>8715.816964285714</v>
      </c>
      <c r="Z9" s="128">
        <f t="shared" si="5"/>
        <v>8715.816964285714</v>
      </c>
      <c r="AA9" s="128">
        <f t="shared" si="5"/>
        <v>8715.816964285714</v>
      </c>
      <c r="AB9" s="128">
        <f t="shared" si="5"/>
        <v>8715.816964285714</v>
      </c>
      <c r="AC9" s="128">
        <f>AB9</f>
        <v>8715.816964285714</v>
      </c>
      <c r="AD9" s="128">
        <f aca="true" t="shared" si="6" ref="AD9:AI9">AB9</f>
        <v>8715.816964285714</v>
      </c>
      <c r="AE9" s="128">
        <f t="shared" si="6"/>
        <v>8715.816964285714</v>
      </c>
      <c r="AF9" s="128">
        <f t="shared" si="6"/>
        <v>8715.816964285714</v>
      </c>
      <c r="AG9" s="128">
        <f t="shared" si="6"/>
        <v>8715.816964285714</v>
      </c>
      <c r="AH9" s="128">
        <f t="shared" si="6"/>
        <v>8715.816964285714</v>
      </c>
      <c r="AI9" s="128">
        <f t="shared" si="6"/>
        <v>8715.816964285714</v>
      </c>
    </row>
    <row r="10" spans="1:35" ht="12.75">
      <c r="A10" s="127" t="s">
        <v>291</v>
      </c>
      <c r="B10" s="12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>
        <f>O10</f>
        <v>0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>
        <f>AB10</f>
        <v>0</v>
      </c>
      <c r="AD10" s="128"/>
      <c r="AE10" s="128"/>
      <c r="AF10" s="128"/>
      <c r="AG10" s="128"/>
      <c r="AH10" s="128"/>
      <c r="AI10" s="128"/>
    </row>
    <row r="11" spans="1:35" ht="15" customHeight="1">
      <c r="A11" s="122" t="s">
        <v>118</v>
      </c>
      <c r="B11" s="123"/>
      <c r="C11" s="124">
        <f aca="true" t="shared" si="7" ref="C11:AH11">SUM(C12:C14)</f>
        <v>0</v>
      </c>
      <c r="D11" s="124">
        <f t="shared" si="7"/>
        <v>2050</v>
      </c>
      <c r="E11" s="124">
        <f t="shared" si="7"/>
        <v>4100</v>
      </c>
      <c r="F11" s="124">
        <f t="shared" si="7"/>
        <v>29806.45333333334</v>
      </c>
      <c r="G11" s="124">
        <f t="shared" si="7"/>
        <v>65598.90666666668</v>
      </c>
      <c r="H11" s="124">
        <f t="shared" si="7"/>
        <v>75684.90666666668</v>
      </c>
      <c r="I11" s="124">
        <f t="shared" si="7"/>
        <v>87104.23999999999</v>
      </c>
      <c r="J11" s="124">
        <f t="shared" si="7"/>
        <v>98523.57333333333</v>
      </c>
      <c r="K11" s="124">
        <f t="shared" si="7"/>
        <v>109942.90666666665</v>
      </c>
      <c r="L11" s="124">
        <f t="shared" si="7"/>
        <v>137423.41803571428</v>
      </c>
      <c r="M11" s="124">
        <f t="shared" si="7"/>
        <v>137447.75144126985</v>
      </c>
      <c r="N11" s="124">
        <f t="shared" si="7"/>
        <v>137472.0848468254</v>
      </c>
      <c r="O11" s="124">
        <f t="shared" si="7"/>
        <v>137496.41825238097</v>
      </c>
      <c r="P11" s="124">
        <f t="shared" si="7"/>
        <v>137496.41825238097</v>
      </c>
      <c r="Q11" s="124">
        <f t="shared" si="7"/>
        <v>137520.75165793652</v>
      </c>
      <c r="R11" s="124">
        <f t="shared" si="7"/>
        <v>137545.08506349206</v>
      </c>
      <c r="S11" s="124">
        <f t="shared" si="7"/>
        <v>137569.41846904764</v>
      </c>
      <c r="T11" s="124">
        <f t="shared" si="7"/>
        <v>137593.7518746032</v>
      </c>
      <c r="U11" s="124">
        <f t="shared" si="7"/>
        <v>137618.08528015873</v>
      </c>
      <c r="V11" s="124">
        <f t="shared" si="7"/>
        <v>137642.4186857143</v>
      </c>
      <c r="W11" s="124">
        <f t="shared" si="7"/>
        <v>137666.75209126985</v>
      </c>
      <c r="X11" s="124">
        <f t="shared" si="7"/>
        <v>137691.0854968254</v>
      </c>
      <c r="Y11" s="124">
        <f t="shared" si="7"/>
        <v>137715.41890238097</v>
      </c>
      <c r="Z11" s="124">
        <f t="shared" si="7"/>
        <v>136495.10945079368</v>
      </c>
      <c r="AA11" s="124">
        <f t="shared" si="7"/>
        <v>135274.79999920639</v>
      </c>
      <c r="AB11" s="124">
        <f t="shared" si="7"/>
        <v>134054.49054761906</v>
      </c>
      <c r="AC11" s="124">
        <f t="shared" si="7"/>
        <v>134054.49054761906</v>
      </c>
      <c r="AD11" s="124">
        <f t="shared" si="7"/>
        <v>119410.77712857146</v>
      </c>
      <c r="AE11" s="124">
        <f t="shared" si="7"/>
        <v>104767.06370952383</v>
      </c>
      <c r="AF11" s="124">
        <f t="shared" si="7"/>
        <v>91226.35208333336</v>
      </c>
      <c r="AG11" s="124">
        <f t="shared" si="7"/>
        <v>84040.63660714288</v>
      </c>
      <c r="AH11" s="124">
        <f t="shared" si="7"/>
        <v>76854.9211309524</v>
      </c>
      <c r="AI11" s="124">
        <f>SUM(AI12:AI14)</f>
        <v>69669.20565476191</v>
      </c>
    </row>
    <row r="12" spans="1:35" ht="12.75">
      <c r="A12" s="127" t="s">
        <v>119</v>
      </c>
      <c r="B12" s="129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>
        <f>L13+'1-Ф3'!M22/Исх!$C$19-'2-ф2'!M13</f>
        <v>121166.83323412699</v>
      </c>
      <c r="N12" s="128">
        <f>M12+'1-Ф3'!N22/Исх!$C$19-'2-ф2'!N13</f>
        <v>120568.02361111112</v>
      </c>
      <c r="O12" s="128">
        <f>N12+'1-Ф3'!O22/Исх!$C$19-'2-ф2'!O13</f>
        <v>119969.21398809525</v>
      </c>
      <c r="P12" s="128">
        <f>O12</f>
        <v>119969.21398809525</v>
      </c>
      <c r="Q12" s="128">
        <f>P12+'1-Ф3'!Q22/Исх!$C$19-'2-ф2'!Q13</f>
        <v>119370.40436507938</v>
      </c>
      <c r="R12" s="128">
        <f>Q12+'1-Ф3'!R22/Исх!$C$19-'2-ф2'!R13</f>
        <v>118771.5947420635</v>
      </c>
      <c r="S12" s="128">
        <f>R12+'1-Ф3'!S22/Исх!$C$19-'2-ф2'!S13</f>
        <v>118172.78511904764</v>
      </c>
      <c r="T12" s="128">
        <f>S12+'1-Ф3'!T22/Исх!$C$19-'2-ф2'!T13</f>
        <v>117573.97549603177</v>
      </c>
      <c r="U12" s="128">
        <f>T12+'1-Ф3'!U22/Исх!$C$19-'2-ф2'!U13</f>
        <v>116975.1658730159</v>
      </c>
      <c r="V12" s="128">
        <f>U12+'1-Ф3'!V22/Исх!$C$19-'2-ф2'!V13</f>
        <v>116376.35625000003</v>
      </c>
      <c r="W12" s="128">
        <f>V12+'1-Ф3'!W22/Исх!$C$19-'2-ф2'!W13</f>
        <v>115777.54662698416</v>
      </c>
      <c r="X12" s="128">
        <f>W12+'1-Ф3'!X22/Исх!$C$19-'2-ф2'!X13</f>
        <v>115178.73700396829</v>
      </c>
      <c r="Y12" s="128">
        <f>X12+'1-Ф3'!Y22/Исх!$C$19-'2-ф2'!Y13</f>
        <v>114579.92738095242</v>
      </c>
      <c r="Z12" s="128">
        <f>Y12+'1-Ф3'!Z22/Исх!$C$19-'2-ф2'!Z13</f>
        <v>113981.11775793655</v>
      </c>
      <c r="AA12" s="128">
        <f>Z12+'1-Ф3'!AA22/Исх!$C$19-'2-ф2'!AA13</f>
        <v>113382.30813492068</v>
      </c>
      <c r="AB12" s="128">
        <f>AA12+'1-Ф3'!AB22/Исх!$C$19-'2-ф2'!AB13</f>
        <v>112783.4985119048</v>
      </c>
      <c r="AC12" s="128">
        <f>AB12</f>
        <v>112783.4985119048</v>
      </c>
      <c r="AD12" s="128">
        <f>AC12+'1-Ф3'!AD22/Исх!$C$19-'2-ф2'!AD13</f>
        <v>105597.78303571432</v>
      </c>
      <c r="AE12" s="128">
        <f>AD12+'1-Ф3'!AE22/Исх!$C$19-'2-ф2'!AE13</f>
        <v>98412.06755952384</v>
      </c>
      <c r="AF12" s="128">
        <f>AE12+'1-Ф3'!AF22/Исх!$C$19-'2-ф2'!AF13</f>
        <v>91226.35208333336</v>
      </c>
      <c r="AG12" s="128">
        <f>AF12+'1-Ф3'!AG22/Исх!$C$19-'2-ф2'!AG13</f>
        <v>84040.63660714288</v>
      </c>
      <c r="AH12" s="128">
        <f>AG12+'1-Ф3'!AH22/Исх!$C$19-'2-ф2'!AH13</f>
        <v>76854.9211309524</v>
      </c>
      <c r="AI12" s="128">
        <f>AH12+'1-Ф3'!AI22/Исх!$C$19-'2-ф2'!AI13</f>
        <v>69669.20565476191</v>
      </c>
    </row>
    <row r="13" spans="1:35" ht="12.75">
      <c r="A13" s="127" t="s">
        <v>290</v>
      </c>
      <c r="B13" s="129"/>
      <c r="C13" s="128"/>
      <c r="D13" s="128">
        <f>C13+'1-Ф3'!D22/Исх!$C$19-'2-ф2'!D13</f>
        <v>1830.3571428571427</v>
      </c>
      <c r="E13" s="128">
        <f>D13+'1-Ф3'!E22/Исх!$C$19-'2-ф2'!E13</f>
        <v>3660.7142857142853</v>
      </c>
      <c r="F13" s="128">
        <f>E13+'1-Ф3'!F22/Исх!$C$19-'2-ф2'!F13</f>
        <v>26612.904761904767</v>
      </c>
      <c r="G13" s="128">
        <f>F13+'1-Ф3'!G22/Исх!$C$19-'2-ф2'!G13</f>
        <v>58570.45238095239</v>
      </c>
      <c r="H13" s="128">
        <f>G13+'1-Ф3'!H22/Исх!$C$19-'2-ф2'!H13</f>
        <v>67575.80952380953</v>
      </c>
      <c r="I13" s="128">
        <f>H13+'1-Ф3'!I22/Исх!$C$19-'2-ф2'!I13</f>
        <v>77771.64285714286</v>
      </c>
      <c r="J13" s="128">
        <f>I13+'1-Ф3'!J22/Исх!$C$19-'2-ф2'!J13</f>
        <v>87967.47619047618</v>
      </c>
      <c r="K13" s="128">
        <f>J13+'1-Ф3'!K22/Исх!$C$19-'2-ф2'!K13</f>
        <v>98163.30952380951</v>
      </c>
      <c r="L13" s="128">
        <f>K13+'1-Ф3'!L22/Исх!$C$19-'2-ф2'!L13</f>
        <v>121765.64285714286</v>
      </c>
      <c r="M13" s="128"/>
      <c r="N13" s="128">
        <f aca="true" t="shared" si="8" ref="N13:AI14">M13</f>
        <v>0</v>
      </c>
      <c r="O13" s="128">
        <f t="shared" si="8"/>
        <v>0</v>
      </c>
      <c r="P13" s="128">
        <f t="shared" si="8"/>
        <v>0</v>
      </c>
      <c r="Q13" s="128">
        <f t="shared" si="8"/>
        <v>0</v>
      </c>
      <c r="R13" s="128">
        <f t="shared" si="8"/>
        <v>0</v>
      </c>
      <c r="S13" s="128">
        <f t="shared" si="8"/>
        <v>0</v>
      </c>
      <c r="T13" s="128">
        <f t="shared" si="8"/>
        <v>0</v>
      </c>
      <c r="U13" s="128">
        <f t="shared" si="8"/>
        <v>0</v>
      </c>
      <c r="V13" s="128">
        <f t="shared" si="8"/>
        <v>0</v>
      </c>
      <c r="W13" s="128">
        <f t="shared" si="8"/>
        <v>0</v>
      </c>
      <c r="X13" s="128">
        <f t="shared" si="8"/>
        <v>0</v>
      </c>
      <c r="Y13" s="128">
        <f t="shared" si="8"/>
        <v>0</v>
      </c>
      <c r="Z13" s="128">
        <f t="shared" si="8"/>
        <v>0</v>
      </c>
      <c r="AA13" s="128">
        <f t="shared" si="8"/>
        <v>0</v>
      </c>
      <c r="AB13" s="128">
        <f t="shared" si="8"/>
        <v>0</v>
      </c>
      <c r="AC13" s="128">
        <f t="shared" si="8"/>
        <v>0</v>
      </c>
      <c r="AD13" s="128">
        <f t="shared" si="8"/>
        <v>0</v>
      </c>
      <c r="AE13" s="128">
        <f t="shared" si="8"/>
        <v>0</v>
      </c>
      <c r="AF13" s="128">
        <f t="shared" si="8"/>
        <v>0</v>
      </c>
      <c r="AG13" s="128">
        <f t="shared" si="8"/>
        <v>0</v>
      </c>
      <c r="AH13" s="128">
        <f t="shared" si="8"/>
        <v>0</v>
      </c>
      <c r="AI13" s="128">
        <f t="shared" si="8"/>
        <v>0</v>
      </c>
    </row>
    <row r="14" spans="1:35" ht="12.75">
      <c r="A14" s="127" t="s">
        <v>120</v>
      </c>
      <c r="B14" s="129"/>
      <c r="C14" s="128"/>
      <c r="D14" s="128">
        <f>IF('2-ф2'!D30&lt;0,-'2-ф2'!D30,0)</f>
        <v>219.6428571428571</v>
      </c>
      <c r="E14" s="128">
        <f>IF('2-ф2'!E30&lt;0,-'2-ф2'!E30,0)</f>
        <v>439.2857142857142</v>
      </c>
      <c r="F14" s="128">
        <f>IF('2-ф2'!F30&lt;0,-'2-ф2'!F30,0)</f>
        <v>3193.548571428572</v>
      </c>
      <c r="G14" s="128">
        <f>IF('2-ф2'!G30&lt;0,-'2-ф2'!G30,0)</f>
        <v>7028.454285714286</v>
      </c>
      <c r="H14" s="128">
        <f>IF('2-ф2'!H30&lt;0,-'2-ф2'!H30,0)</f>
        <v>8109.097142857143</v>
      </c>
      <c r="I14" s="128">
        <f>IF('2-ф2'!I30&lt;0,-'2-ф2'!I30,0)</f>
        <v>9332.597142857143</v>
      </c>
      <c r="J14" s="128">
        <f>IF('2-ф2'!J30&lt;0,-'2-ф2'!J30,0)</f>
        <v>10556.097142857143</v>
      </c>
      <c r="K14" s="128">
        <f>IF('2-ф2'!K30&lt;0,-'2-ф2'!K30,0)</f>
        <v>11779.597142857143</v>
      </c>
      <c r="L14" s="128">
        <f>IF('2-ф2'!L30&lt;0,-'2-ф2'!L30,0)</f>
        <v>15657.775178571428</v>
      </c>
      <c r="M14" s="128">
        <f>IF('2-ф2'!M30&lt;0,-'2-ф2'!M30,0)</f>
        <v>16280.918207142857</v>
      </c>
      <c r="N14" s="128">
        <f>IF('2-ф2'!N30&lt;0,-'2-ф2'!N30,0)</f>
        <v>16904.061235714285</v>
      </c>
      <c r="O14" s="128">
        <f>IF('2-ф2'!O30&lt;0,-'2-ф2'!O30,0)</f>
        <v>17527.204264285712</v>
      </c>
      <c r="P14" s="128">
        <f t="shared" si="8"/>
        <v>17527.204264285712</v>
      </c>
      <c r="Q14" s="128">
        <f>IF('2-ф2'!Q30&lt;0,-'2-ф2'!Q30,0)</f>
        <v>18150.34729285714</v>
      </c>
      <c r="R14" s="128">
        <f>IF('2-ф2'!R30&lt;0,-'2-ф2'!R30,0)</f>
        <v>18773.490321428566</v>
      </c>
      <c r="S14" s="128">
        <f>IF('2-ф2'!S30&lt;0,-'2-ф2'!S30,0)</f>
        <v>19396.633349999993</v>
      </c>
      <c r="T14" s="128">
        <f>IF('2-ф2'!T30&lt;0,-'2-ф2'!T30,0)</f>
        <v>20019.77637857142</v>
      </c>
      <c r="U14" s="128">
        <f>IF('2-ф2'!U30&lt;0,-'2-ф2'!U30,0)</f>
        <v>20642.919407142846</v>
      </c>
      <c r="V14" s="128">
        <f>IF('2-ф2'!V30&lt;0,-'2-ф2'!V30,0)</f>
        <v>21266.062435714273</v>
      </c>
      <c r="W14" s="128">
        <f>IF('2-ф2'!W30&lt;0,-'2-ф2'!W30,0)</f>
        <v>21889.2054642857</v>
      </c>
      <c r="X14" s="128">
        <f>IF('2-ф2'!X30&lt;0,-'2-ф2'!X30,0)</f>
        <v>22512.348492857127</v>
      </c>
      <c r="Y14" s="128">
        <f>IF('2-ф2'!Y30&lt;0,-'2-ф2'!Y30,0)</f>
        <v>23135.491521428554</v>
      </c>
      <c r="Z14" s="128">
        <f>IF('2-ф2'!Z30&lt;0,-'2-ф2'!Z30,0)</f>
        <v>22513.991692857126</v>
      </c>
      <c r="AA14" s="128">
        <f>IF('2-ф2'!AA30&lt;0,-'2-ф2'!AA30,0)</f>
        <v>21892.491864285697</v>
      </c>
      <c r="AB14" s="128">
        <f>IF('2-ф2'!AB30&lt;0,-'2-ф2'!AB30,0)</f>
        <v>21270.99203571427</v>
      </c>
      <c r="AC14" s="128">
        <f t="shared" si="8"/>
        <v>21270.99203571427</v>
      </c>
      <c r="AD14" s="128">
        <f>IF('2-ф2'!AD30&lt;0,-'2-ф2'!AD30,0)</f>
        <v>13812.994092857129</v>
      </c>
      <c r="AE14" s="128">
        <f>IF('2-ф2'!AE30&lt;0,-'2-ф2'!AE30,0)</f>
        <v>6354.99614999999</v>
      </c>
      <c r="AF14" s="128">
        <f>IF('2-ф2'!AF30&lt;0,-'2-ф2'!AF30,0)</f>
        <v>0</v>
      </c>
      <c r="AG14" s="128">
        <f>IF('2-ф2'!AG30&lt;0,-'2-ф2'!AG30,0)</f>
        <v>0</v>
      </c>
      <c r="AH14" s="128">
        <f>IF('2-ф2'!AH30&lt;0,-'2-ф2'!AH30,0)</f>
        <v>0</v>
      </c>
      <c r="AI14" s="128">
        <f>IF('2-ф2'!AI30&lt;0,-'2-ф2'!AI30,0)</f>
        <v>0</v>
      </c>
    </row>
    <row r="15" spans="1:184" ht="12.7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</row>
    <row r="16" spans="1:42" s="126" customFormat="1" ht="15" customHeight="1">
      <c r="A16" s="122" t="s">
        <v>121</v>
      </c>
      <c r="B16" s="123"/>
      <c r="C16" s="123">
        <f aca="true" t="shared" si="9" ref="C16:AH16">C21+C24+C17</f>
        <v>0</v>
      </c>
      <c r="D16" s="123">
        <f t="shared" si="9"/>
        <v>2050</v>
      </c>
      <c r="E16" s="123">
        <f t="shared" si="9"/>
        <v>4100</v>
      </c>
      <c r="F16" s="123">
        <f t="shared" si="9"/>
        <v>29806.453333333342</v>
      </c>
      <c r="G16" s="123">
        <f t="shared" si="9"/>
        <v>65598.90666666668</v>
      </c>
      <c r="H16" s="123">
        <f t="shared" si="9"/>
        <v>75684.90666666668</v>
      </c>
      <c r="I16" s="123">
        <f t="shared" si="9"/>
        <v>87104.24</v>
      </c>
      <c r="J16" s="123">
        <f t="shared" si="9"/>
        <v>98523.57333333333</v>
      </c>
      <c r="K16" s="123">
        <f t="shared" si="9"/>
        <v>109942.90666666666</v>
      </c>
      <c r="L16" s="123">
        <f t="shared" si="9"/>
        <v>146139.23500000004</v>
      </c>
      <c r="M16" s="123">
        <f t="shared" si="9"/>
        <v>146163.56840555556</v>
      </c>
      <c r="N16" s="123">
        <f t="shared" si="9"/>
        <v>146187.90181111114</v>
      </c>
      <c r="O16" s="123">
        <f t="shared" si="9"/>
        <v>146212.23521666668</v>
      </c>
      <c r="P16" s="123">
        <f t="shared" si="9"/>
        <v>146212.23521666668</v>
      </c>
      <c r="Q16" s="123">
        <f t="shared" si="9"/>
        <v>146236.56862222223</v>
      </c>
      <c r="R16" s="123">
        <f t="shared" si="9"/>
        <v>146260.9020277778</v>
      </c>
      <c r="S16" s="123">
        <f t="shared" si="9"/>
        <v>146285.23543333335</v>
      </c>
      <c r="T16" s="123">
        <f t="shared" si="9"/>
        <v>146309.5688388889</v>
      </c>
      <c r="U16" s="123">
        <f t="shared" si="9"/>
        <v>146333.90224444447</v>
      </c>
      <c r="V16" s="123">
        <f t="shared" si="9"/>
        <v>146358.23565000002</v>
      </c>
      <c r="W16" s="123">
        <f t="shared" si="9"/>
        <v>146382.56905555556</v>
      </c>
      <c r="X16" s="123">
        <f t="shared" si="9"/>
        <v>146406.90246111114</v>
      </c>
      <c r="Y16" s="123">
        <f t="shared" si="9"/>
        <v>146431.23586666668</v>
      </c>
      <c r="Z16" s="123">
        <f t="shared" si="9"/>
        <v>149985.0455614335</v>
      </c>
      <c r="AA16" s="123">
        <f t="shared" si="9"/>
        <v>153538.8552562004</v>
      </c>
      <c r="AB16" s="123">
        <f t="shared" si="9"/>
        <v>157092.66495096724</v>
      </c>
      <c r="AC16" s="123">
        <f t="shared" si="9"/>
        <v>157092.66495096724</v>
      </c>
      <c r="AD16" s="123">
        <f t="shared" si="9"/>
        <v>159961.15136596613</v>
      </c>
      <c r="AE16" s="123">
        <f t="shared" si="9"/>
        <v>164986.53815235238</v>
      </c>
      <c r="AF16" s="123">
        <f t="shared" si="9"/>
        <v>168196.3172805913</v>
      </c>
      <c r="AG16" s="123">
        <f t="shared" si="9"/>
        <v>169624.92262036444</v>
      </c>
      <c r="AH16" s="123">
        <f t="shared" si="9"/>
        <v>172779.04825724737</v>
      </c>
      <c r="AI16" s="123">
        <f>AI21+AI24+AI17</f>
        <v>207096.932041295</v>
      </c>
      <c r="AJ16" s="125"/>
      <c r="AK16" s="125"/>
      <c r="AL16" s="125"/>
      <c r="AM16" s="125"/>
      <c r="AN16" s="125"/>
      <c r="AO16" s="125"/>
      <c r="AP16" s="125"/>
    </row>
    <row r="17" spans="1:35" ht="15" customHeight="1">
      <c r="A17" s="122" t="s">
        <v>122</v>
      </c>
      <c r="B17" s="123"/>
      <c r="C17" s="123">
        <f aca="true" t="shared" si="10" ref="C17:AH17">SUM(C18:C20)</f>
        <v>0</v>
      </c>
      <c r="D17" s="123">
        <f t="shared" si="10"/>
        <v>0</v>
      </c>
      <c r="E17" s="123">
        <f t="shared" si="10"/>
        <v>11.958333333333334</v>
      </c>
      <c r="F17" s="123">
        <f t="shared" si="10"/>
        <v>35.875</v>
      </c>
      <c r="G17" s="123">
        <f t="shared" si="10"/>
        <v>209.74597777777785</v>
      </c>
      <c r="H17" s="123">
        <f t="shared" si="10"/>
        <v>592.4062666666669</v>
      </c>
      <c r="I17" s="123">
        <f t="shared" si="10"/>
        <v>1033.901555555556</v>
      </c>
      <c r="J17" s="123">
        <f t="shared" si="10"/>
        <v>1542.0096222222226</v>
      </c>
      <c r="K17" s="123">
        <f t="shared" si="10"/>
        <v>2116.730466666667</v>
      </c>
      <c r="L17" s="123">
        <f t="shared" si="10"/>
        <v>2758.0640888888893</v>
      </c>
      <c r="M17" s="123">
        <f t="shared" si="10"/>
        <v>3553.599622222223</v>
      </c>
      <c r="N17" s="123">
        <f t="shared" si="10"/>
        <v>4349.135155555557</v>
      </c>
      <c r="O17" s="123">
        <f t="shared" si="10"/>
        <v>5144.67068888889</v>
      </c>
      <c r="P17" s="123">
        <f t="shared" si="10"/>
        <v>5144.67068888889</v>
      </c>
      <c r="Q17" s="123">
        <f t="shared" si="10"/>
        <v>5940.206222222224</v>
      </c>
      <c r="R17" s="123">
        <f t="shared" si="10"/>
        <v>6735.741755555558</v>
      </c>
      <c r="S17" s="123">
        <f t="shared" si="10"/>
        <v>7531.277288888891</v>
      </c>
      <c r="T17" s="123">
        <f t="shared" si="10"/>
        <v>8326.812822222224</v>
      </c>
      <c r="U17" s="123">
        <f t="shared" si="10"/>
        <v>9122.348355555558</v>
      </c>
      <c r="V17" s="123">
        <f t="shared" si="10"/>
        <v>9917.883888888891</v>
      </c>
      <c r="W17" s="123">
        <f t="shared" si="10"/>
        <v>10713.419422222225</v>
      </c>
      <c r="X17" s="123">
        <f t="shared" si="10"/>
        <v>11508.954955555559</v>
      </c>
      <c r="Y17" s="123">
        <f t="shared" si="10"/>
        <v>12304.490488888892</v>
      </c>
      <c r="Z17" s="123">
        <f t="shared" si="10"/>
        <v>13100.026022222226</v>
      </c>
      <c r="AA17" s="123">
        <f t="shared" si="10"/>
        <v>13895.56155555556</v>
      </c>
      <c r="AB17" s="123">
        <f t="shared" si="10"/>
        <v>0</v>
      </c>
      <c r="AC17" s="123">
        <f t="shared" si="10"/>
        <v>0</v>
      </c>
      <c r="AD17" s="123">
        <f t="shared" si="10"/>
        <v>0</v>
      </c>
      <c r="AE17" s="123">
        <f t="shared" si="10"/>
        <v>0</v>
      </c>
      <c r="AF17" s="123">
        <f t="shared" si="10"/>
        <v>0</v>
      </c>
      <c r="AG17" s="123">
        <f t="shared" si="10"/>
        <v>0</v>
      </c>
      <c r="AH17" s="123">
        <f t="shared" si="10"/>
        <v>0</v>
      </c>
      <c r="AI17" s="123">
        <f>SUM(AI18:AI20)</f>
        <v>0</v>
      </c>
    </row>
    <row r="18" spans="1:35" ht="12.75" hidden="1">
      <c r="A18" s="127" t="s">
        <v>123</v>
      </c>
      <c r="B18" s="129"/>
      <c r="C18" s="129"/>
      <c r="D18" s="129">
        <f>C18</f>
        <v>0</v>
      </c>
      <c r="E18" s="129">
        <f>D18</f>
        <v>0</v>
      </c>
      <c r="F18" s="129">
        <f aca="true" t="shared" si="11" ref="F18:O18">E18</f>
        <v>0</v>
      </c>
      <c r="G18" s="129">
        <f t="shared" si="11"/>
        <v>0</v>
      </c>
      <c r="H18" s="129">
        <f t="shared" si="11"/>
        <v>0</v>
      </c>
      <c r="I18" s="129">
        <f t="shared" si="11"/>
        <v>0</v>
      </c>
      <c r="J18" s="129">
        <f t="shared" si="11"/>
        <v>0</v>
      </c>
      <c r="K18" s="129">
        <f t="shared" si="11"/>
        <v>0</v>
      </c>
      <c r="L18" s="129">
        <f t="shared" si="11"/>
        <v>0</v>
      </c>
      <c r="M18" s="129">
        <f t="shared" si="11"/>
        <v>0</v>
      </c>
      <c r="N18" s="129">
        <f t="shared" si="11"/>
        <v>0</v>
      </c>
      <c r="O18" s="129">
        <f t="shared" si="11"/>
        <v>0</v>
      </c>
      <c r="P18" s="129">
        <f>O18</f>
        <v>0</v>
      </c>
      <c r="Q18" s="129">
        <f>P18</f>
        <v>0</v>
      </c>
      <c r="R18" s="129">
        <f>Q18</f>
        <v>0</v>
      </c>
      <c r="S18" s="129">
        <f>R18</f>
        <v>0</v>
      </c>
      <c r="T18" s="129">
        <f>S18</f>
        <v>0</v>
      </c>
      <c r="U18" s="129">
        <f aca="true" t="shared" si="12" ref="U18:AF18">T18</f>
        <v>0</v>
      </c>
      <c r="V18" s="129">
        <f t="shared" si="12"/>
        <v>0</v>
      </c>
      <c r="W18" s="129">
        <f t="shared" si="12"/>
        <v>0</v>
      </c>
      <c r="X18" s="129">
        <f t="shared" si="12"/>
        <v>0</v>
      </c>
      <c r="Y18" s="129">
        <f t="shared" si="12"/>
        <v>0</v>
      </c>
      <c r="Z18" s="129">
        <f t="shared" si="12"/>
        <v>0</v>
      </c>
      <c r="AA18" s="129">
        <f t="shared" si="12"/>
        <v>0</v>
      </c>
      <c r="AB18" s="129">
        <f t="shared" si="12"/>
        <v>0</v>
      </c>
      <c r="AC18" s="129">
        <f t="shared" si="12"/>
        <v>0</v>
      </c>
      <c r="AD18" s="129">
        <f t="shared" si="12"/>
        <v>0</v>
      </c>
      <c r="AE18" s="129">
        <f t="shared" si="12"/>
        <v>0</v>
      </c>
      <c r="AF18" s="129">
        <f t="shared" si="12"/>
        <v>0</v>
      </c>
      <c r="AG18" s="129">
        <f>AF18</f>
        <v>0</v>
      </c>
      <c r="AH18" s="129">
        <f>AG18</f>
        <v>0</v>
      </c>
      <c r="AI18" s="129">
        <f>AH18</f>
        <v>0</v>
      </c>
    </row>
    <row r="19" spans="1:36" ht="25.5">
      <c r="A19" s="127" t="s">
        <v>124</v>
      </c>
      <c r="B19" s="129"/>
      <c r="C19" s="129"/>
      <c r="D19" s="129">
        <f>C19+'2-ф2'!D14-'1-Ф3'!D16-кр!C8</f>
        <v>0</v>
      </c>
      <c r="E19" s="129">
        <f>D19+'2-ф2'!E14-'1-Ф3'!E16-кр!D8</f>
        <v>11.958333333333334</v>
      </c>
      <c r="F19" s="129">
        <f>E19+'2-ф2'!F14-'1-Ф3'!F16-кр!E8</f>
        <v>35.875</v>
      </c>
      <c r="G19" s="129">
        <f>F19+'2-ф2'!G14-'1-Ф3'!G16-кр!F8</f>
        <v>209.74597777777785</v>
      </c>
      <c r="H19" s="129">
        <f>G19+'2-ф2'!H14-'1-Ф3'!H16-кр!G8</f>
        <v>592.4062666666669</v>
      </c>
      <c r="I19" s="129">
        <f>H19+'2-ф2'!I14-'1-Ф3'!I16-кр!H8</f>
        <v>1033.901555555556</v>
      </c>
      <c r="J19" s="129">
        <f>I19+'2-ф2'!J14-'1-Ф3'!J16-кр!I8</f>
        <v>1542.0096222222226</v>
      </c>
      <c r="K19" s="129">
        <f>J19+'2-ф2'!K14-'1-Ф3'!K16-кр!J8</f>
        <v>2116.730466666667</v>
      </c>
      <c r="L19" s="129">
        <f>K19+'2-ф2'!L14-'1-Ф3'!L16-кр!K8</f>
        <v>2758.0640888888893</v>
      </c>
      <c r="M19" s="129">
        <f>L19+'2-ф2'!M14-'1-Ф3'!M16-кр!L8</f>
        <v>3553.599622222223</v>
      </c>
      <c r="N19" s="129">
        <f>M19+'2-ф2'!N14-'1-Ф3'!N16-кр!M8</f>
        <v>4349.135155555557</v>
      </c>
      <c r="O19" s="129">
        <f>N19+'2-ф2'!O14-'1-Ф3'!O16-кр!N8</f>
        <v>5144.67068888889</v>
      </c>
      <c r="P19" s="129">
        <f>O19</f>
        <v>5144.67068888889</v>
      </c>
      <c r="Q19" s="129">
        <f>P19+'2-ф2'!Q14-'1-Ф3'!Q16-кр!P8</f>
        <v>5940.206222222224</v>
      </c>
      <c r="R19" s="129">
        <f>Q19+'2-ф2'!R14-'1-Ф3'!R16-кр!Q8</f>
        <v>6735.741755555558</v>
      </c>
      <c r="S19" s="129">
        <f>R19+'2-ф2'!S14-'1-Ф3'!S16-кр!R8</f>
        <v>7531.277288888891</v>
      </c>
      <c r="T19" s="129">
        <f>S19+'2-ф2'!T14-'1-Ф3'!T16-кр!S8</f>
        <v>8326.812822222224</v>
      </c>
      <c r="U19" s="129">
        <f>T19+'2-ф2'!U14-'1-Ф3'!U16-кр!T8</f>
        <v>9122.348355555558</v>
      </c>
      <c r="V19" s="129">
        <f>U19+'2-ф2'!V14-'1-Ф3'!V16-кр!U8</f>
        <v>9917.883888888891</v>
      </c>
      <c r="W19" s="129">
        <f>V19+'2-ф2'!W14-'1-Ф3'!W16-кр!V8</f>
        <v>10713.419422222225</v>
      </c>
      <c r="X19" s="129">
        <f>W19+'2-ф2'!X14-'1-Ф3'!X16-кр!W8</f>
        <v>11508.954955555559</v>
      </c>
      <c r="Y19" s="129">
        <f>X19+'2-ф2'!Y14-'1-Ф3'!Y16-кр!X8</f>
        <v>12304.490488888892</v>
      </c>
      <c r="Z19" s="129">
        <f>Y19+'2-ф2'!Z14-'1-Ф3'!Z16-кр!Y8</f>
        <v>13100.026022222226</v>
      </c>
      <c r="AA19" s="129">
        <f>Z19+'2-ф2'!AA14-'1-Ф3'!AA16-кр!Z8</f>
        <v>13895.56155555556</v>
      </c>
      <c r="AB19" s="129">
        <f>AA19+'2-ф2'!AB14-'1-Ф3'!AB16-кр!AA8</f>
        <v>0</v>
      </c>
      <c r="AC19" s="129">
        <f>AB19</f>
        <v>0</v>
      </c>
      <c r="AD19" s="129">
        <f>AC19+'2-ф2'!AD14-'1-Ф3'!AD16</f>
        <v>0</v>
      </c>
      <c r="AE19" s="129">
        <f>AD19+'2-ф2'!AE14-'1-Ф3'!AE16</f>
        <v>0</v>
      </c>
      <c r="AF19" s="129">
        <f>AE19+'2-ф2'!AF14-'1-Ф3'!AF16</f>
        <v>0</v>
      </c>
      <c r="AG19" s="129">
        <f>AF19+'2-ф2'!AG14-'1-Ф3'!AG16</f>
        <v>0</v>
      </c>
      <c r="AH19" s="129">
        <f>AG19+'2-ф2'!AH14-'1-Ф3'!AH16</f>
        <v>0</v>
      </c>
      <c r="AI19" s="129">
        <f>AH19+'2-ф2'!AI14-'1-Ф3'!AI16</f>
        <v>0</v>
      </c>
      <c r="AJ19" s="116"/>
    </row>
    <row r="20" spans="1:35" ht="12.75">
      <c r="A20" s="127" t="s">
        <v>126</v>
      </c>
      <c r="B20" s="129"/>
      <c r="C20" s="12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9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9">
        <f>AB20</f>
        <v>0</v>
      </c>
      <c r="AD20" s="129"/>
      <c r="AE20" s="129"/>
      <c r="AF20" s="129"/>
      <c r="AG20" s="129"/>
      <c r="AH20" s="129"/>
      <c r="AI20" s="129"/>
    </row>
    <row r="21" spans="1:35" ht="15" customHeight="1">
      <c r="A21" s="122" t="s">
        <v>127</v>
      </c>
      <c r="B21" s="123"/>
      <c r="C21" s="123">
        <f aca="true" t="shared" si="13" ref="C21:AH21">SUM(C22:C23)</f>
        <v>0</v>
      </c>
      <c r="D21" s="123">
        <f t="shared" si="13"/>
        <v>2050</v>
      </c>
      <c r="E21" s="123">
        <f t="shared" si="13"/>
        <v>4100</v>
      </c>
      <c r="F21" s="123">
        <f t="shared" si="13"/>
        <v>29806.453333333342</v>
      </c>
      <c r="G21" s="123">
        <f t="shared" si="13"/>
        <v>65598.90666666668</v>
      </c>
      <c r="H21" s="123">
        <f t="shared" si="13"/>
        <v>75684.90666666668</v>
      </c>
      <c r="I21" s="123">
        <f t="shared" si="13"/>
        <v>87104.24</v>
      </c>
      <c r="J21" s="123">
        <f t="shared" si="13"/>
        <v>98523.57333333333</v>
      </c>
      <c r="K21" s="123">
        <f t="shared" si="13"/>
        <v>109942.90666666666</v>
      </c>
      <c r="L21" s="123">
        <f t="shared" si="13"/>
        <v>136377.52000000002</v>
      </c>
      <c r="M21" s="123">
        <f t="shared" si="13"/>
        <v>136377.52000000002</v>
      </c>
      <c r="N21" s="123">
        <f t="shared" si="13"/>
        <v>136377.52000000002</v>
      </c>
      <c r="O21" s="123">
        <f t="shared" si="13"/>
        <v>136377.52000000002</v>
      </c>
      <c r="P21" s="123">
        <f t="shared" si="13"/>
        <v>136377.52000000002</v>
      </c>
      <c r="Q21" s="123">
        <f t="shared" si="13"/>
        <v>136377.52000000002</v>
      </c>
      <c r="R21" s="123">
        <f t="shared" si="13"/>
        <v>136377.52000000002</v>
      </c>
      <c r="S21" s="123">
        <f t="shared" si="13"/>
        <v>136377.52000000002</v>
      </c>
      <c r="T21" s="123">
        <f t="shared" si="13"/>
        <v>136377.52000000002</v>
      </c>
      <c r="U21" s="123">
        <f t="shared" si="13"/>
        <v>136377.52000000002</v>
      </c>
      <c r="V21" s="123">
        <f t="shared" si="13"/>
        <v>136377.52000000002</v>
      </c>
      <c r="W21" s="123">
        <f t="shared" si="13"/>
        <v>136377.52000000002</v>
      </c>
      <c r="X21" s="123">
        <f t="shared" si="13"/>
        <v>136377.52000000002</v>
      </c>
      <c r="Y21" s="123">
        <f t="shared" si="13"/>
        <v>136377.52000000002</v>
      </c>
      <c r="Z21" s="123">
        <f t="shared" si="13"/>
        <v>136377.52000000002</v>
      </c>
      <c r="AA21" s="123">
        <f t="shared" si="13"/>
        <v>136377.52000000002</v>
      </c>
      <c r="AB21" s="123">
        <f t="shared" si="13"/>
        <v>151068.61708888892</v>
      </c>
      <c r="AC21" s="123">
        <f t="shared" si="13"/>
        <v>151068.61708888892</v>
      </c>
      <c r="AD21" s="123">
        <f t="shared" si="13"/>
        <v>120854.89367111107</v>
      </c>
      <c r="AE21" s="123">
        <f t="shared" si="13"/>
        <v>90641.17025333333</v>
      </c>
      <c r="AF21" s="123">
        <f t="shared" si="13"/>
        <v>60427.44683555559</v>
      </c>
      <c r="AG21" s="123">
        <f t="shared" si="13"/>
        <v>30213.723417777837</v>
      </c>
      <c r="AH21" s="123">
        <f t="shared" si="13"/>
        <v>5.184119800105691E-11</v>
      </c>
      <c r="AI21" s="123">
        <f>SUM(AI22:AI23)</f>
        <v>5.184119800105691E-11</v>
      </c>
    </row>
    <row r="22" spans="1:35" ht="12.75">
      <c r="A22" s="127" t="s">
        <v>125</v>
      </c>
      <c r="B22" s="129"/>
      <c r="C22" s="123"/>
      <c r="D22" s="129">
        <f>кр!C12</f>
        <v>2050</v>
      </c>
      <c r="E22" s="129">
        <f>кр!D12</f>
        <v>4100</v>
      </c>
      <c r="F22" s="129">
        <f>кр!E12</f>
        <v>29806.453333333342</v>
      </c>
      <c r="G22" s="129">
        <f>кр!F12</f>
        <v>65598.90666666668</v>
      </c>
      <c r="H22" s="129">
        <f>кр!G12</f>
        <v>75684.90666666668</v>
      </c>
      <c r="I22" s="129">
        <f>кр!H12</f>
        <v>87104.24</v>
      </c>
      <c r="J22" s="129">
        <f>кр!I12</f>
        <v>98523.57333333333</v>
      </c>
      <c r="K22" s="129">
        <f>кр!J12</f>
        <v>109942.90666666666</v>
      </c>
      <c r="L22" s="129">
        <f>кр!K12</f>
        <v>136377.52000000002</v>
      </c>
      <c r="M22" s="129">
        <f>кр!L12</f>
        <v>136377.52000000002</v>
      </c>
      <c r="N22" s="129">
        <f>кр!M12</f>
        <v>136377.52000000002</v>
      </c>
      <c r="O22" s="129">
        <f>кр!N12</f>
        <v>136377.52000000002</v>
      </c>
      <c r="P22" s="129">
        <f>кр!O12</f>
        <v>136377.52000000002</v>
      </c>
      <c r="Q22" s="129">
        <f>кр!P12</f>
        <v>136377.52000000002</v>
      </c>
      <c r="R22" s="129">
        <f>кр!Q12</f>
        <v>136377.52000000002</v>
      </c>
      <c r="S22" s="129">
        <f>кр!R12</f>
        <v>136377.52000000002</v>
      </c>
      <c r="T22" s="129">
        <f>кр!S12</f>
        <v>136377.52000000002</v>
      </c>
      <c r="U22" s="129">
        <f>кр!T12</f>
        <v>136377.52000000002</v>
      </c>
      <c r="V22" s="129">
        <f>кр!U12</f>
        <v>136377.52000000002</v>
      </c>
      <c r="W22" s="129">
        <f>кр!V12</f>
        <v>136377.52000000002</v>
      </c>
      <c r="X22" s="129">
        <f>кр!W12</f>
        <v>136377.52000000002</v>
      </c>
      <c r="Y22" s="129">
        <f>кр!X12</f>
        <v>136377.52000000002</v>
      </c>
      <c r="Z22" s="129">
        <f>кр!Y12</f>
        <v>136377.52000000002</v>
      </c>
      <c r="AA22" s="129">
        <f>кр!Z12</f>
        <v>136377.52000000002</v>
      </c>
      <c r="AB22" s="129">
        <f>кр!AA12</f>
        <v>151068.61708888892</v>
      </c>
      <c r="AC22" s="129">
        <f>кр!AB12</f>
        <v>151068.61708888892</v>
      </c>
      <c r="AD22" s="129">
        <f>кр!AO12</f>
        <v>120854.89367111107</v>
      </c>
      <c r="AE22" s="129">
        <f>кр!BB12</f>
        <v>90641.17025333333</v>
      </c>
      <c r="AF22" s="129">
        <f>кр!BO12</f>
        <v>60427.44683555559</v>
      </c>
      <c r="AG22" s="129">
        <f>кр!CB12</f>
        <v>30213.723417777837</v>
      </c>
      <c r="AH22" s="129">
        <f>кр!CO12</f>
        <v>5.184119800105691E-11</v>
      </c>
      <c r="AI22" s="129">
        <f>кр!DB12</f>
        <v>5.184119800105691E-11</v>
      </c>
    </row>
    <row r="23" spans="1:35" ht="15" customHeight="1" hidden="1">
      <c r="A23" s="127" t="s">
        <v>128</v>
      </c>
      <c r="B23" s="129"/>
      <c r="C23" s="129"/>
      <c r="D23" s="129">
        <f>C23</f>
        <v>0</v>
      </c>
      <c r="E23" s="129">
        <f>D23</f>
        <v>0</v>
      </c>
      <c r="F23" s="129">
        <f aca="true" t="shared" si="14" ref="F23:AI23">E23</f>
        <v>0</v>
      </c>
      <c r="G23" s="129">
        <f t="shared" si="14"/>
        <v>0</v>
      </c>
      <c r="H23" s="129">
        <f t="shared" si="14"/>
        <v>0</v>
      </c>
      <c r="I23" s="129">
        <f t="shared" si="14"/>
        <v>0</v>
      </c>
      <c r="J23" s="129">
        <f t="shared" si="14"/>
        <v>0</v>
      </c>
      <c r="K23" s="129">
        <f t="shared" si="14"/>
        <v>0</v>
      </c>
      <c r="L23" s="129">
        <f t="shared" si="14"/>
        <v>0</v>
      </c>
      <c r="M23" s="129">
        <f t="shared" si="14"/>
        <v>0</v>
      </c>
      <c r="N23" s="129">
        <f t="shared" si="14"/>
        <v>0</v>
      </c>
      <c r="O23" s="129">
        <f t="shared" si="14"/>
        <v>0</v>
      </c>
      <c r="P23" s="129">
        <f t="shared" si="14"/>
        <v>0</v>
      </c>
      <c r="Q23" s="129">
        <f t="shared" si="14"/>
        <v>0</v>
      </c>
      <c r="R23" s="129">
        <f t="shared" si="14"/>
        <v>0</v>
      </c>
      <c r="S23" s="129">
        <f t="shared" si="14"/>
        <v>0</v>
      </c>
      <c r="T23" s="129">
        <f t="shared" si="14"/>
        <v>0</v>
      </c>
      <c r="U23" s="129">
        <f t="shared" si="14"/>
        <v>0</v>
      </c>
      <c r="V23" s="129">
        <f t="shared" si="14"/>
        <v>0</v>
      </c>
      <c r="W23" s="129">
        <f t="shared" si="14"/>
        <v>0</v>
      </c>
      <c r="X23" s="129">
        <f t="shared" si="14"/>
        <v>0</v>
      </c>
      <c r="Y23" s="129">
        <f t="shared" si="14"/>
        <v>0</v>
      </c>
      <c r="Z23" s="129">
        <f t="shared" si="14"/>
        <v>0</v>
      </c>
      <c r="AA23" s="129">
        <f t="shared" si="14"/>
        <v>0</v>
      </c>
      <c r="AB23" s="129">
        <f t="shared" si="14"/>
        <v>0</v>
      </c>
      <c r="AC23" s="123">
        <f>AB23</f>
        <v>0</v>
      </c>
      <c r="AD23" s="129">
        <f t="shared" si="14"/>
        <v>0</v>
      </c>
      <c r="AE23" s="129">
        <f t="shared" si="14"/>
        <v>0</v>
      </c>
      <c r="AF23" s="129">
        <f t="shared" si="14"/>
        <v>0</v>
      </c>
      <c r="AG23" s="129">
        <f t="shared" si="14"/>
        <v>0</v>
      </c>
      <c r="AH23" s="129">
        <f t="shared" si="14"/>
        <v>0</v>
      </c>
      <c r="AI23" s="129">
        <f t="shared" si="14"/>
        <v>0</v>
      </c>
    </row>
    <row r="24" spans="1:35" s="126" customFormat="1" ht="15" customHeight="1">
      <c r="A24" s="122" t="s">
        <v>129</v>
      </c>
      <c r="B24" s="123"/>
      <c r="C24" s="123">
        <f aca="true" t="shared" si="15" ref="C24:AH24">SUM(C25:C26)</f>
        <v>0</v>
      </c>
      <c r="D24" s="123">
        <f t="shared" si="15"/>
        <v>0</v>
      </c>
      <c r="E24" s="123">
        <f t="shared" si="15"/>
        <v>-11.958333333333334</v>
      </c>
      <c r="F24" s="123">
        <f t="shared" si="15"/>
        <v>-35.875</v>
      </c>
      <c r="G24" s="123">
        <f t="shared" si="15"/>
        <v>-209.74597777777785</v>
      </c>
      <c r="H24" s="123">
        <f t="shared" si="15"/>
        <v>-592.4062666666669</v>
      </c>
      <c r="I24" s="123">
        <f t="shared" si="15"/>
        <v>-1033.901555555556</v>
      </c>
      <c r="J24" s="123">
        <f t="shared" si="15"/>
        <v>-1542.0096222222226</v>
      </c>
      <c r="K24" s="123">
        <f t="shared" si="15"/>
        <v>-2116.730466666667</v>
      </c>
      <c r="L24" s="123">
        <f t="shared" si="15"/>
        <v>7003.650911111111</v>
      </c>
      <c r="M24" s="123">
        <f t="shared" si="15"/>
        <v>6232.448783333333</v>
      </c>
      <c r="N24" s="123">
        <f t="shared" si="15"/>
        <v>5461.246655555555</v>
      </c>
      <c r="O24" s="123">
        <f t="shared" si="15"/>
        <v>4690.044527777776</v>
      </c>
      <c r="P24" s="123">
        <f t="shared" si="15"/>
        <v>4690.044527777776</v>
      </c>
      <c r="Q24" s="123">
        <f t="shared" si="15"/>
        <v>3918.842399999994</v>
      </c>
      <c r="R24" s="123">
        <f t="shared" si="15"/>
        <v>3147.640272222219</v>
      </c>
      <c r="S24" s="123">
        <f t="shared" si="15"/>
        <v>2376.4381444444443</v>
      </c>
      <c r="T24" s="123">
        <f t="shared" si="15"/>
        <v>1605.2360166666695</v>
      </c>
      <c r="U24" s="123">
        <f t="shared" si="15"/>
        <v>834.0338888888946</v>
      </c>
      <c r="V24" s="123">
        <f t="shared" si="15"/>
        <v>62.83176111111243</v>
      </c>
      <c r="W24" s="123">
        <f t="shared" si="15"/>
        <v>-708.3703666666697</v>
      </c>
      <c r="X24" s="123">
        <f t="shared" si="15"/>
        <v>-1479.5724944444519</v>
      </c>
      <c r="Y24" s="123">
        <f t="shared" si="15"/>
        <v>-2250.774622222234</v>
      </c>
      <c r="Z24" s="123">
        <f t="shared" si="15"/>
        <v>507.49953921129054</v>
      </c>
      <c r="AA24" s="123">
        <f t="shared" si="15"/>
        <v>3265.773700644815</v>
      </c>
      <c r="AB24" s="123">
        <f t="shared" si="15"/>
        <v>6024.04786207834</v>
      </c>
      <c r="AC24" s="123">
        <f t="shared" si="15"/>
        <v>6024.04786207834</v>
      </c>
      <c r="AD24" s="123">
        <f t="shared" si="15"/>
        <v>39106.25769485504</v>
      </c>
      <c r="AE24" s="123">
        <f t="shared" si="15"/>
        <v>74345.36789901904</v>
      </c>
      <c r="AF24" s="123">
        <f t="shared" si="15"/>
        <v>107768.87044503572</v>
      </c>
      <c r="AG24" s="123">
        <f t="shared" si="15"/>
        <v>139411.1992025866</v>
      </c>
      <c r="AH24" s="123">
        <f t="shared" si="15"/>
        <v>172779.0482572473</v>
      </c>
      <c r="AI24" s="123">
        <f>SUM(AI25:AI26)</f>
        <v>207096.93204129493</v>
      </c>
    </row>
    <row r="25" spans="1:35" ht="15" customHeight="1">
      <c r="A25" s="127" t="s">
        <v>130</v>
      </c>
      <c r="B25" s="123"/>
      <c r="C25" s="129"/>
      <c r="D25" s="129">
        <f>C25+'1-Ф3'!D29</f>
        <v>0</v>
      </c>
      <c r="E25" s="129">
        <f>D25+'1-Ф3'!E29</f>
        <v>0</v>
      </c>
      <c r="F25" s="129">
        <f>E25+'1-Ф3'!F29</f>
        <v>0</v>
      </c>
      <c r="G25" s="129">
        <f>F25+'1-Ф3'!G29</f>
        <v>0</v>
      </c>
      <c r="H25" s="129">
        <f>G25+'1-Ф3'!H29</f>
        <v>0</v>
      </c>
      <c r="I25" s="129">
        <f>H25+'1-Ф3'!I29</f>
        <v>0</v>
      </c>
      <c r="J25" s="129">
        <f>I25+'1-Ф3'!J29</f>
        <v>0</v>
      </c>
      <c r="K25" s="129">
        <f>J25+'1-Ф3'!K29</f>
        <v>0</v>
      </c>
      <c r="L25" s="129">
        <f>K25+'1-Ф3'!L29</f>
        <v>9761.715</v>
      </c>
      <c r="M25" s="129">
        <f>L25+'1-Ф3'!M29</f>
        <v>16606.446881361608</v>
      </c>
      <c r="N25" s="129">
        <f>M25+'1-Ф3'!N29</f>
        <v>23451.178762723215</v>
      </c>
      <c r="O25" s="129">
        <f>N25+'1-Ф3'!O29</f>
        <v>30295.910644084823</v>
      </c>
      <c r="P25" s="129">
        <f>O25</f>
        <v>30295.910644084823</v>
      </c>
      <c r="Q25" s="129">
        <f>P25+'1-Ф3'!Q29</f>
        <v>37138.45816439732</v>
      </c>
      <c r="R25" s="129">
        <f>Q25+'1-Ф3'!R29</f>
        <v>43981.005684709824</v>
      </c>
      <c r="S25" s="129">
        <f>R25+'1-Ф3'!S29</f>
        <v>50823.55320502233</v>
      </c>
      <c r="T25" s="129">
        <f>S25+'1-Ф3'!T29</f>
        <v>57666.10072533483</v>
      </c>
      <c r="U25" s="129">
        <f>T25+'1-Ф3'!U29</f>
        <v>64508.64824564733</v>
      </c>
      <c r="V25" s="129">
        <f>U25+'1-Ф3'!V29</f>
        <v>71351.19576595983</v>
      </c>
      <c r="W25" s="129">
        <f>V25+'1-Ф3'!W29</f>
        <v>78193.74328627232</v>
      </c>
      <c r="X25" s="129">
        <f>W25+'1-Ф3'!X29</f>
        <v>85036.29080658482</v>
      </c>
      <c r="Y25" s="129">
        <f>X25+'1-Ф3'!Y29</f>
        <v>91878.83832689731</v>
      </c>
      <c r="Z25" s="129">
        <f>Y25+'1-Ф3'!Z29</f>
        <v>91878.83832689731</v>
      </c>
      <c r="AA25" s="129">
        <f>Z25+'1-Ф3'!AA29</f>
        <v>91878.83832689731</v>
      </c>
      <c r="AB25" s="129">
        <f>AA25+'1-Ф3'!AB29</f>
        <v>91878.83832689731</v>
      </c>
      <c r="AC25" s="129">
        <f>AB25</f>
        <v>91878.83832689731</v>
      </c>
      <c r="AD25" s="129">
        <f>AC25+'1-Ф3'!AD29</f>
        <v>91878.83832689731</v>
      </c>
      <c r="AE25" s="129">
        <f>AD25+'1-Ф3'!AE29</f>
        <v>91878.83832689731</v>
      </c>
      <c r="AF25" s="129">
        <f>AE25+'1-Ф3'!AF29</f>
        <v>91878.83832689731</v>
      </c>
      <c r="AG25" s="129">
        <f>AF25+'1-Ф3'!AG29</f>
        <v>91878.83832689731</v>
      </c>
      <c r="AH25" s="129">
        <f>AG25+'1-Ф3'!AH29</f>
        <v>91878.83832689731</v>
      </c>
      <c r="AI25" s="129">
        <f>AH25+'1-Ф3'!AI29</f>
        <v>91878.83832689731</v>
      </c>
    </row>
    <row r="26" spans="1:35" ht="15" customHeight="1">
      <c r="A26" s="127" t="s">
        <v>131</v>
      </c>
      <c r="B26" s="123"/>
      <c r="C26" s="129"/>
      <c r="D26" s="129">
        <f>'2-ф2'!D18</f>
        <v>0</v>
      </c>
      <c r="E26" s="129">
        <f>'2-ф2'!E18</f>
        <v>-11.958333333333334</v>
      </c>
      <c r="F26" s="129">
        <f>'2-ф2'!F18</f>
        <v>-35.875</v>
      </c>
      <c r="G26" s="129">
        <f>'2-ф2'!G18</f>
        <v>-209.74597777777785</v>
      </c>
      <c r="H26" s="129">
        <f>'2-ф2'!H18</f>
        <v>-592.4062666666669</v>
      </c>
      <c r="I26" s="129">
        <f>'2-ф2'!I18</f>
        <v>-1033.901555555556</v>
      </c>
      <c r="J26" s="129">
        <f>'2-ф2'!J18</f>
        <v>-1542.0096222222226</v>
      </c>
      <c r="K26" s="129">
        <f>'2-ф2'!K18</f>
        <v>-2116.730466666667</v>
      </c>
      <c r="L26" s="129">
        <f>'2-ф2'!L18</f>
        <v>-2758.0640888888893</v>
      </c>
      <c r="M26" s="129">
        <f>'2-ф2'!M18</f>
        <v>-10373.998098028274</v>
      </c>
      <c r="N26" s="129">
        <f>'2-ф2'!N18</f>
        <v>-17989.93210716766</v>
      </c>
      <c r="O26" s="129">
        <f>'2-ф2'!O18</f>
        <v>-25605.866116307046</v>
      </c>
      <c r="P26" s="129">
        <f>'2-ф2'!P18</f>
        <v>-25605.866116307046</v>
      </c>
      <c r="Q26" s="129">
        <f>'2-ф2'!Q18</f>
        <v>-33219.61576439733</v>
      </c>
      <c r="R26" s="129">
        <f>'2-ф2'!R18</f>
        <v>-40833.365412487605</v>
      </c>
      <c r="S26" s="129">
        <f>'2-ф2'!S18</f>
        <v>-48447.11506057788</v>
      </c>
      <c r="T26" s="129">
        <f>'2-ф2'!T18</f>
        <v>-56060.86470866816</v>
      </c>
      <c r="U26" s="129">
        <f>'2-ф2'!U18</f>
        <v>-63674.61435675844</v>
      </c>
      <c r="V26" s="129">
        <f>'2-ф2'!V18</f>
        <v>-71288.36400484871</v>
      </c>
      <c r="W26" s="129">
        <f>'2-ф2'!W18</f>
        <v>-78902.11365293899</v>
      </c>
      <c r="X26" s="129">
        <f>'2-ф2'!X18</f>
        <v>-86515.86330102927</v>
      </c>
      <c r="Y26" s="129">
        <f>'2-ф2'!Y18</f>
        <v>-94129.61294911955</v>
      </c>
      <c r="Z26" s="129">
        <f>'2-ф2'!Z18</f>
        <v>-91371.33878768602</v>
      </c>
      <c r="AA26" s="129">
        <f>'2-ф2'!AA18</f>
        <v>-88613.0646262525</v>
      </c>
      <c r="AB26" s="129">
        <f>'2-ф2'!AB18</f>
        <v>-85854.79046481897</v>
      </c>
      <c r="AC26" s="129">
        <f>'2-ф2'!AC18</f>
        <v>-85854.79046481897</v>
      </c>
      <c r="AD26" s="129">
        <f>'2-ф2'!AD18</f>
        <v>-52772.58063204227</v>
      </c>
      <c r="AE26" s="129">
        <f>'2-ф2'!AE18</f>
        <v>-17533.470427878274</v>
      </c>
      <c r="AF26" s="129">
        <f>'2-ф2'!AF18</f>
        <v>15890.032118138413</v>
      </c>
      <c r="AG26" s="129">
        <f>'2-ф2'!AG18</f>
        <v>47532.36087568929</v>
      </c>
      <c r="AH26" s="129">
        <f>'2-ф2'!AH18</f>
        <v>80900.20993035001</v>
      </c>
      <c r="AI26" s="129">
        <f>'2-ф2'!AI18</f>
        <v>115218.0937143976</v>
      </c>
    </row>
    <row r="28" spans="1:35" ht="12.75">
      <c r="A28" s="132" t="s">
        <v>132</v>
      </c>
      <c r="B28" s="133"/>
      <c r="C28" s="134">
        <f aca="true" t="shared" si="16" ref="C28:AH28">C5-C16</f>
        <v>0</v>
      </c>
      <c r="D28" s="135">
        <f t="shared" si="16"/>
        <v>0</v>
      </c>
      <c r="E28" s="135">
        <f t="shared" si="16"/>
        <v>0</v>
      </c>
      <c r="F28" s="135">
        <f t="shared" si="16"/>
        <v>0</v>
      </c>
      <c r="G28" s="135">
        <f t="shared" si="16"/>
        <v>0</v>
      </c>
      <c r="H28" s="135">
        <f t="shared" si="16"/>
        <v>0</v>
      </c>
      <c r="I28" s="135">
        <f t="shared" si="16"/>
        <v>0</v>
      </c>
      <c r="J28" s="135">
        <f t="shared" si="16"/>
        <v>0</v>
      </c>
      <c r="K28" s="135">
        <f t="shared" si="16"/>
        <v>0</v>
      </c>
      <c r="L28" s="135">
        <f t="shared" si="16"/>
        <v>0</v>
      </c>
      <c r="M28" s="135">
        <f t="shared" si="16"/>
        <v>0</v>
      </c>
      <c r="N28" s="135">
        <f t="shared" si="16"/>
        <v>0</v>
      </c>
      <c r="O28" s="135">
        <f t="shared" si="16"/>
        <v>0</v>
      </c>
      <c r="P28" s="135">
        <f>P5-P16</f>
        <v>0</v>
      </c>
      <c r="Q28" s="135">
        <f t="shared" si="16"/>
        <v>0</v>
      </c>
      <c r="R28" s="135">
        <f t="shared" si="16"/>
        <v>0</v>
      </c>
      <c r="S28" s="135">
        <f t="shared" si="16"/>
        <v>0</v>
      </c>
      <c r="T28" s="135">
        <f t="shared" si="16"/>
        <v>0</v>
      </c>
      <c r="U28" s="135">
        <f t="shared" si="16"/>
        <v>0</v>
      </c>
      <c r="V28" s="135">
        <f t="shared" si="16"/>
        <v>0</v>
      </c>
      <c r="W28" s="135">
        <f t="shared" si="16"/>
        <v>0</v>
      </c>
      <c r="X28" s="135">
        <f t="shared" si="16"/>
        <v>0</v>
      </c>
      <c r="Y28" s="135">
        <f t="shared" si="16"/>
        <v>0</v>
      </c>
      <c r="Z28" s="135">
        <f t="shared" si="16"/>
        <v>0</v>
      </c>
      <c r="AA28" s="135">
        <f t="shared" si="16"/>
        <v>0</v>
      </c>
      <c r="AB28" s="135">
        <f t="shared" si="16"/>
        <v>0</v>
      </c>
      <c r="AC28" s="135">
        <f t="shared" si="16"/>
        <v>0</v>
      </c>
      <c r="AD28" s="135">
        <f t="shared" si="16"/>
        <v>0</v>
      </c>
      <c r="AE28" s="135">
        <f t="shared" si="16"/>
        <v>0</v>
      </c>
      <c r="AF28" s="135">
        <f t="shared" si="16"/>
        <v>0</v>
      </c>
      <c r="AG28" s="135">
        <f t="shared" si="16"/>
        <v>0</v>
      </c>
      <c r="AH28" s="135">
        <f t="shared" si="16"/>
        <v>0</v>
      </c>
      <c r="AI28" s="135">
        <f>AI5-AI16</f>
        <v>0</v>
      </c>
    </row>
    <row r="29" ht="12.75" hidden="1"/>
    <row r="30" spans="1:35" ht="12.75" hidden="1">
      <c r="A30" s="115" t="s">
        <v>131</v>
      </c>
      <c r="P30" s="116">
        <f>P26</f>
        <v>-25605.866116307046</v>
      </c>
      <c r="Q30" s="116">
        <f>'[45]ф2'!Q32</f>
        <v>109.48954266069855</v>
      </c>
      <c r="R30" s="116">
        <f>'[45]ф2'!R32</f>
        <v>109.48954266069855</v>
      </c>
      <c r="S30" s="116">
        <f>'[45]ф2'!S32</f>
        <v>108.45296951069854</v>
      </c>
      <c r="T30" s="116">
        <f>'[45]ф2'!T32</f>
        <v>106.37982321069852</v>
      </c>
      <c r="U30" s="116">
        <f>'[45]ф2'!U32</f>
        <v>103.27010376069849</v>
      </c>
      <c r="V30" s="116">
        <f>'[45]ф2'!V32</f>
        <v>103.27010376069849</v>
      </c>
      <c r="W30" s="116">
        <f>'[45]ф2'!W32</f>
        <v>103.27010376069849</v>
      </c>
      <c r="X30" s="116">
        <f>'[45]ф2'!X32</f>
        <v>99.20125340855881</v>
      </c>
      <c r="Y30" s="116">
        <f>'[45]ф2'!Y32</f>
        <v>99.20125340855881</v>
      </c>
      <c r="Z30" s="116">
        <f>'[45]ф2'!Z32</f>
        <v>99.20125340855881</v>
      </c>
      <c r="AA30" s="116">
        <f>'[45]ф2'!AA32</f>
        <v>99.20125340855881</v>
      </c>
      <c r="AB30" s="116">
        <f>'[45]ф2'!AB32</f>
        <v>82.61608300855879</v>
      </c>
      <c r="AC30" s="116">
        <f>AC26-P26</f>
        <v>-60248.92434851192</v>
      </c>
      <c r="AD30" s="116">
        <f aca="true" t="shared" si="17" ref="AD30:AI30">AD26-AC26</f>
        <v>33082.2098327767</v>
      </c>
      <c r="AE30" s="116">
        <f t="shared" si="17"/>
        <v>35239.110204164</v>
      </c>
      <c r="AF30" s="116">
        <f t="shared" si="17"/>
        <v>33423.50254601669</v>
      </c>
      <c r="AG30" s="116">
        <f t="shared" si="17"/>
        <v>31642.32875755088</v>
      </c>
      <c r="AH30" s="116">
        <f t="shared" si="17"/>
        <v>33367.84905466072</v>
      </c>
      <c r="AI30" s="116">
        <f t="shared" si="17"/>
        <v>34317.88378404759</v>
      </c>
    </row>
    <row r="31" spans="1:35" ht="12.75" hidden="1">
      <c r="A31" s="115" t="s">
        <v>133</v>
      </c>
      <c r="P31" s="116">
        <f>(P8+P10+P13+P14)-(C8+C10+C13+C14)</f>
        <v>17527.204264285712</v>
      </c>
      <c r="AC31" s="116">
        <f>(AC8+AC10+AC13+AC14)-(P8+P10+P13+P14)</f>
        <v>3743.787771428557</v>
      </c>
      <c r="AD31" s="116">
        <f aca="true" t="shared" si="18" ref="AD31:AI31">(AD8+AD10+AD13+AD14)-(AC8+AC10+AC13+AC14)</f>
        <v>-7457.9979428571405</v>
      </c>
      <c r="AE31" s="116">
        <f t="shared" si="18"/>
        <v>-7457.997942857139</v>
      </c>
      <c r="AF31" s="116">
        <f t="shared" si="18"/>
        <v>-6354.99614999999</v>
      </c>
      <c r="AG31" s="116">
        <f t="shared" si="18"/>
        <v>0</v>
      </c>
      <c r="AH31" s="116">
        <f t="shared" si="18"/>
        <v>0</v>
      </c>
      <c r="AI31" s="116">
        <f t="shared" si="18"/>
        <v>0</v>
      </c>
    </row>
    <row r="32" spans="1:35" ht="12.75" hidden="1">
      <c r="A32" s="115" t="s">
        <v>134</v>
      </c>
      <c r="P32" s="116">
        <f>P9-C9</f>
        <v>8715.816964285714</v>
      </c>
      <c r="AC32" s="116">
        <f>AC9-P9</f>
        <v>0</v>
      </c>
      <c r="AD32" s="116">
        <f aca="true" t="shared" si="19" ref="AD32:AI32">AD9-AC9</f>
        <v>0</v>
      </c>
      <c r="AE32" s="116">
        <f t="shared" si="19"/>
        <v>0</v>
      </c>
      <c r="AF32" s="116">
        <f t="shared" si="19"/>
        <v>0</v>
      </c>
      <c r="AG32" s="116">
        <f t="shared" si="19"/>
        <v>0</v>
      </c>
      <c r="AH32" s="116">
        <f t="shared" si="19"/>
        <v>0</v>
      </c>
      <c r="AI32" s="116">
        <f t="shared" si="19"/>
        <v>0</v>
      </c>
    </row>
    <row r="33" spans="1:35" ht="12.75" hidden="1">
      <c r="A33" s="115" t="s">
        <v>135</v>
      </c>
      <c r="P33" s="116">
        <f>(P21+P17)-(C21+C17)</f>
        <v>141522.19068888892</v>
      </c>
      <c r="AC33" s="116">
        <f>(AC21+AC17)-(P21+P17)</f>
        <v>9546.426399999997</v>
      </c>
      <c r="AD33" s="116">
        <f aca="true" t="shared" si="20" ref="AD33:AI33">(AD21+AD17)-(AC21+AC17)</f>
        <v>-30213.723417777845</v>
      </c>
      <c r="AE33" s="116">
        <f t="shared" si="20"/>
        <v>-30213.723417777743</v>
      </c>
      <c r="AF33" s="116">
        <f t="shared" si="20"/>
        <v>-30213.723417777743</v>
      </c>
      <c r="AG33" s="116">
        <f t="shared" si="20"/>
        <v>-30213.72341777775</v>
      </c>
      <c r="AH33" s="116">
        <f t="shared" si="20"/>
        <v>-30213.723417777786</v>
      </c>
      <c r="AI33" s="116">
        <f t="shared" si="20"/>
        <v>0</v>
      </c>
    </row>
    <row r="34" spans="1:35" ht="12.75" hidden="1">
      <c r="A34" s="115" t="s">
        <v>136</v>
      </c>
      <c r="P34" s="116">
        <f>-P31+P32+P33</f>
        <v>132710.80338888892</v>
      </c>
      <c r="Q34" s="116">
        <f aca="true" t="shared" si="21" ref="Q34:AB34">Q31+Q32+Q33</f>
        <v>0</v>
      </c>
      <c r="R34" s="116">
        <f t="shared" si="21"/>
        <v>0</v>
      </c>
      <c r="S34" s="116">
        <f t="shared" si="21"/>
        <v>0</v>
      </c>
      <c r="T34" s="116">
        <f t="shared" si="21"/>
        <v>0</v>
      </c>
      <c r="U34" s="116">
        <f t="shared" si="21"/>
        <v>0</v>
      </c>
      <c r="V34" s="116">
        <f t="shared" si="21"/>
        <v>0</v>
      </c>
      <c r="W34" s="116">
        <f t="shared" si="21"/>
        <v>0</v>
      </c>
      <c r="X34" s="116">
        <f t="shared" si="21"/>
        <v>0</v>
      </c>
      <c r="Y34" s="116">
        <f t="shared" si="21"/>
        <v>0</v>
      </c>
      <c r="Z34" s="116">
        <f t="shared" si="21"/>
        <v>0</v>
      </c>
      <c r="AA34" s="116">
        <f t="shared" si="21"/>
        <v>0</v>
      </c>
      <c r="AB34" s="116">
        <f t="shared" si="21"/>
        <v>0</v>
      </c>
      <c r="AC34" s="116">
        <f aca="true" t="shared" si="22" ref="AC34:AH34">-AC31+AC32+AC33</f>
        <v>5802.63862857144</v>
      </c>
      <c r="AD34" s="116">
        <f t="shared" si="22"/>
        <v>-22755.725474920706</v>
      </c>
      <c r="AE34" s="116">
        <f t="shared" si="22"/>
        <v>-22755.725474920604</v>
      </c>
      <c r="AF34" s="116">
        <f t="shared" si="22"/>
        <v>-23858.72726777775</v>
      </c>
      <c r="AG34" s="116">
        <f t="shared" si="22"/>
        <v>-30213.72341777775</v>
      </c>
      <c r="AH34" s="116">
        <f t="shared" si="22"/>
        <v>-30213.723417777786</v>
      </c>
      <c r="AI34" s="116">
        <f>-AI31+AI32+AI33</f>
        <v>0</v>
      </c>
    </row>
    <row r="35" spans="1:35" ht="12.75" hidden="1">
      <c r="A35" s="115" t="s">
        <v>74</v>
      </c>
      <c r="P35" s="116">
        <f>'2-ф2'!P13</f>
        <v>1796.4288690476196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>
        <f>'2-ф2'!AC13</f>
        <v>7185.715476190479</v>
      </c>
      <c r="AD35" s="116">
        <f>'2-ф2'!AD13</f>
        <v>7185.7154761904785</v>
      </c>
      <c r="AE35" s="116">
        <f>'2-ф2'!AE13</f>
        <v>7185.7154761904785</v>
      </c>
      <c r="AF35" s="116">
        <f>'2-ф2'!AF13</f>
        <v>7185.7154761904785</v>
      </c>
      <c r="AG35" s="116">
        <f>'2-ф2'!AG13</f>
        <v>7185.7154761904785</v>
      </c>
      <c r="AH35" s="116">
        <f>'2-ф2'!AH13</f>
        <v>7185.7154761904785</v>
      </c>
      <c r="AI35" s="116">
        <f>'2-ф2'!AI13</f>
        <v>7185.7154761904785</v>
      </c>
    </row>
    <row r="36" spans="1:35" ht="12.75" hidden="1">
      <c r="A36" s="115" t="s">
        <v>137</v>
      </c>
      <c r="P36" s="116">
        <f>-'1-Ф3'!P22</f>
        <v>-136377.52000000002</v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>
        <f>-'1-Ф3'!AC22</f>
        <v>0</v>
      </c>
      <c r="AD36" s="116">
        <f>-'1-Ф3'!AD22</f>
        <v>0</v>
      </c>
      <c r="AE36" s="116">
        <f>-'1-Ф3'!AE22</f>
        <v>0</v>
      </c>
      <c r="AF36" s="116">
        <f>-'1-Ф3'!AF22</f>
        <v>0</v>
      </c>
      <c r="AG36" s="116">
        <f>-'1-Ф3'!AG22</f>
        <v>0</v>
      </c>
      <c r="AH36" s="116">
        <f>-'1-Ф3'!AH22</f>
        <v>0</v>
      </c>
      <c r="AI36" s="116">
        <f>-'1-Ф3'!AI22</f>
        <v>0</v>
      </c>
    </row>
    <row r="37" spans="1:35" ht="12.75" hidden="1">
      <c r="A37" s="115" t="s">
        <v>138</v>
      </c>
      <c r="P37" s="116">
        <f>P30+P34+P35+P36+P25</f>
        <v>2819.7567857142967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>
        <f aca="true" t="shared" si="23" ref="AC37:AH37">AC30+AC34+AC35+AC36</f>
        <v>-47260.57024375</v>
      </c>
      <c r="AD37" s="116">
        <f t="shared" si="23"/>
        <v>17512.199834046474</v>
      </c>
      <c r="AE37" s="116">
        <f t="shared" si="23"/>
        <v>19669.10020543387</v>
      </c>
      <c r="AF37" s="116">
        <f t="shared" si="23"/>
        <v>16750.490754429415</v>
      </c>
      <c r="AG37" s="116">
        <f t="shared" si="23"/>
        <v>8614.320815963609</v>
      </c>
      <c r="AH37" s="116">
        <f t="shared" si="23"/>
        <v>10339.841113073413</v>
      </c>
      <c r="AI37" s="116">
        <f>AI30+AI34+AI35+AI36</f>
        <v>41503.59926023807</v>
      </c>
    </row>
    <row r="38" ht="12.75" hidden="1"/>
    <row r="39" spans="1:35" ht="12.75" hidden="1">
      <c r="A39" s="115" t="s">
        <v>144</v>
      </c>
      <c r="P39" s="116">
        <f>'1-Ф3'!P35</f>
        <v>0</v>
      </c>
      <c r="AC39" s="116">
        <f>'1-Ф3'!AC35</f>
        <v>14322.357439062514</v>
      </c>
      <c r="AD39" s="116">
        <f>'1-Ф3'!AD35</f>
        <v>17512.19983404654</v>
      </c>
      <c r="AE39" s="116">
        <f>'1-Ф3'!AE35</f>
        <v>19669.10020543385</v>
      </c>
      <c r="AF39" s="116">
        <f>'1-Ф3'!AF35</f>
        <v>16750.4907544294</v>
      </c>
      <c r="AG39" s="116">
        <f>'1-Ф3'!AG35</f>
        <v>8614.320815963601</v>
      </c>
      <c r="AH39" s="116">
        <f>'1-Ф3'!AH35</f>
        <v>10339.841113073435</v>
      </c>
      <c r="AI39" s="116">
        <f>'1-Ф3'!AI35</f>
        <v>41503.59926023809</v>
      </c>
    </row>
    <row r="40" spans="1:35" ht="12.75" hidden="1">
      <c r="A40" s="132" t="s">
        <v>132</v>
      </c>
      <c r="B40" s="133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>
        <f>P39-P37</f>
        <v>-2819.7567857142967</v>
      </c>
      <c r="Q40" s="135">
        <f aca="true" t="shared" si="24" ref="Q40:AB40">Q39-Q37</f>
        <v>0</v>
      </c>
      <c r="R40" s="135">
        <f t="shared" si="24"/>
        <v>0</v>
      </c>
      <c r="S40" s="135">
        <f t="shared" si="24"/>
        <v>0</v>
      </c>
      <c r="T40" s="135">
        <f t="shared" si="24"/>
        <v>0</v>
      </c>
      <c r="U40" s="135">
        <f t="shared" si="24"/>
        <v>0</v>
      </c>
      <c r="V40" s="135">
        <f t="shared" si="24"/>
        <v>0</v>
      </c>
      <c r="W40" s="135">
        <f t="shared" si="24"/>
        <v>0</v>
      </c>
      <c r="X40" s="135">
        <f t="shared" si="24"/>
        <v>0</v>
      </c>
      <c r="Y40" s="135">
        <f t="shared" si="24"/>
        <v>0</v>
      </c>
      <c r="Z40" s="135">
        <f t="shared" si="24"/>
        <v>0</v>
      </c>
      <c r="AA40" s="135">
        <f t="shared" si="24"/>
        <v>0</v>
      </c>
      <c r="AB40" s="135">
        <f t="shared" si="24"/>
        <v>0</v>
      </c>
      <c r="AC40" s="135">
        <f aca="true" t="shared" si="25" ref="AC40:AH40">AC39-AC37</f>
        <v>61582.927682812515</v>
      </c>
      <c r="AD40" s="135">
        <f t="shared" si="25"/>
        <v>6.548361852765083E-11</v>
      </c>
      <c r="AE40" s="135">
        <f t="shared" si="25"/>
        <v>0</v>
      </c>
      <c r="AF40" s="135">
        <f t="shared" si="25"/>
        <v>0</v>
      </c>
      <c r="AG40" s="135">
        <f t="shared" si="25"/>
        <v>0</v>
      </c>
      <c r="AH40" s="135">
        <f t="shared" si="25"/>
        <v>2.1827872842550278E-11</v>
      </c>
      <c r="AI40" s="135">
        <f>AI39-AI37</f>
        <v>0</v>
      </c>
    </row>
    <row r="41" spans="7:21" ht="12.75">
      <c r="G41" s="280">
        <f aca="true" t="shared" si="26" ref="G41:L41">G28-F28</f>
        <v>0</v>
      </c>
      <c r="H41" s="280">
        <f t="shared" si="26"/>
        <v>0</v>
      </c>
      <c r="I41" s="280">
        <f t="shared" si="26"/>
        <v>0</v>
      </c>
      <c r="J41" s="280">
        <f t="shared" si="26"/>
        <v>0</v>
      </c>
      <c r="K41" s="280">
        <f t="shared" si="26"/>
        <v>0</v>
      </c>
      <c r="L41" s="280">
        <f t="shared" si="26"/>
        <v>0</v>
      </c>
      <c r="M41" s="280">
        <f>M28-L28</f>
        <v>0</v>
      </c>
      <c r="N41" s="280">
        <f>N28-M28</f>
        <v>0</v>
      </c>
      <c r="O41" s="280"/>
      <c r="P41" s="280"/>
      <c r="Q41" s="280"/>
      <c r="R41" s="280"/>
      <c r="S41" s="116"/>
      <c r="T41" s="116"/>
      <c r="U41" s="116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5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D25" sqref="D25"/>
    </sheetView>
  </sheetViews>
  <sheetFormatPr defaultColWidth="9.00390625" defaultRowHeight="12.75"/>
  <cols>
    <col min="1" max="1" width="29.875" style="70" customWidth="1"/>
    <col min="2" max="2" width="18.75390625" style="70" customWidth="1"/>
    <col min="3" max="3" width="20.00390625" style="70" customWidth="1"/>
    <col min="4" max="4" width="19.00390625" style="70" customWidth="1"/>
    <col min="5" max="13" width="9.125" style="70" customWidth="1"/>
    <col min="14" max="14" width="14.375" style="70" customWidth="1"/>
    <col min="15" max="16384" width="9.125" style="70" customWidth="1"/>
  </cols>
  <sheetData>
    <row r="1" spans="1:3" ht="15.75" customHeight="1">
      <c r="A1" s="307" t="s">
        <v>36</v>
      </c>
      <c r="B1" s="307"/>
      <c r="C1" s="307"/>
    </row>
    <row r="2" spans="1:7" ht="12" customHeight="1">
      <c r="A2" s="60"/>
      <c r="G2" s="231">
        <f>'1-Ф3'!B36</f>
        <v>128711.90942224753</v>
      </c>
    </row>
    <row r="3" spans="1:3" ht="12.75">
      <c r="A3" s="71" t="s">
        <v>26</v>
      </c>
      <c r="B3" s="72" t="s">
        <v>37</v>
      </c>
      <c r="C3" s="72" t="s">
        <v>7</v>
      </c>
    </row>
    <row r="4" ht="12.75">
      <c r="A4" s="60" t="s">
        <v>146</v>
      </c>
    </row>
    <row r="5" spans="1:3" ht="12.75">
      <c r="A5" s="73" t="s">
        <v>100</v>
      </c>
      <c r="B5" s="73"/>
      <c r="C5" s="141">
        <v>151.54</v>
      </c>
    </row>
    <row r="6" spans="1:3" ht="12.75">
      <c r="A6" s="73" t="s">
        <v>235</v>
      </c>
      <c r="B6" s="73"/>
      <c r="C6" s="141">
        <v>205</v>
      </c>
    </row>
    <row r="7" spans="1:3" ht="12.75">
      <c r="A7" s="73" t="s">
        <v>156</v>
      </c>
      <c r="B7" s="73"/>
      <c r="C7" s="219">
        <v>4.61</v>
      </c>
    </row>
    <row r="8" spans="1:4" ht="12.75">
      <c r="A8" s="73" t="s">
        <v>70</v>
      </c>
      <c r="B8" s="73"/>
      <c r="C8" s="153">
        <f>(20%*C9+C32*(1-C20)*(1-C9))*0+7%</f>
        <v>0.07</v>
      </c>
      <c r="D8" s="70" t="s">
        <v>197</v>
      </c>
    </row>
    <row r="9" spans="1:3" ht="12.75">
      <c r="A9" s="73" t="s">
        <v>194</v>
      </c>
      <c r="B9" s="73"/>
      <c r="C9" s="153">
        <f>'1-Ф3'!B29/'1-Ф3'!B28</f>
        <v>0.40252477083382293</v>
      </c>
    </row>
    <row r="10" spans="1:3" ht="12.75">
      <c r="A10" s="73" t="s">
        <v>139</v>
      </c>
      <c r="B10" s="73"/>
      <c r="C10" s="77" t="s">
        <v>56</v>
      </c>
    </row>
    <row r="11" ht="12.75">
      <c r="A11" s="60" t="s">
        <v>140</v>
      </c>
    </row>
    <row r="12" spans="1:3" ht="12.75">
      <c r="A12" s="73" t="s">
        <v>44</v>
      </c>
      <c r="B12" s="75" t="s">
        <v>39</v>
      </c>
      <c r="C12" s="76">
        <v>0.1</v>
      </c>
    </row>
    <row r="13" spans="1:3" ht="12.75">
      <c r="A13" s="73" t="s">
        <v>49</v>
      </c>
      <c r="B13" s="75" t="s">
        <v>39</v>
      </c>
      <c r="C13" s="76">
        <v>0.05</v>
      </c>
    </row>
    <row r="14" spans="1:3" ht="12.75">
      <c r="A14" s="73" t="s">
        <v>198</v>
      </c>
      <c r="B14" s="75" t="s">
        <v>39</v>
      </c>
      <c r="C14" s="76">
        <v>0.1</v>
      </c>
    </row>
    <row r="15" spans="1:3" ht="12.75">
      <c r="A15" s="73" t="s">
        <v>47</v>
      </c>
      <c r="B15" s="75" t="s">
        <v>39</v>
      </c>
      <c r="C15" s="76">
        <f>11%</f>
        <v>0.11</v>
      </c>
    </row>
    <row r="16" spans="1:3" ht="12.75">
      <c r="A16" s="73" t="s">
        <v>111</v>
      </c>
      <c r="B16" s="75" t="s">
        <v>56</v>
      </c>
      <c r="C16" s="78">
        <v>18.66</v>
      </c>
    </row>
    <row r="17" spans="1:4" ht="12.75">
      <c r="A17" s="73" t="s">
        <v>1</v>
      </c>
      <c r="B17" s="75"/>
      <c r="C17" s="229">
        <f>1.5%</f>
        <v>0.015</v>
      </c>
      <c r="D17" s="70" t="s">
        <v>261</v>
      </c>
    </row>
    <row r="18" spans="1:3" ht="12.75">
      <c r="A18" s="73" t="s">
        <v>38</v>
      </c>
      <c r="B18" s="75" t="s">
        <v>39</v>
      </c>
      <c r="C18" s="76">
        <f>12%</f>
        <v>0.12</v>
      </c>
    </row>
    <row r="19" spans="1:3" ht="12.75">
      <c r="A19" s="73" t="s">
        <v>57</v>
      </c>
      <c r="B19" s="73"/>
      <c r="C19" s="74">
        <v>1.12</v>
      </c>
    </row>
    <row r="20" spans="1:3" ht="12.75">
      <c r="A20" s="73" t="s">
        <v>185</v>
      </c>
      <c r="B20" s="73"/>
      <c r="C20" s="76">
        <v>0.2</v>
      </c>
    </row>
    <row r="22" spans="1:10" ht="12.75">
      <c r="A22" s="60" t="s">
        <v>263</v>
      </c>
      <c r="C22" s="136"/>
      <c r="E22" s="143"/>
      <c r="F22" s="143"/>
      <c r="G22" s="143"/>
      <c r="H22" s="143"/>
      <c r="I22" s="143"/>
      <c r="J22" s="143"/>
    </row>
    <row r="23" spans="1:10" ht="12.75">
      <c r="A23" s="73" t="s">
        <v>265</v>
      </c>
      <c r="B23" s="75" t="s">
        <v>264</v>
      </c>
      <c r="C23" s="141">
        <v>34</v>
      </c>
      <c r="E23" s="143"/>
      <c r="F23" s="143"/>
      <c r="G23" s="143"/>
      <c r="H23" s="143"/>
      <c r="I23" s="143"/>
      <c r="J23" s="143"/>
    </row>
    <row r="24" ht="12.75">
      <c r="A24" s="60" t="s">
        <v>201</v>
      </c>
    </row>
    <row r="25" spans="1:4" ht="12.75">
      <c r="A25" s="160" t="s">
        <v>265</v>
      </c>
      <c r="B25" s="75" t="s">
        <v>278</v>
      </c>
      <c r="C25" s="141">
        <v>4100</v>
      </c>
      <c r="D25" s="70" t="s">
        <v>289</v>
      </c>
    </row>
    <row r="26" spans="1:3" ht="12.75" hidden="1">
      <c r="A26" s="160"/>
      <c r="B26" s="75"/>
      <c r="C26" s="141"/>
    </row>
    <row r="27" spans="1:6" ht="12.75">
      <c r="A27" s="160" t="s">
        <v>267</v>
      </c>
      <c r="B27" s="75" t="s">
        <v>278</v>
      </c>
      <c r="C27" s="141">
        <v>750</v>
      </c>
      <c r="D27" s="8"/>
      <c r="E27" s="283" t="s">
        <v>266</v>
      </c>
      <c r="F27" s="8"/>
    </row>
    <row r="28" spans="1:6" ht="12.75">
      <c r="A28" s="160" t="s">
        <v>272</v>
      </c>
      <c r="B28" s="75" t="s">
        <v>279</v>
      </c>
      <c r="C28" s="141">
        <f>27.5*$C$7*1.1</f>
        <v>139.45250000000001</v>
      </c>
      <c r="D28" s="8"/>
      <c r="E28" s="283" t="s">
        <v>281</v>
      </c>
      <c r="F28" s="8"/>
    </row>
    <row r="29" spans="1:5" ht="12.75">
      <c r="A29" s="160" t="s">
        <v>269</v>
      </c>
      <c r="B29" s="214" t="s">
        <v>277</v>
      </c>
      <c r="C29" s="141">
        <v>257.38</v>
      </c>
      <c r="E29" s="216" t="s">
        <v>282</v>
      </c>
    </row>
    <row r="30" spans="1:6" ht="12.75">
      <c r="A30" s="160" t="s">
        <v>268</v>
      </c>
      <c r="B30" s="75" t="s">
        <v>280</v>
      </c>
      <c r="C30" s="141">
        <f>13.14</f>
        <v>13.14</v>
      </c>
      <c r="D30" s="8"/>
      <c r="E30" s="283" t="s">
        <v>282</v>
      </c>
      <c r="F30" s="8"/>
    </row>
    <row r="31" ht="12.75">
      <c r="A31" s="60" t="s">
        <v>147</v>
      </c>
    </row>
    <row r="32" spans="1:3" ht="12.75">
      <c r="A32" s="73" t="s">
        <v>54</v>
      </c>
      <c r="B32" s="75" t="s">
        <v>39</v>
      </c>
      <c r="C32" s="76">
        <v>0.07</v>
      </c>
    </row>
    <row r="33" spans="1:3" ht="12.75">
      <c r="A33" s="73" t="s">
        <v>148</v>
      </c>
      <c r="B33" s="75" t="s">
        <v>149</v>
      </c>
      <c r="C33" s="219">
        <v>7</v>
      </c>
    </row>
    <row r="34" spans="1:3" ht="12.75">
      <c r="A34" s="73" t="s">
        <v>150</v>
      </c>
      <c r="B34" s="75" t="s">
        <v>152</v>
      </c>
      <c r="C34" s="141">
        <v>24</v>
      </c>
    </row>
    <row r="35" spans="1:3" ht="12.75">
      <c r="A35" s="73" t="s">
        <v>151</v>
      </c>
      <c r="B35" s="75" t="s">
        <v>152</v>
      </c>
      <c r="C35" s="141">
        <v>24</v>
      </c>
    </row>
  </sheetData>
  <sheetProtection/>
  <mergeCells count="1">
    <mergeCell ref="A1:C1"/>
  </mergeCells>
  <hyperlinks>
    <hyperlink ref="E27" r:id="rId1" display="http://satu.kz/Ryba-osetr.html"/>
    <hyperlink ref="E28" r:id="rId2" display="http://www.kaspnirh.ru/price/"/>
    <hyperlink ref="E29" r:id="rId3" display="http://www.rkc.maek.kz/ru/tariffs"/>
    <hyperlink ref="E30" r:id="rId4" display="http://www.rkc.maek.kz/ru/tariffs"/>
  </hyperlinks>
  <printOptions/>
  <pageMargins left="0.3" right="0.25" top="0.43" bottom="0.33" header="0.21" footer="0.24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7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D7" sqref="D7"/>
    </sheetView>
  </sheetViews>
  <sheetFormatPr defaultColWidth="8.875" defaultRowHeight="12.75"/>
  <cols>
    <col min="1" max="1" width="29.75390625" style="70" customWidth="1"/>
    <col min="2" max="2" width="10.875" style="70" customWidth="1"/>
    <col min="3" max="3" width="10.375" style="70" customWidth="1"/>
    <col min="4" max="4" width="12.00390625" style="70" customWidth="1"/>
    <col min="5" max="5" width="14.375" style="70" bestFit="1" customWidth="1"/>
    <col min="6" max="16384" width="8.875" style="70" customWidth="1"/>
  </cols>
  <sheetData>
    <row r="1" ht="12.75">
      <c r="A1" s="60" t="s">
        <v>225</v>
      </c>
    </row>
    <row r="2" ht="12.75">
      <c r="A2" s="60"/>
    </row>
    <row r="3" spans="1:5" ht="12.75">
      <c r="A3" s="275" t="s">
        <v>199</v>
      </c>
      <c r="C3" s="136"/>
      <c r="D3" s="136"/>
      <c r="E3" s="285" t="s">
        <v>40</v>
      </c>
    </row>
    <row r="4" spans="1:5" ht="12.75">
      <c r="A4" s="212" t="s">
        <v>94</v>
      </c>
      <c r="B4" s="218" t="s">
        <v>226</v>
      </c>
      <c r="C4" s="218" t="s">
        <v>154</v>
      </c>
      <c r="D4" s="218" t="s">
        <v>227</v>
      </c>
      <c r="E4" s="218" t="s">
        <v>188</v>
      </c>
    </row>
    <row r="5" spans="1:5" ht="12.75">
      <c r="A5" s="73" t="str">
        <f>Исх!A25</f>
        <v>Осетрина</v>
      </c>
      <c r="B5" s="217" t="s">
        <v>237</v>
      </c>
      <c r="C5" s="142">
        <f>Исх!C23</f>
        <v>34</v>
      </c>
      <c r="D5" s="142">
        <f>Исх!C25/Исх!$C$19</f>
        <v>3660.7142857142853</v>
      </c>
      <c r="E5" s="142">
        <f>C5*D5</f>
        <v>124464.2857142857</v>
      </c>
    </row>
    <row r="6" spans="1:5" ht="12.75" hidden="1">
      <c r="A6" s="73">
        <f>Исх!A26</f>
        <v>0</v>
      </c>
      <c r="B6" s="217" t="s">
        <v>237</v>
      </c>
      <c r="C6" s="277"/>
      <c r="D6" s="142">
        <f>Исх!C26</f>
        <v>0</v>
      </c>
      <c r="E6" s="142">
        <f>C6*D6</f>
        <v>0</v>
      </c>
    </row>
    <row r="7" spans="1:5" ht="12.75">
      <c r="A7" s="149" t="s">
        <v>0</v>
      </c>
      <c r="B7" s="265"/>
      <c r="C7" s="266"/>
      <c r="D7" s="266"/>
      <c r="E7" s="266">
        <f>SUM(E5:E6)</f>
        <v>124464.2857142857</v>
      </c>
    </row>
  </sheetData>
  <sheetProtection/>
  <printOptions/>
  <pageMargins left="0.49" right="0.18" top="0.59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8.875" defaultRowHeight="12.75"/>
  <cols>
    <col min="1" max="1" width="30.625" style="70" customWidth="1"/>
    <col min="2" max="2" width="12.875" style="70" customWidth="1"/>
    <col min="3" max="3" width="22.125" style="70" customWidth="1"/>
    <col min="4" max="4" width="17.25390625" style="70" customWidth="1"/>
    <col min="5" max="5" width="16.00390625" style="70" customWidth="1"/>
    <col min="6" max="6" width="14.00390625" style="70" customWidth="1"/>
    <col min="7" max="7" width="13.00390625" style="70" customWidth="1"/>
    <col min="8" max="8" width="14.125" style="70" customWidth="1"/>
    <col min="9" max="16384" width="8.875" style="70" customWidth="1"/>
  </cols>
  <sheetData>
    <row r="1" spans="1:5" ht="12.75">
      <c r="A1" s="60" t="s">
        <v>228</v>
      </c>
      <c r="B1" s="60"/>
      <c r="C1" s="60"/>
      <c r="D1" s="60"/>
      <c r="E1" s="60"/>
    </row>
    <row r="2" spans="1:5" ht="12.75">
      <c r="A2" s="60"/>
      <c r="B2" s="60"/>
      <c r="C2" s="60"/>
      <c r="D2" s="60"/>
      <c r="E2" s="60"/>
    </row>
    <row r="3" spans="1:6" ht="12.75">
      <c r="A3" s="275" t="s">
        <v>199</v>
      </c>
      <c r="F3" s="200" t="s">
        <v>40</v>
      </c>
    </row>
    <row r="4" spans="1:6" ht="12.75">
      <c r="A4" s="272" t="s">
        <v>229</v>
      </c>
      <c r="B4" s="273" t="s">
        <v>226</v>
      </c>
      <c r="C4" s="273" t="s">
        <v>35</v>
      </c>
      <c r="D4" s="273" t="s">
        <v>270</v>
      </c>
      <c r="E4" s="263" t="s">
        <v>188</v>
      </c>
      <c r="F4" s="263" t="s">
        <v>305</v>
      </c>
    </row>
    <row r="5" spans="1:9" ht="12.75">
      <c r="A5" s="73" t="s">
        <v>271</v>
      </c>
      <c r="B5" s="258" t="s">
        <v>224</v>
      </c>
      <c r="C5" s="284">
        <f>Исх!C23*1000*1.4</f>
        <v>47600</v>
      </c>
      <c r="D5" s="43">
        <f>Исх!C27/Исх!$C$19</f>
        <v>669.6428571428571</v>
      </c>
      <c r="E5" s="43">
        <f>C5*D5/1000</f>
        <v>31875</v>
      </c>
      <c r="F5" s="43">
        <f>E5/Исх!$C$23</f>
        <v>937.5</v>
      </c>
      <c r="I5" s="216" t="s">
        <v>253</v>
      </c>
    </row>
    <row r="6" spans="1:6" ht="12.75">
      <c r="A6" s="73" t="s">
        <v>272</v>
      </c>
      <c r="B6" s="258" t="s">
        <v>274</v>
      </c>
      <c r="C6" s="284">
        <v>24000</v>
      </c>
      <c r="D6" s="43">
        <f>Исх!C28/Исх!$C$19</f>
        <v>124.51116071428572</v>
      </c>
      <c r="E6" s="43">
        <f>C6*D6/1000</f>
        <v>2988.2678571428573</v>
      </c>
      <c r="F6" s="43">
        <f>E6/Исх!$C$23</f>
        <v>87.89023109243698</v>
      </c>
    </row>
    <row r="7" spans="1:6" ht="12.75">
      <c r="A7" s="73" t="s">
        <v>269</v>
      </c>
      <c r="B7" s="258" t="s">
        <v>275</v>
      </c>
      <c r="C7" s="284">
        <v>42840</v>
      </c>
      <c r="D7" s="43">
        <f>Исх!C29/Исх!$C$19</f>
        <v>229.80357142857142</v>
      </c>
      <c r="E7" s="43">
        <f>C7*D7/1000</f>
        <v>9844.785</v>
      </c>
      <c r="F7" s="43">
        <f>E7/Исх!$C$23</f>
        <v>289.5525</v>
      </c>
    </row>
    <row r="8" spans="1:6" ht="12.75">
      <c r="A8" s="73" t="s">
        <v>273</v>
      </c>
      <c r="B8" s="258" t="s">
        <v>276</v>
      </c>
      <c r="C8" s="284">
        <v>350000</v>
      </c>
      <c r="D8" s="43">
        <f>Исх!C30/Исх!$C$19</f>
        <v>11.732142857142856</v>
      </c>
      <c r="E8" s="43">
        <f>C8*D8/1000</f>
        <v>4106.249999999999</v>
      </c>
      <c r="F8" s="43">
        <f>E8/Исх!$C$23</f>
        <v>120.77205882352939</v>
      </c>
    </row>
    <row r="9" spans="1:6" s="60" customFormat="1" ht="12.75">
      <c r="A9" s="149" t="s">
        <v>0</v>
      </c>
      <c r="B9" s="264"/>
      <c r="C9" s="264"/>
      <c r="D9" s="264"/>
      <c r="E9" s="278">
        <f>SUM(E5:E8)</f>
        <v>48814.30285714286</v>
      </c>
      <c r="F9" s="286">
        <f>SUM(F5:F8)</f>
        <v>1435.7147899159663</v>
      </c>
    </row>
    <row r="10" ht="12.75">
      <c r="A10" s="60"/>
    </row>
  </sheetData>
  <sheetProtection/>
  <hyperlinks>
    <hyperlink ref="I5" r:id="rId1" display="http://www.uzv.su/ru/building/standardprojects/sturgeon"/>
  </hyperlinks>
  <printOptions/>
  <pageMargins left="0.23" right="0.2" top="0.45" bottom="0.38" header="0.2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6"/>
  <sheetViews>
    <sheetView showGridLines="0" showZeros="0" zoomScalePageLayoutView="0" workbookViewId="0" topLeftCell="A1">
      <pane xSplit="3" ySplit="4" topLeftCell="S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6" sqref="B6"/>
    </sheetView>
  </sheetViews>
  <sheetFormatPr defaultColWidth="10.125" defaultRowHeight="12.75" outlineLevelCol="1"/>
  <cols>
    <col min="1" max="1" width="31.375" style="223" customWidth="1"/>
    <col min="2" max="2" width="11.375" style="223" customWidth="1"/>
    <col min="3" max="3" width="4.375" style="223" customWidth="1"/>
    <col min="4" max="9" width="6.25390625" style="223" hidden="1" customWidth="1" outlineLevel="1"/>
    <col min="10" max="10" width="6.75390625" style="223" hidden="1" customWidth="1" outlineLevel="1"/>
    <col min="11" max="11" width="7.125" style="223" hidden="1" customWidth="1" outlineLevel="1"/>
    <col min="12" max="12" width="9.00390625" style="223" hidden="1" customWidth="1" outlineLevel="1"/>
    <col min="13" max="14" width="8.625" style="223" hidden="1" customWidth="1" outlineLevel="1"/>
    <col min="15" max="15" width="8.875" style="223" hidden="1" customWidth="1" outlineLevel="1"/>
    <col min="16" max="16" width="9.125" style="223" customWidth="1" collapsed="1"/>
    <col min="17" max="28" width="8.375" style="223" hidden="1" customWidth="1" outlineLevel="1"/>
    <col min="29" max="29" width="9.125" style="223" customWidth="1" collapsed="1"/>
    <col min="30" max="35" width="9.125" style="223" customWidth="1"/>
    <col min="36" max="36" width="10.125" style="221" customWidth="1"/>
    <col min="37" max="16384" width="10.125" style="223" customWidth="1"/>
  </cols>
  <sheetData>
    <row r="1" spans="1:36" ht="12.75">
      <c r="A1" s="225" t="s">
        <v>236</v>
      </c>
      <c r="B1" s="222"/>
      <c r="C1" s="222"/>
      <c r="AJ1" s="223"/>
    </row>
    <row r="2" spans="1:36" ht="12.75">
      <c r="A2" s="225"/>
      <c r="B2" s="226"/>
      <c r="C2" s="224"/>
      <c r="AJ2" s="223"/>
    </row>
    <row r="3" spans="1:36" ht="12.75" customHeight="1">
      <c r="A3" s="308" t="s">
        <v>190</v>
      </c>
      <c r="B3" s="305" t="s">
        <v>85</v>
      </c>
      <c r="C3" s="118"/>
      <c r="D3" s="306">
        <v>2014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>
        <v>2015</v>
      </c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119">
        <f>Q3+1</f>
        <v>2016</v>
      </c>
      <c r="AE3" s="119">
        <f>AD3+1</f>
        <v>2017</v>
      </c>
      <c r="AF3" s="119">
        <f>AE3+1</f>
        <v>2018</v>
      </c>
      <c r="AG3" s="119">
        <f>AF3+1</f>
        <v>2019</v>
      </c>
      <c r="AH3" s="119">
        <f>AG3+1</f>
        <v>2020</v>
      </c>
      <c r="AI3" s="119">
        <f>AH3+1</f>
        <v>2021</v>
      </c>
      <c r="AJ3" s="223"/>
    </row>
    <row r="4" spans="1:36" ht="12.75">
      <c r="A4" s="309"/>
      <c r="B4" s="305"/>
      <c r="C4" s="120"/>
      <c r="D4" s="121">
        <f aca="true" t="shared" si="0" ref="D4:L4">C4+1</f>
        <v>1</v>
      </c>
      <c r="E4" s="121">
        <f t="shared" si="0"/>
        <v>2</v>
      </c>
      <c r="F4" s="121">
        <f t="shared" si="0"/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>L4+1</f>
        <v>10</v>
      </c>
      <c r="N4" s="121">
        <f>M4+1</f>
        <v>11</v>
      </c>
      <c r="O4" s="121">
        <f>N4+1</f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  <c r="AJ4" s="223"/>
    </row>
    <row r="5" spans="1:2" ht="12.75">
      <c r="A5" s="225"/>
      <c r="B5" s="226" t="s">
        <v>237</v>
      </c>
    </row>
    <row r="6" spans="1:36" ht="15" customHeight="1">
      <c r="A6" s="230" t="str">
        <f>Исх!A23</f>
        <v>Осетрина</v>
      </c>
      <c r="B6" s="123">
        <f>P6+AC6+AD6+AE6+AF6+AG6+AH6+AI6</f>
        <v>212.5</v>
      </c>
      <c r="C6" s="12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3">
        <f>SUM(D6:O6)</f>
        <v>0</v>
      </c>
      <c r="Q6" s="129"/>
      <c r="R6" s="129"/>
      <c r="S6" s="129"/>
      <c r="T6" s="129"/>
      <c r="U6" s="129"/>
      <c r="V6" s="129"/>
      <c r="W6" s="129"/>
      <c r="X6" s="129"/>
      <c r="Y6" s="129"/>
      <c r="Z6" s="129">
        <f>Исх!$C$23/12</f>
        <v>2.8333333333333335</v>
      </c>
      <c r="AA6" s="129">
        <f>Исх!$C$23/12</f>
        <v>2.8333333333333335</v>
      </c>
      <c r="AB6" s="129">
        <f>Исх!$C$23/12</f>
        <v>2.8333333333333335</v>
      </c>
      <c r="AC6" s="123">
        <f>SUM(Q6:AB6)</f>
        <v>8.5</v>
      </c>
      <c r="AD6" s="129">
        <f>Исх!$C$23</f>
        <v>34</v>
      </c>
      <c r="AE6" s="129">
        <f>Исх!$C$23</f>
        <v>34</v>
      </c>
      <c r="AF6" s="129">
        <f>Исх!$C$23</f>
        <v>34</v>
      </c>
      <c r="AG6" s="129">
        <f>Исх!$C$23</f>
        <v>34</v>
      </c>
      <c r="AH6" s="129">
        <f>Исх!$C$23</f>
        <v>34</v>
      </c>
      <c r="AI6" s="129">
        <f>Исх!$C$23</f>
        <v>34</v>
      </c>
      <c r="AJ6" s="223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30" sqref="G30"/>
    </sheetView>
  </sheetViews>
  <sheetFormatPr defaultColWidth="9.00390625" defaultRowHeight="12.75"/>
  <cols>
    <col min="1" max="1" width="5.625" style="70" customWidth="1"/>
    <col min="2" max="2" width="33.375" style="70" customWidth="1"/>
    <col min="3" max="3" width="10.00390625" style="70" customWidth="1"/>
    <col min="4" max="4" width="11.625" style="70" customWidth="1"/>
    <col min="5" max="5" width="12.75390625" style="70" customWidth="1"/>
    <col min="6" max="8" width="11.625" style="70" customWidth="1"/>
    <col min="9" max="9" width="11.625" style="70" hidden="1" customWidth="1"/>
    <col min="10" max="10" width="10.125" style="70" customWidth="1"/>
    <col min="11" max="11" width="12.00390625" style="70" customWidth="1"/>
    <col min="12" max="16384" width="9.125" style="70" customWidth="1"/>
  </cols>
  <sheetData>
    <row r="1" ht="5.25" customHeight="1"/>
    <row r="2" spans="1:11" ht="16.5" customHeight="1">
      <c r="A2" s="60" t="s">
        <v>141</v>
      </c>
      <c r="D2" s="159"/>
      <c r="E2" s="159"/>
      <c r="F2" s="159"/>
      <c r="G2" s="159"/>
      <c r="H2" s="159"/>
      <c r="I2" s="159"/>
      <c r="J2" s="159"/>
      <c r="K2" s="211" t="str">
        <f>Исх!C10</f>
        <v>тыс.тг.</v>
      </c>
    </row>
    <row r="3" spans="1:11" ht="8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3" ht="42" customHeight="1">
      <c r="A4" s="257" t="s">
        <v>33</v>
      </c>
      <c r="B4" s="215" t="s">
        <v>34</v>
      </c>
      <c r="C4" s="215" t="s">
        <v>35</v>
      </c>
      <c r="D4" s="145" t="s">
        <v>92</v>
      </c>
      <c r="E4" s="145" t="s">
        <v>93</v>
      </c>
      <c r="F4" s="145" t="s">
        <v>44</v>
      </c>
      <c r="G4" s="145" t="s">
        <v>45</v>
      </c>
      <c r="H4" s="145" t="s">
        <v>46</v>
      </c>
      <c r="I4" s="145" t="s">
        <v>47</v>
      </c>
      <c r="J4" s="145" t="s">
        <v>48</v>
      </c>
      <c r="K4" s="145" t="s">
        <v>42</v>
      </c>
      <c r="M4" s="231">
        <f>'1-Ф3'!B2</f>
        <v>0</v>
      </c>
    </row>
    <row r="5" spans="1:11" s="60" customFormat="1" ht="12.75">
      <c r="A5" s="139"/>
      <c r="B5" s="146" t="s">
        <v>91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73">
        <v>1</v>
      </c>
      <c r="B6" s="73" t="s">
        <v>255</v>
      </c>
      <c r="C6" s="279">
        <v>1</v>
      </c>
      <c r="D6" s="141">
        <v>200</v>
      </c>
      <c r="E6" s="147">
        <f>C6*D6</f>
        <v>200</v>
      </c>
      <c r="F6" s="147">
        <f>E6*$C$25</f>
        <v>20</v>
      </c>
      <c r="G6" s="147">
        <f>(E6-$C$29*C6-F6)*$C$27</f>
        <v>16.134</v>
      </c>
      <c r="H6" s="147">
        <f>(E6-F6)*$C$26</f>
        <v>9</v>
      </c>
      <c r="I6" s="147">
        <f>(E6-F6)*$C$28-H6*0</f>
        <v>19.8</v>
      </c>
      <c r="J6" s="147">
        <f>E6-F6-G6</f>
        <v>163.86599999999999</v>
      </c>
      <c r="K6" s="148">
        <f>SUM(F6:J6)</f>
        <v>228.79999999999998</v>
      </c>
    </row>
    <row r="7" spans="1:11" ht="12.75">
      <c r="A7" s="73">
        <v>2</v>
      </c>
      <c r="B7" s="73" t="s">
        <v>256</v>
      </c>
      <c r="C7" s="279">
        <v>1</v>
      </c>
      <c r="D7" s="141">
        <v>60</v>
      </c>
      <c r="E7" s="147">
        <f>C7*D7</f>
        <v>60</v>
      </c>
      <c r="F7" s="147">
        <f>E7*$C$25</f>
        <v>6</v>
      </c>
      <c r="G7" s="147">
        <f>(E7-$C$29*C7-F7)*$C$27</f>
        <v>3.5340000000000007</v>
      </c>
      <c r="H7" s="147">
        <f>(E7-F7)*$C$26</f>
        <v>2.7</v>
      </c>
      <c r="I7" s="147">
        <f>(E7-F7)*$C$28-H7*0</f>
        <v>5.94</v>
      </c>
      <c r="J7" s="147">
        <f>E7-F7-G7</f>
        <v>50.466</v>
      </c>
      <c r="K7" s="148">
        <f>SUM(F7:J7)</f>
        <v>68.64</v>
      </c>
    </row>
    <row r="8" spans="1:11" ht="12.75">
      <c r="A8" s="73">
        <v>3</v>
      </c>
      <c r="B8" s="73" t="s">
        <v>257</v>
      </c>
      <c r="C8" s="279">
        <v>1</v>
      </c>
      <c r="D8" s="141">
        <v>120</v>
      </c>
      <c r="E8" s="147">
        <f>C8*D8</f>
        <v>120</v>
      </c>
      <c r="F8" s="147">
        <f>E8*$C$25</f>
        <v>12</v>
      </c>
      <c r="G8" s="147">
        <f>(E8-$C$29*C8-F8)*$C$27</f>
        <v>8.934000000000001</v>
      </c>
      <c r="H8" s="147">
        <f>(E8-F8)*$C$26</f>
        <v>5.4</v>
      </c>
      <c r="I8" s="147">
        <f>(E8-F8)*$C$28-H8*0</f>
        <v>11.88</v>
      </c>
      <c r="J8" s="147">
        <f>E8-F8-G8</f>
        <v>99.066</v>
      </c>
      <c r="K8" s="148">
        <f>SUM(F8:J8)</f>
        <v>137.28</v>
      </c>
    </row>
    <row r="9" spans="1:11" s="60" customFormat="1" ht="12.75">
      <c r="A9" s="149"/>
      <c r="B9" s="149" t="s">
        <v>0</v>
      </c>
      <c r="C9" s="31">
        <f>SUM(C6:C8)</f>
        <v>3</v>
      </c>
      <c r="D9" s="31">
        <f aca="true" t="shared" si="0" ref="D9:K9">SUM(D6:D8)</f>
        <v>380</v>
      </c>
      <c r="E9" s="31">
        <f t="shared" si="0"/>
        <v>380</v>
      </c>
      <c r="F9" s="31">
        <f t="shared" si="0"/>
        <v>38</v>
      </c>
      <c r="G9" s="31">
        <f t="shared" si="0"/>
        <v>28.602</v>
      </c>
      <c r="H9" s="31">
        <f t="shared" si="0"/>
        <v>17.1</v>
      </c>
      <c r="I9" s="31">
        <f t="shared" si="0"/>
        <v>37.620000000000005</v>
      </c>
      <c r="J9" s="31">
        <f t="shared" si="0"/>
        <v>313.398</v>
      </c>
      <c r="K9" s="31">
        <f t="shared" si="0"/>
        <v>434.72</v>
      </c>
    </row>
    <row r="10" spans="1:11" s="60" customFormat="1" ht="12.75">
      <c r="A10" s="139"/>
      <c r="B10" s="139" t="s">
        <v>97</v>
      </c>
      <c r="C10" s="139"/>
      <c r="D10" s="140"/>
      <c r="E10" s="140"/>
      <c r="F10" s="140"/>
      <c r="G10" s="140"/>
      <c r="H10" s="140"/>
      <c r="I10" s="140"/>
      <c r="J10" s="140"/>
      <c r="K10" s="140"/>
    </row>
    <row r="11" spans="1:11" ht="12.75">
      <c r="A11" s="73">
        <v>1</v>
      </c>
      <c r="B11" s="73" t="s">
        <v>258</v>
      </c>
      <c r="C11" s="141">
        <v>1</v>
      </c>
      <c r="D11" s="141">
        <v>200</v>
      </c>
      <c r="E11" s="147">
        <f>C11*D11</f>
        <v>200</v>
      </c>
      <c r="F11" s="147">
        <f>E11*$C$25</f>
        <v>20</v>
      </c>
      <c r="G11" s="147">
        <f>(E11-$C$29*C11-F11)*$C$27</f>
        <v>16.134</v>
      </c>
      <c r="H11" s="147">
        <f>(E11-F11)*$C$26</f>
        <v>9</v>
      </c>
      <c r="I11" s="147">
        <f>(E11-F11)*$C$28-H11*0</f>
        <v>19.8</v>
      </c>
      <c r="J11" s="147">
        <f>E11-F11-G11</f>
        <v>163.86599999999999</v>
      </c>
      <c r="K11" s="148">
        <f>SUM(F11:J11)</f>
        <v>228.79999999999998</v>
      </c>
    </row>
    <row r="12" spans="1:11" ht="12.75">
      <c r="A12" s="73">
        <v>2</v>
      </c>
      <c r="B12" s="73" t="s">
        <v>259</v>
      </c>
      <c r="C12" s="141">
        <v>1</v>
      </c>
      <c r="D12" s="141">
        <v>100</v>
      </c>
      <c r="E12" s="147">
        <f>C12*D12</f>
        <v>100</v>
      </c>
      <c r="F12" s="147">
        <f>E12*$C$25</f>
        <v>10</v>
      </c>
      <c r="G12" s="147">
        <f>(E12-$C$29*C12-F12)*$C$27</f>
        <v>7.134</v>
      </c>
      <c r="H12" s="147">
        <f>(E12-F12)*$C$26</f>
        <v>4.5</v>
      </c>
      <c r="I12" s="147">
        <f>(E12-F12)*$C$28-H12*0</f>
        <v>9.9</v>
      </c>
      <c r="J12" s="147">
        <f>E12-F12-G12</f>
        <v>82.866</v>
      </c>
      <c r="K12" s="148">
        <f>SUM(F12:J12)</f>
        <v>114.4</v>
      </c>
    </row>
    <row r="13" spans="1:11" s="60" customFormat="1" ht="12.75">
      <c r="A13" s="149"/>
      <c r="B13" s="150" t="s">
        <v>0</v>
      </c>
      <c r="C13" s="149">
        <f aca="true" t="shared" si="1" ref="C13:K13">SUM(C10:C12)</f>
        <v>2</v>
      </c>
      <c r="D13" s="148">
        <f t="shared" si="1"/>
        <v>300</v>
      </c>
      <c r="E13" s="148">
        <f t="shared" si="1"/>
        <v>300</v>
      </c>
      <c r="F13" s="148">
        <f t="shared" si="1"/>
        <v>30</v>
      </c>
      <c r="G13" s="148">
        <f t="shared" si="1"/>
        <v>23.268</v>
      </c>
      <c r="H13" s="148">
        <f t="shared" si="1"/>
        <v>13.5</v>
      </c>
      <c r="I13" s="148">
        <f t="shared" si="1"/>
        <v>29.700000000000003</v>
      </c>
      <c r="J13" s="148">
        <f t="shared" si="1"/>
        <v>246.73199999999997</v>
      </c>
      <c r="K13" s="148">
        <f t="shared" si="1"/>
        <v>343.2</v>
      </c>
    </row>
    <row r="14" spans="1:11" s="60" customFormat="1" ht="12.75" hidden="1">
      <c r="A14" s="139"/>
      <c r="B14" s="139" t="s">
        <v>98</v>
      </c>
      <c r="C14" s="139"/>
      <c r="D14" s="140"/>
      <c r="E14" s="140"/>
      <c r="F14" s="140"/>
      <c r="G14" s="140"/>
      <c r="H14" s="140"/>
      <c r="I14" s="140"/>
      <c r="J14" s="140"/>
      <c r="K14" s="140"/>
    </row>
    <row r="15" spans="1:11" ht="12.75" hidden="1">
      <c r="A15" s="73"/>
      <c r="B15" s="73"/>
      <c r="C15" s="73"/>
      <c r="D15" s="141"/>
      <c r="E15" s="147">
        <f>C15*D15</f>
        <v>0</v>
      </c>
      <c r="F15" s="147">
        <f>E15*$C$25</f>
        <v>0</v>
      </c>
      <c r="G15" s="147">
        <f>(E15-$C$29*C15-F15)*$C$27</f>
        <v>0</v>
      </c>
      <c r="H15" s="147">
        <f>(E15-F15)*$C$26</f>
        <v>0</v>
      </c>
      <c r="I15" s="147">
        <f>(E15-F15)*$C$28-H15*0</f>
        <v>0</v>
      </c>
      <c r="J15" s="147">
        <f>E15-F15-G15</f>
        <v>0</v>
      </c>
      <c r="K15" s="148">
        <f>SUM(F15:J15)</f>
        <v>0</v>
      </c>
    </row>
    <row r="16" spans="1:11" ht="12.75" hidden="1">
      <c r="A16" s="73"/>
      <c r="B16" s="73"/>
      <c r="C16" s="147"/>
      <c r="D16" s="141"/>
      <c r="E16" s="147">
        <f>C16*D16</f>
        <v>0</v>
      </c>
      <c r="F16" s="147">
        <f>E16*$C$25</f>
        <v>0</v>
      </c>
      <c r="G16" s="147">
        <f>(E16-$C$29*C16-F16)*$C$27</f>
        <v>0</v>
      </c>
      <c r="H16" s="147">
        <f>(E16-F16)*$C$26</f>
        <v>0</v>
      </c>
      <c r="I16" s="147">
        <f>(E16-F16)*$C$28-H16*0</f>
        <v>0</v>
      </c>
      <c r="J16" s="147">
        <f>E16-F16-G16</f>
        <v>0</v>
      </c>
      <c r="K16" s="148">
        <f>SUM(F16:J16)</f>
        <v>0</v>
      </c>
    </row>
    <row r="17" spans="1:11" s="60" customFormat="1" ht="12.75" hidden="1">
      <c r="A17" s="149"/>
      <c r="B17" s="150" t="s">
        <v>0</v>
      </c>
      <c r="C17" s="149">
        <f aca="true" t="shared" si="2" ref="C17:K17">SUM(C15:C16)</f>
        <v>0</v>
      </c>
      <c r="D17" s="148">
        <f t="shared" si="2"/>
        <v>0</v>
      </c>
      <c r="E17" s="148">
        <f t="shared" si="2"/>
        <v>0</v>
      </c>
      <c r="F17" s="148">
        <f t="shared" si="2"/>
        <v>0</v>
      </c>
      <c r="G17" s="148">
        <f t="shared" si="2"/>
        <v>0</v>
      </c>
      <c r="H17" s="148">
        <f t="shared" si="2"/>
        <v>0</v>
      </c>
      <c r="I17" s="148">
        <f t="shared" si="2"/>
        <v>0</v>
      </c>
      <c r="J17" s="148">
        <f t="shared" si="2"/>
        <v>0</v>
      </c>
      <c r="K17" s="148">
        <f t="shared" si="2"/>
        <v>0</v>
      </c>
    </row>
    <row r="18" spans="1:11" s="60" customFormat="1" ht="12.75">
      <c r="A18" s="139"/>
      <c r="B18" s="139" t="s">
        <v>105</v>
      </c>
      <c r="C18" s="139"/>
      <c r="D18" s="140"/>
      <c r="E18" s="140"/>
      <c r="F18" s="140"/>
      <c r="G18" s="140"/>
      <c r="H18" s="140"/>
      <c r="I18" s="140"/>
      <c r="J18" s="140"/>
      <c r="K18" s="140"/>
    </row>
    <row r="19" spans="1:13" ht="12.75">
      <c r="A19" s="73">
        <v>1</v>
      </c>
      <c r="B19" s="73" t="s">
        <v>260</v>
      </c>
      <c r="C19" s="141">
        <v>3</v>
      </c>
      <c r="D19" s="141">
        <v>50</v>
      </c>
      <c r="E19" s="147">
        <f>C19*D19</f>
        <v>150</v>
      </c>
      <c r="F19" s="147">
        <f>E19*$C$25</f>
        <v>15</v>
      </c>
      <c r="G19" s="147">
        <f>(E19-$C$29*C19-F19)*$C$27</f>
        <v>7.902</v>
      </c>
      <c r="H19" s="147">
        <f>(E19-F19)*$C$26</f>
        <v>6.75</v>
      </c>
      <c r="I19" s="147">
        <f>(E19-F19)*$C$28-H19*0</f>
        <v>14.85</v>
      </c>
      <c r="J19" s="147">
        <f>E19-F19-G19</f>
        <v>127.098</v>
      </c>
      <c r="K19" s="148">
        <f>SUM(F19:J19)</f>
        <v>171.6</v>
      </c>
      <c r="M19" s="151"/>
    </row>
    <row r="20" spans="1:11" ht="12.75" hidden="1">
      <c r="A20" s="73"/>
      <c r="B20" s="73"/>
      <c r="C20" s="147"/>
      <c r="D20" s="141"/>
      <c r="E20" s="147">
        <f>C20*D20</f>
        <v>0</v>
      </c>
      <c r="F20" s="147">
        <f>E20*$C$25</f>
        <v>0</v>
      </c>
      <c r="G20" s="147">
        <f>(E20-$C$29*C20-F20)*$C$27</f>
        <v>0</v>
      </c>
      <c r="H20" s="147">
        <f>(E20-F20)*$C$26</f>
        <v>0</v>
      </c>
      <c r="I20" s="147">
        <f>(E20-F20)*$C$28-H20*0</f>
        <v>0</v>
      </c>
      <c r="J20" s="147">
        <f>E20-F20-G20</f>
        <v>0</v>
      </c>
      <c r="K20" s="148">
        <f>SUM(F20:J20)</f>
        <v>0</v>
      </c>
    </row>
    <row r="21" spans="1:11" s="60" customFormat="1" ht="12.75">
      <c r="A21" s="149"/>
      <c r="B21" s="150" t="s">
        <v>0</v>
      </c>
      <c r="C21" s="149">
        <f aca="true" t="shared" si="3" ref="C21:K21">SUM(C19:C20)</f>
        <v>3</v>
      </c>
      <c r="D21" s="148">
        <f t="shared" si="3"/>
        <v>50</v>
      </c>
      <c r="E21" s="148">
        <f t="shared" si="3"/>
        <v>150</v>
      </c>
      <c r="F21" s="148">
        <f t="shared" si="3"/>
        <v>15</v>
      </c>
      <c r="G21" s="148">
        <f t="shared" si="3"/>
        <v>7.902</v>
      </c>
      <c r="H21" s="148">
        <f t="shared" si="3"/>
        <v>6.75</v>
      </c>
      <c r="I21" s="148">
        <f t="shared" si="3"/>
        <v>14.85</v>
      </c>
      <c r="J21" s="148">
        <f t="shared" si="3"/>
        <v>127.098</v>
      </c>
      <c r="K21" s="148">
        <f t="shared" si="3"/>
        <v>171.6</v>
      </c>
    </row>
    <row r="22" spans="1:11" ht="12.75">
      <c r="A22" s="73"/>
      <c r="B22" s="73"/>
      <c r="C22" s="73"/>
      <c r="D22" s="147"/>
      <c r="E22" s="147"/>
      <c r="F22" s="147"/>
      <c r="G22" s="147"/>
      <c r="H22" s="147"/>
      <c r="I22" s="147"/>
      <c r="J22" s="147"/>
      <c r="K22" s="147"/>
    </row>
    <row r="23" spans="1:11" s="60" customFormat="1" ht="12.75">
      <c r="A23" s="149"/>
      <c r="B23" s="149" t="s">
        <v>106</v>
      </c>
      <c r="C23" s="148">
        <f aca="true" t="shared" si="4" ref="C23:K23">C9+C13+C17+C21</f>
        <v>8</v>
      </c>
      <c r="D23" s="148">
        <f t="shared" si="4"/>
        <v>730</v>
      </c>
      <c r="E23" s="148">
        <f t="shared" si="4"/>
        <v>830</v>
      </c>
      <c r="F23" s="148">
        <f t="shared" si="4"/>
        <v>83</v>
      </c>
      <c r="G23" s="148">
        <f t="shared" si="4"/>
        <v>59.772000000000006</v>
      </c>
      <c r="H23" s="148">
        <f t="shared" si="4"/>
        <v>37.35</v>
      </c>
      <c r="I23" s="148">
        <f t="shared" si="4"/>
        <v>82.17</v>
      </c>
      <c r="J23" s="148">
        <f t="shared" si="4"/>
        <v>687.228</v>
      </c>
      <c r="K23" s="152">
        <f t="shared" si="4"/>
        <v>949.5200000000001</v>
      </c>
    </row>
    <row r="25" spans="2:10" ht="12.75">
      <c r="B25" s="73" t="s">
        <v>44</v>
      </c>
      <c r="C25" s="153">
        <f>Исх!C12</f>
        <v>0.1</v>
      </c>
      <c r="D25" s="154"/>
      <c r="E25" s="154"/>
      <c r="F25" s="154"/>
      <c r="G25" s="310"/>
      <c r="H25" s="310"/>
      <c r="I25" s="310"/>
      <c r="J25" s="310"/>
    </row>
    <row r="26" spans="2:10" ht="12.75">
      <c r="B26" s="73" t="s">
        <v>49</v>
      </c>
      <c r="C26" s="153">
        <f>Исх!C13</f>
        <v>0.05</v>
      </c>
      <c r="D26" s="154"/>
      <c r="E26" s="154"/>
      <c r="F26" s="154"/>
      <c r="G26" s="154"/>
      <c r="H26" s="154"/>
      <c r="I26" s="155"/>
      <c r="J26" s="156"/>
    </row>
    <row r="27" spans="2:10" ht="12.75">
      <c r="B27" s="73" t="s">
        <v>45</v>
      </c>
      <c r="C27" s="153">
        <f>Исх!C14</f>
        <v>0.1</v>
      </c>
      <c r="D27" s="154"/>
      <c r="E27" s="154"/>
      <c r="F27" s="154"/>
      <c r="G27" s="154"/>
      <c r="H27" s="154"/>
      <c r="I27" s="155"/>
      <c r="J27" s="156"/>
    </row>
    <row r="28" spans="2:10" ht="12.75">
      <c r="B28" s="73" t="s">
        <v>47</v>
      </c>
      <c r="C28" s="153">
        <f>Исх!C15</f>
        <v>0.11</v>
      </c>
      <c r="D28" s="157"/>
      <c r="E28" s="157"/>
      <c r="F28" s="154"/>
      <c r="G28" s="154"/>
      <c r="H28" s="154"/>
      <c r="I28" s="155"/>
      <c r="J28" s="156"/>
    </row>
    <row r="29" spans="2:3" ht="12.75">
      <c r="B29" s="73" t="s">
        <v>111</v>
      </c>
      <c r="C29" s="158">
        <f>Исх!C16</f>
        <v>18.66</v>
      </c>
    </row>
    <row r="30" spans="7:10" ht="12.75">
      <c r="G30" s="154"/>
      <c r="H30" s="154"/>
      <c r="I30" s="155"/>
      <c r="J30" s="156"/>
    </row>
  </sheetData>
  <sheetProtection/>
  <mergeCells count="1">
    <mergeCell ref="G25:J25"/>
  </mergeCells>
  <printOptions/>
  <pageMargins left="0.2755905511811024" right="0.2755905511811024" top="0.4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W48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K29" sqref="K29"/>
    </sheetView>
  </sheetViews>
  <sheetFormatPr defaultColWidth="8.875" defaultRowHeight="12.75" outlineLevelRow="1"/>
  <cols>
    <col min="1" max="1" width="34.25390625" style="70" customWidth="1"/>
    <col min="2" max="2" width="9.625" style="70" customWidth="1"/>
    <col min="3" max="10" width="8.00390625" style="70" customWidth="1"/>
    <col min="11" max="11" width="25.75390625" style="70" bestFit="1" customWidth="1"/>
    <col min="12" max="12" width="5.625" style="70" customWidth="1"/>
    <col min="13" max="13" width="34.25390625" style="70" customWidth="1"/>
    <col min="14" max="14" width="7.25390625" style="70" customWidth="1"/>
    <col min="15" max="15" width="12.25390625" style="70" customWidth="1"/>
    <col min="16" max="19" width="10.75390625" style="70" customWidth="1"/>
    <col min="20" max="16384" width="8.875" style="70" customWidth="1"/>
  </cols>
  <sheetData>
    <row r="1" spans="1:13" ht="12.75">
      <c r="A1" s="60" t="s">
        <v>145</v>
      </c>
      <c r="M1" s="60" t="s">
        <v>223</v>
      </c>
    </row>
    <row r="2" spans="1:13" ht="12.75">
      <c r="A2" s="60"/>
      <c r="M2" s="60"/>
    </row>
    <row r="3" spans="1:23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2" ht="12.75">
      <c r="A4" s="70" t="s">
        <v>40</v>
      </c>
      <c r="C4" s="136"/>
      <c r="D4" s="136"/>
      <c r="E4" s="136"/>
      <c r="F4" s="136"/>
      <c r="G4" s="136"/>
      <c r="H4" s="136"/>
      <c r="K4" s="143" t="str">
        <f>Исх!C10</f>
        <v>тыс.тг.</v>
      </c>
      <c r="M4" s="70" t="str">
        <f>A4</f>
        <v>без НДС</v>
      </c>
      <c r="O4" s="136"/>
      <c r="P4" s="136"/>
      <c r="Q4" s="136"/>
      <c r="R4" s="136"/>
      <c r="S4" s="136"/>
      <c r="T4" s="136"/>
      <c r="V4" s="143" t="str">
        <f>K4</f>
        <v>тыс.тг.</v>
      </c>
    </row>
    <row r="5" spans="1:22" ht="12.75">
      <c r="A5" s="212" t="s">
        <v>41</v>
      </c>
      <c r="B5" s="218"/>
      <c r="C5" s="218">
        <v>2014</v>
      </c>
      <c r="D5" s="218">
        <f aca="true" t="shared" si="0" ref="D5:J5">C5+1</f>
        <v>2015</v>
      </c>
      <c r="E5" s="218">
        <f t="shared" si="0"/>
        <v>2016</v>
      </c>
      <c r="F5" s="218">
        <f t="shared" si="0"/>
        <v>2017</v>
      </c>
      <c r="G5" s="218">
        <f t="shared" si="0"/>
        <v>2018</v>
      </c>
      <c r="H5" s="218">
        <f t="shared" si="0"/>
        <v>2019</v>
      </c>
      <c r="I5" s="218">
        <f t="shared" si="0"/>
        <v>2020</v>
      </c>
      <c r="J5" s="218">
        <f t="shared" si="0"/>
        <v>2021</v>
      </c>
      <c r="K5" s="218" t="s">
        <v>230</v>
      </c>
      <c r="M5" s="212" t="s">
        <v>41</v>
      </c>
      <c r="N5" s="218"/>
      <c r="O5" s="218">
        <f aca="true" t="shared" si="1" ref="O5:V5">C5</f>
        <v>2014</v>
      </c>
      <c r="P5" s="218">
        <f t="shared" si="1"/>
        <v>2015</v>
      </c>
      <c r="Q5" s="218">
        <f t="shared" si="1"/>
        <v>2016</v>
      </c>
      <c r="R5" s="218">
        <f t="shared" si="1"/>
        <v>2017</v>
      </c>
      <c r="S5" s="218">
        <f t="shared" si="1"/>
        <v>2018</v>
      </c>
      <c r="T5" s="218">
        <f t="shared" si="1"/>
        <v>2019</v>
      </c>
      <c r="U5" s="218">
        <f t="shared" si="1"/>
        <v>2020</v>
      </c>
      <c r="V5" s="218">
        <f t="shared" si="1"/>
        <v>2021</v>
      </c>
    </row>
    <row r="6" spans="1:22" ht="12.75">
      <c r="A6" s="73" t="s">
        <v>42</v>
      </c>
      <c r="B6" s="142"/>
      <c r="C6" s="147">
        <f>ФОТ!K23</f>
        <v>949.5200000000001</v>
      </c>
      <c r="D6" s="147">
        <f aca="true" t="shared" si="2" ref="D6:J6">C6</f>
        <v>949.5200000000001</v>
      </c>
      <c r="E6" s="147">
        <f t="shared" si="2"/>
        <v>949.5200000000001</v>
      </c>
      <c r="F6" s="147">
        <f t="shared" si="2"/>
        <v>949.5200000000001</v>
      </c>
      <c r="G6" s="147">
        <f t="shared" si="2"/>
        <v>949.5200000000001</v>
      </c>
      <c r="H6" s="147">
        <f t="shared" si="2"/>
        <v>949.5200000000001</v>
      </c>
      <c r="I6" s="147">
        <f t="shared" si="2"/>
        <v>949.5200000000001</v>
      </c>
      <c r="J6" s="147">
        <f t="shared" si="2"/>
        <v>949.5200000000001</v>
      </c>
      <c r="K6" s="147" t="s">
        <v>231</v>
      </c>
      <c r="M6" s="73" t="s">
        <v>42</v>
      </c>
      <c r="N6" s="142"/>
      <c r="O6" s="147">
        <f>C6*3</f>
        <v>2848.5600000000004</v>
      </c>
      <c r="P6" s="147">
        <f aca="true" t="shared" si="3" ref="P6:V7">D6*12</f>
        <v>11394.240000000002</v>
      </c>
      <c r="Q6" s="147">
        <f t="shared" si="3"/>
        <v>11394.240000000002</v>
      </c>
      <c r="R6" s="147">
        <f t="shared" si="3"/>
        <v>11394.240000000002</v>
      </c>
      <c r="S6" s="147">
        <f t="shared" si="3"/>
        <v>11394.240000000002</v>
      </c>
      <c r="T6" s="147">
        <f t="shared" si="3"/>
        <v>11394.240000000002</v>
      </c>
      <c r="U6" s="147">
        <f t="shared" si="3"/>
        <v>11394.240000000002</v>
      </c>
      <c r="V6" s="147">
        <f t="shared" si="3"/>
        <v>11394.240000000002</v>
      </c>
    </row>
    <row r="7" spans="1:22" ht="12.75">
      <c r="A7" s="160" t="s">
        <v>284</v>
      </c>
      <c r="B7" s="217"/>
      <c r="C7" s="141">
        <v>600</v>
      </c>
      <c r="D7" s="147">
        <f aca="true" t="shared" si="4" ref="D7:J7">C7+C7*$D$3</f>
        <v>600</v>
      </c>
      <c r="E7" s="147">
        <f t="shared" si="4"/>
        <v>600</v>
      </c>
      <c r="F7" s="147">
        <f t="shared" si="4"/>
        <v>600</v>
      </c>
      <c r="G7" s="147">
        <f t="shared" si="4"/>
        <v>600</v>
      </c>
      <c r="H7" s="147">
        <f t="shared" si="4"/>
        <v>600</v>
      </c>
      <c r="I7" s="147">
        <f t="shared" si="4"/>
        <v>600</v>
      </c>
      <c r="J7" s="147">
        <f t="shared" si="4"/>
        <v>600</v>
      </c>
      <c r="K7" s="147"/>
      <c r="M7" s="160" t="s">
        <v>203</v>
      </c>
      <c r="N7" s="217"/>
      <c r="O7" s="147">
        <f aca="true" t="shared" si="5" ref="O7:O13">C7*3</f>
        <v>1800</v>
      </c>
      <c r="P7" s="147">
        <f t="shared" si="3"/>
        <v>7200</v>
      </c>
      <c r="Q7" s="147">
        <f t="shared" si="3"/>
        <v>7200</v>
      </c>
      <c r="R7" s="147">
        <f t="shared" si="3"/>
        <v>7200</v>
      </c>
      <c r="S7" s="147">
        <f t="shared" si="3"/>
        <v>7200</v>
      </c>
      <c r="T7" s="147">
        <f t="shared" si="3"/>
        <v>7200</v>
      </c>
      <c r="U7" s="147">
        <f t="shared" si="3"/>
        <v>7200</v>
      </c>
      <c r="V7" s="147">
        <f t="shared" si="3"/>
        <v>7200</v>
      </c>
    </row>
    <row r="8" spans="1:22" ht="12.75">
      <c r="A8" s="160" t="s">
        <v>285</v>
      </c>
      <c r="B8" s="217"/>
      <c r="C8" s="141">
        <v>200</v>
      </c>
      <c r="D8" s="147">
        <f aca="true" t="shared" si="6" ref="D8:J8">C8+C8*$D$3</f>
        <v>200</v>
      </c>
      <c r="E8" s="147">
        <f t="shared" si="6"/>
        <v>200</v>
      </c>
      <c r="F8" s="147">
        <f t="shared" si="6"/>
        <v>200</v>
      </c>
      <c r="G8" s="147">
        <f t="shared" si="6"/>
        <v>200</v>
      </c>
      <c r="H8" s="147">
        <f t="shared" si="6"/>
        <v>200</v>
      </c>
      <c r="I8" s="147">
        <f t="shared" si="6"/>
        <v>200</v>
      </c>
      <c r="J8" s="147">
        <f t="shared" si="6"/>
        <v>200</v>
      </c>
      <c r="K8" s="147"/>
      <c r="M8" s="160" t="s">
        <v>203</v>
      </c>
      <c r="N8" s="217"/>
      <c r="O8" s="147">
        <f t="shared" si="5"/>
        <v>600</v>
      </c>
      <c r="P8" s="147">
        <f aca="true" t="shared" si="7" ref="P8:P13">D8*12</f>
        <v>2400</v>
      </c>
      <c r="Q8" s="147">
        <f aca="true" t="shared" si="8" ref="Q8:V13">E8*12</f>
        <v>2400</v>
      </c>
      <c r="R8" s="147">
        <f t="shared" si="8"/>
        <v>2400</v>
      </c>
      <c r="S8" s="147">
        <f t="shared" si="8"/>
        <v>2400</v>
      </c>
      <c r="T8" s="147">
        <f t="shared" si="8"/>
        <v>2400</v>
      </c>
      <c r="U8" s="147">
        <f t="shared" si="8"/>
        <v>2400</v>
      </c>
      <c r="V8" s="147">
        <f t="shared" si="8"/>
        <v>2400</v>
      </c>
    </row>
    <row r="9" spans="1:22" ht="12.75">
      <c r="A9" s="73" t="s">
        <v>238</v>
      </c>
      <c r="B9" s="142"/>
      <c r="C9" s="141">
        <v>25</v>
      </c>
      <c r="D9" s="147">
        <f aca="true" t="shared" si="9" ref="D9:J9">C9+C9*$D$3</f>
        <v>25</v>
      </c>
      <c r="E9" s="147">
        <f t="shared" si="9"/>
        <v>25</v>
      </c>
      <c r="F9" s="147">
        <f t="shared" si="9"/>
        <v>25</v>
      </c>
      <c r="G9" s="147">
        <f t="shared" si="9"/>
        <v>25</v>
      </c>
      <c r="H9" s="147">
        <f t="shared" si="9"/>
        <v>25</v>
      </c>
      <c r="I9" s="147">
        <f t="shared" si="9"/>
        <v>25</v>
      </c>
      <c r="J9" s="147">
        <f t="shared" si="9"/>
        <v>25</v>
      </c>
      <c r="K9" s="147"/>
      <c r="M9" s="73" t="s">
        <v>217</v>
      </c>
      <c r="N9" s="142"/>
      <c r="O9" s="147">
        <f t="shared" si="5"/>
        <v>75</v>
      </c>
      <c r="P9" s="147">
        <f>D9*12</f>
        <v>300</v>
      </c>
      <c r="Q9" s="147">
        <f t="shared" si="8"/>
        <v>300</v>
      </c>
      <c r="R9" s="147">
        <f t="shared" si="8"/>
        <v>300</v>
      </c>
      <c r="S9" s="147">
        <f t="shared" si="8"/>
        <v>300</v>
      </c>
      <c r="T9" s="147">
        <f t="shared" si="8"/>
        <v>300</v>
      </c>
      <c r="U9" s="147">
        <f t="shared" si="8"/>
        <v>300</v>
      </c>
      <c r="V9" s="147">
        <f t="shared" si="8"/>
        <v>300</v>
      </c>
    </row>
    <row r="10" spans="1:22" ht="12.75">
      <c r="A10" s="73" t="s">
        <v>233</v>
      </c>
      <c r="B10" s="217"/>
      <c r="C10" s="141">
        <v>200</v>
      </c>
      <c r="D10" s="147">
        <f aca="true" t="shared" si="10" ref="D10:J10">C10+C10*$D$3</f>
        <v>200</v>
      </c>
      <c r="E10" s="147">
        <f t="shared" si="10"/>
        <v>200</v>
      </c>
      <c r="F10" s="147">
        <f t="shared" si="10"/>
        <v>200</v>
      </c>
      <c r="G10" s="147">
        <f t="shared" si="10"/>
        <v>200</v>
      </c>
      <c r="H10" s="147">
        <f t="shared" si="10"/>
        <v>200</v>
      </c>
      <c r="I10" s="147">
        <f t="shared" si="10"/>
        <v>200</v>
      </c>
      <c r="J10" s="147">
        <f t="shared" si="10"/>
        <v>200</v>
      </c>
      <c r="K10" s="147" t="s">
        <v>283</v>
      </c>
      <c r="M10" s="73" t="s">
        <v>204</v>
      </c>
      <c r="N10" s="217"/>
      <c r="O10" s="147">
        <f t="shared" si="5"/>
        <v>600</v>
      </c>
      <c r="P10" s="147">
        <f>D10*12</f>
        <v>2400</v>
      </c>
      <c r="Q10" s="147">
        <f t="shared" si="8"/>
        <v>2400</v>
      </c>
      <c r="R10" s="147">
        <f t="shared" si="8"/>
        <v>2400</v>
      </c>
      <c r="S10" s="147">
        <f t="shared" si="8"/>
        <v>2400</v>
      </c>
      <c r="T10" s="147">
        <f t="shared" si="8"/>
        <v>2400</v>
      </c>
      <c r="U10" s="147">
        <f t="shared" si="8"/>
        <v>2400</v>
      </c>
      <c r="V10" s="147">
        <f t="shared" si="8"/>
        <v>2400</v>
      </c>
    </row>
    <row r="11" spans="1:22" ht="12.75">
      <c r="A11" s="160" t="s">
        <v>107</v>
      </c>
      <c r="B11" s="142"/>
      <c r="C11" s="141">
        <v>15</v>
      </c>
      <c r="D11" s="147">
        <f aca="true" t="shared" si="11" ref="D11:J13">C11+C11*$D$3</f>
        <v>15</v>
      </c>
      <c r="E11" s="147">
        <f t="shared" si="11"/>
        <v>15</v>
      </c>
      <c r="F11" s="147">
        <f t="shared" si="11"/>
        <v>15</v>
      </c>
      <c r="G11" s="147">
        <f t="shared" si="11"/>
        <v>15</v>
      </c>
      <c r="H11" s="147">
        <f t="shared" si="11"/>
        <v>15</v>
      </c>
      <c r="I11" s="147">
        <f t="shared" si="11"/>
        <v>15</v>
      </c>
      <c r="J11" s="147">
        <f t="shared" si="11"/>
        <v>15</v>
      </c>
      <c r="K11" s="147"/>
      <c r="M11" s="160" t="s">
        <v>107</v>
      </c>
      <c r="N11" s="142"/>
      <c r="O11" s="147">
        <f t="shared" si="5"/>
        <v>45</v>
      </c>
      <c r="P11" s="147">
        <f t="shared" si="7"/>
        <v>180</v>
      </c>
      <c r="Q11" s="147">
        <f t="shared" si="8"/>
        <v>180</v>
      </c>
      <c r="R11" s="147">
        <f t="shared" si="8"/>
        <v>180</v>
      </c>
      <c r="S11" s="147">
        <f t="shared" si="8"/>
        <v>180</v>
      </c>
      <c r="T11" s="147">
        <f t="shared" si="8"/>
        <v>180</v>
      </c>
      <c r="U11" s="147">
        <f t="shared" si="8"/>
        <v>180</v>
      </c>
      <c r="V11" s="147">
        <f t="shared" si="8"/>
        <v>180</v>
      </c>
    </row>
    <row r="12" spans="1:22" ht="12.75">
      <c r="A12" s="73" t="s">
        <v>99</v>
      </c>
      <c r="B12" s="142"/>
      <c r="C12" s="141">
        <v>15</v>
      </c>
      <c r="D12" s="147">
        <f aca="true" t="shared" si="12" ref="D12:J12">C12+C12*$D$3</f>
        <v>15</v>
      </c>
      <c r="E12" s="147">
        <f t="shared" si="12"/>
        <v>15</v>
      </c>
      <c r="F12" s="147">
        <f t="shared" si="12"/>
        <v>15</v>
      </c>
      <c r="G12" s="147">
        <f t="shared" si="12"/>
        <v>15</v>
      </c>
      <c r="H12" s="147">
        <f t="shared" si="12"/>
        <v>15</v>
      </c>
      <c r="I12" s="147">
        <f t="shared" si="12"/>
        <v>15</v>
      </c>
      <c r="J12" s="147">
        <f t="shared" si="12"/>
        <v>15</v>
      </c>
      <c r="K12" s="147" t="s">
        <v>232</v>
      </c>
      <c r="M12" s="73" t="s">
        <v>99</v>
      </c>
      <c r="N12" s="142"/>
      <c r="O12" s="147">
        <f t="shared" si="5"/>
        <v>45</v>
      </c>
      <c r="P12" s="147">
        <f>D12*12</f>
        <v>180</v>
      </c>
      <c r="Q12" s="147">
        <f t="shared" si="8"/>
        <v>180</v>
      </c>
      <c r="R12" s="147">
        <f t="shared" si="8"/>
        <v>180</v>
      </c>
      <c r="S12" s="147">
        <f t="shared" si="8"/>
        <v>180</v>
      </c>
      <c r="T12" s="147">
        <f t="shared" si="8"/>
        <v>180</v>
      </c>
      <c r="U12" s="147">
        <f t="shared" si="8"/>
        <v>180</v>
      </c>
      <c r="V12" s="147">
        <f t="shared" si="8"/>
        <v>180</v>
      </c>
    </row>
    <row r="13" spans="1:22" ht="12.75">
      <c r="A13" s="73" t="s">
        <v>43</v>
      </c>
      <c r="B13" s="147"/>
      <c r="C13" s="141">
        <v>70</v>
      </c>
      <c r="D13" s="147">
        <f t="shared" si="11"/>
        <v>70</v>
      </c>
      <c r="E13" s="147">
        <f t="shared" si="11"/>
        <v>70</v>
      </c>
      <c r="F13" s="147">
        <f t="shared" si="11"/>
        <v>70</v>
      </c>
      <c r="G13" s="147">
        <f t="shared" si="11"/>
        <v>70</v>
      </c>
      <c r="H13" s="147">
        <f t="shared" si="11"/>
        <v>70</v>
      </c>
      <c r="I13" s="147">
        <f t="shared" si="11"/>
        <v>70</v>
      </c>
      <c r="J13" s="147">
        <f t="shared" si="11"/>
        <v>70</v>
      </c>
      <c r="K13" s="147"/>
      <c r="M13" s="73" t="s">
        <v>43</v>
      </c>
      <c r="N13" s="147"/>
      <c r="O13" s="147">
        <f t="shared" si="5"/>
        <v>210</v>
      </c>
      <c r="P13" s="147">
        <f t="shared" si="7"/>
        <v>840</v>
      </c>
      <c r="Q13" s="147">
        <f t="shared" si="8"/>
        <v>840</v>
      </c>
      <c r="R13" s="147">
        <f t="shared" si="8"/>
        <v>840</v>
      </c>
      <c r="S13" s="147">
        <f t="shared" si="8"/>
        <v>840</v>
      </c>
      <c r="T13" s="147">
        <f t="shared" si="8"/>
        <v>840</v>
      </c>
      <c r="U13" s="147">
        <f t="shared" si="8"/>
        <v>840</v>
      </c>
      <c r="V13" s="147">
        <f t="shared" si="8"/>
        <v>840</v>
      </c>
    </row>
    <row r="14" spans="1:22" ht="12.75">
      <c r="A14" s="212" t="s">
        <v>0</v>
      </c>
      <c r="B14" s="213"/>
      <c r="C14" s="213">
        <f aca="true" t="shared" si="13" ref="C14:J14">SUM(C6:C13)</f>
        <v>2074.52</v>
      </c>
      <c r="D14" s="213">
        <f t="shared" si="13"/>
        <v>2074.52</v>
      </c>
      <c r="E14" s="213">
        <f t="shared" si="13"/>
        <v>2074.52</v>
      </c>
      <c r="F14" s="213">
        <f t="shared" si="13"/>
        <v>2074.52</v>
      </c>
      <c r="G14" s="213">
        <f t="shared" si="13"/>
        <v>2074.52</v>
      </c>
      <c r="H14" s="213">
        <f t="shared" si="13"/>
        <v>2074.52</v>
      </c>
      <c r="I14" s="213">
        <f t="shared" si="13"/>
        <v>2074.52</v>
      </c>
      <c r="J14" s="213">
        <f t="shared" si="13"/>
        <v>2074.52</v>
      </c>
      <c r="K14" s="213"/>
      <c r="M14" s="212" t="s">
        <v>0</v>
      </c>
      <c r="N14" s="213"/>
      <c r="O14" s="213">
        <f aca="true" t="shared" si="14" ref="O14:V14">SUM(O6:O13)</f>
        <v>6223.56</v>
      </c>
      <c r="P14" s="213">
        <f t="shared" si="14"/>
        <v>24894.24</v>
      </c>
      <c r="Q14" s="213">
        <f t="shared" si="14"/>
        <v>24894.24</v>
      </c>
      <c r="R14" s="213">
        <f t="shared" si="14"/>
        <v>24894.24</v>
      </c>
      <c r="S14" s="213">
        <f t="shared" si="14"/>
        <v>24894.24</v>
      </c>
      <c r="T14" s="213">
        <f t="shared" si="14"/>
        <v>24894.24</v>
      </c>
      <c r="U14" s="213">
        <f t="shared" si="14"/>
        <v>24894.24</v>
      </c>
      <c r="V14" s="213">
        <f t="shared" si="14"/>
        <v>24894.24</v>
      </c>
    </row>
    <row r="16" spans="1:22" ht="12.75">
      <c r="A16" s="60" t="s">
        <v>76</v>
      </c>
      <c r="C16" s="162">
        <f aca="true" t="shared" si="15" ref="C16:J16">SUM(C17:C17)</f>
        <v>4.7476</v>
      </c>
      <c r="D16" s="162">
        <f t="shared" si="15"/>
        <v>4.7476</v>
      </c>
      <c r="E16" s="162">
        <f t="shared" si="15"/>
        <v>4.7476</v>
      </c>
      <c r="F16" s="162">
        <f t="shared" si="15"/>
        <v>4.7476</v>
      </c>
      <c r="G16" s="162">
        <f t="shared" si="15"/>
        <v>4.7476</v>
      </c>
      <c r="H16" s="162">
        <f t="shared" si="15"/>
        <v>4.7476</v>
      </c>
      <c r="I16" s="162">
        <f t="shared" si="15"/>
        <v>4.7476</v>
      </c>
      <c r="J16" s="162">
        <f t="shared" si="15"/>
        <v>4.7476</v>
      </c>
      <c r="M16" s="60" t="s">
        <v>76</v>
      </c>
      <c r="O16" s="162">
        <f aca="true" t="shared" si="16" ref="O16:V16">SUM(O17:O17)</f>
        <v>14.2428</v>
      </c>
      <c r="P16" s="162">
        <f t="shared" si="16"/>
        <v>56.9712</v>
      </c>
      <c r="Q16" s="162">
        <f t="shared" si="16"/>
        <v>56.9712</v>
      </c>
      <c r="R16" s="162">
        <f t="shared" si="16"/>
        <v>56.9712</v>
      </c>
      <c r="S16" s="162">
        <f t="shared" si="16"/>
        <v>56.9712</v>
      </c>
      <c r="T16" s="162">
        <f t="shared" si="16"/>
        <v>56.9712</v>
      </c>
      <c r="U16" s="162">
        <f t="shared" si="16"/>
        <v>56.9712</v>
      </c>
      <c r="V16" s="162">
        <f t="shared" si="16"/>
        <v>56.9712</v>
      </c>
    </row>
    <row r="17" spans="1:22" ht="25.5">
      <c r="A17" s="160" t="s">
        <v>77</v>
      </c>
      <c r="B17" s="163">
        <v>0.005</v>
      </c>
      <c r="C17" s="164">
        <f aca="true" t="shared" si="17" ref="C17:J17">C6*$B$17</f>
        <v>4.7476</v>
      </c>
      <c r="D17" s="164">
        <f t="shared" si="17"/>
        <v>4.7476</v>
      </c>
      <c r="E17" s="164">
        <f t="shared" si="17"/>
        <v>4.7476</v>
      </c>
      <c r="F17" s="164">
        <f t="shared" si="17"/>
        <v>4.7476</v>
      </c>
      <c r="G17" s="164">
        <f t="shared" si="17"/>
        <v>4.7476</v>
      </c>
      <c r="H17" s="164">
        <f t="shared" si="17"/>
        <v>4.7476</v>
      </c>
      <c r="I17" s="164">
        <f t="shared" si="17"/>
        <v>4.7476</v>
      </c>
      <c r="J17" s="164">
        <f t="shared" si="17"/>
        <v>4.7476</v>
      </c>
      <c r="M17" s="160" t="s">
        <v>77</v>
      </c>
      <c r="N17" s="166">
        <f>B17</f>
        <v>0.005</v>
      </c>
      <c r="O17" s="164">
        <f>C17*3</f>
        <v>14.2428</v>
      </c>
      <c r="P17" s="164">
        <f aca="true" t="shared" si="18" ref="P17:V17">D17*12</f>
        <v>56.9712</v>
      </c>
      <c r="Q17" s="164">
        <f t="shared" si="18"/>
        <v>56.9712</v>
      </c>
      <c r="R17" s="164">
        <f t="shared" si="18"/>
        <v>56.9712</v>
      </c>
      <c r="S17" s="164">
        <f t="shared" si="18"/>
        <v>56.9712</v>
      </c>
      <c r="T17" s="164">
        <f t="shared" si="18"/>
        <v>56.9712</v>
      </c>
      <c r="U17" s="164">
        <f t="shared" si="18"/>
        <v>56.9712</v>
      </c>
      <c r="V17" s="164">
        <f t="shared" si="18"/>
        <v>56.9712</v>
      </c>
    </row>
    <row r="19" spans="1:22" ht="12.75">
      <c r="A19" s="60" t="s">
        <v>78</v>
      </c>
      <c r="C19" s="165">
        <f>SUM(C20:C21)</f>
        <v>74.46268136160714</v>
      </c>
      <c r="D19" s="165">
        <f aca="true" t="shared" si="19" ref="D19:I19">SUM(D20:D21)</f>
        <v>72.2783203125</v>
      </c>
      <c r="E19" s="165">
        <f t="shared" si="19"/>
        <v>68.78334263392856</v>
      </c>
      <c r="F19" s="165">
        <f t="shared" si="19"/>
        <v>65.28836495535714</v>
      </c>
      <c r="G19" s="165">
        <f t="shared" si="19"/>
        <v>61.7933872767857</v>
      </c>
      <c r="H19" s="165">
        <f t="shared" si="19"/>
        <v>58.29840959821428</v>
      </c>
      <c r="I19" s="165">
        <f t="shared" si="19"/>
        <v>54.80343191964284</v>
      </c>
      <c r="J19" s="165">
        <f>SUM(J20:J21)</f>
        <v>51.30845424107141</v>
      </c>
      <c r="M19" s="60" t="s">
        <v>78</v>
      </c>
      <c r="O19" s="165">
        <f>SUM(O20:O21)</f>
        <v>223.38804408482142</v>
      </c>
      <c r="P19" s="165">
        <f aca="true" t="shared" si="20" ref="P19:U19">SUM(P20:P21)</f>
        <v>867.33984375</v>
      </c>
      <c r="Q19" s="165">
        <f t="shared" si="20"/>
        <v>825.4001116071428</v>
      </c>
      <c r="R19" s="165">
        <f t="shared" si="20"/>
        <v>783.4603794642857</v>
      </c>
      <c r="S19" s="165">
        <f t="shared" si="20"/>
        <v>741.5206473214284</v>
      </c>
      <c r="T19" s="165">
        <f t="shared" si="20"/>
        <v>699.5809151785713</v>
      </c>
      <c r="U19" s="165">
        <f t="shared" si="20"/>
        <v>657.6411830357141</v>
      </c>
      <c r="V19" s="165">
        <f>SUM(V20:V21)</f>
        <v>615.7014508928569</v>
      </c>
    </row>
    <row r="20" spans="1:22" ht="12.75">
      <c r="A20" s="73" t="s">
        <v>1</v>
      </c>
      <c r="B20" s="166">
        <f>Исх!C17</f>
        <v>0.015</v>
      </c>
      <c r="C20" s="147">
        <f>(C33+C36)/2*$B$20/12</f>
        <v>69.46268136160714</v>
      </c>
      <c r="D20" s="147">
        <f aca="true" t="shared" si="21" ref="D20:I20">(D33+D36)/2*$B$20/12</f>
        <v>67.2783203125</v>
      </c>
      <c r="E20" s="147">
        <f t="shared" si="21"/>
        <v>63.78334263392856</v>
      </c>
      <c r="F20" s="147">
        <f t="shared" si="21"/>
        <v>60.28836495535714</v>
      </c>
      <c r="G20" s="147">
        <f t="shared" si="21"/>
        <v>56.7933872767857</v>
      </c>
      <c r="H20" s="147">
        <f t="shared" si="21"/>
        <v>53.29840959821428</v>
      </c>
      <c r="I20" s="147">
        <f t="shared" si="21"/>
        <v>49.80343191964284</v>
      </c>
      <c r="J20" s="147">
        <f>(J33+J36)/2*$B$20/12</f>
        <v>46.30845424107141</v>
      </c>
      <c r="M20" s="73" t="s">
        <v>1</v>
      </c>
      <c r="N20" s="166">
        <f>B20</f>
        <v>0.015</v>
      </c>
      <c r="O20" s="164">
        <f>C20*3</f>
        <v>208.38804408482142</v>
      </c>
      <c r="P20" s="164">
        <f aca="true" t="shared" si="22" ref="P20:V21">D20*12</f>
        <v>807.33984375</v>
      </c>
      <c r="Q20" s="164">
        <f t="shared" si="22"/>
        <v>765.4001116071428</v>
      </c>
      <c r="R20" s="164">
        <f t="shared" si="22"/>
        <v>723.4603794642857</v>
      </c>
      <c r="S20" s="164">
        <f t="shared" si="22"/>
        <v>681.5206473214284</v>
      </c>
      <c r="T20" s="164">
        <f t="shared" si="22"/>
        <v>639.5809151785713</v>
      </c>
      <c r="U20" s="164">
        <f t="shared" si="22"/>
        <v>597.6411830357141</v>
      </c>
      <c r="V20" s="164">
        <f t="shared" si="22"/>
        <v>555.7014508928569</v>
      </c>
    </row>
    <row r="21" spans="1:22" ht="12.75">
      <c r="A21" s="73" t="s">
        <v>202</v>
      </c>
      <c r="B21" s="73"/>
      <c r="C21" s="141">
        <v>5</v>
      </c>
      <c r="D21" s="147">
        <f aca="true" t="shared" si="23" ref="D21:J21">C21+C21*$D$3</f>
        <v>5</v>
      </c>
      <c r="E21" s="147">
        <f t="shared" si="23"/>
        <v>5</v>
      </c>
      <c r="F21" s="147">
        <f t="shared" si="23"/>
        <v>5</v>
      </c>
      <c r="G21" s="147">
        <f t="shared" si="23"/>
        <v>5</v>
      </c>
      <c r="H21" s="147">
        <f t="shared" si="23"/>
        <v>5</v>
      </c>
      <c r="I21" s="147">
        <f t="shared" si="23"/>
        <v>5</v>
      </c>
      <c r="J21" s="147">
        <f t="shared" si="23"/>
        <v>5</v>
      </c>
      <c r="M21" s="73" t="s">
        <v>202</v>
      </c>
      <c r="N21" s="166">
        <f>B21</f>
        <v>0</v>
      </c>
      <c r="O21" s="164">
        <f>C21*3</f>
        <v>15</v>
      </c>
      <c r="P21" s="164">
        <f t="shared" si="22"/>
        <v>60</v>
      </c>
      <c r="Q21" s="164">
        <f t="shared" si="22"/>
        <v>60</v>
      </c>
      <c r="R21" s="164">
        <f t="shared" si="22"/>
        <v>60</v>
      </c>
      <c r="S21" s="164">
        <f t="shared" si="22"/>
        <v>60</v>
      </c>
      <c r="T21" s="164">
        <f t="shared" si="22"/>
        <v>60</v>
      </c>
      <c r="U21" s="164">
        <f t="shared" si="22"/>
        <v>60</v>
      </c>
      <c r="V21" s="164">
        <f t="shared" si="22"/>
        <v>60</v>
      </c>
    </row>
    <row r="23" ht="12.75">
      <c r="C23" s="167"/>
    </row>
    <row r="24" spans="1:10" ht="12.75">
      <c r="A24" s="60" t="s">
        <v>79</v>
      </c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37" t="s">
        <v>85</v>
      </c>
      <c r="B25" s="73"/>
      <c r="C25" s="138">
        <f aca="true" t="shared" si="24" ref="C25:J25">C5</f>
        <v>2014</v>
      </c>
      <c r="D25" s="138">
        <f t="shared" si="24"/>
        <v>2015</v>
      </c>
      <c r="E25" s="138">
        <f t="shared" si="24"/>
        <v>2016</v>
      </c>
      <c r="F25" s="138">
        <f t="shared" si="24"/>
        <v>2017</v>
      </c>
      <c r="G25" s="138">
        <f t="shared" si="24"/>
        <v>2018</v>
      </c>
      <c r="H25" s="138">
        <f t="shared" si="24"/>
        <v>2019</v>
      </c>
      <c r="I25" s="138">
        <f t="shared" si="24"/>
        <v>2020</v>
      </c>
      <c r="J25" s="138">
        <f t="shared" si="24"/>
        <v>2021</v>
      </c>
    </row>
    <row r="26" spans="1:10" ht="12.75">
      <c r="A26" s="73" t="s">
        <v>80</v>
      </c>
      <c r="B26" s="168"/>
      <c r="C26" s="73"/>
      <c r="D26" s="73"/>
      <c r="E26" s="73"/>
      <c r="F26" s="73"/>
      <c r="G26" s="73"/>
      <c r="H26" s="73"/>
      <c r="I26" s="73"/>
      <c r="J26" s="73"/>
    </row>
    <row r="27" spans="1:10" ht="12.75">
      <c r="A27" s="73" t="s">
        <v>81</v>
      </c>
      <c r="B27" s="169"/>
      <c r="C27" s="147">
        <f>C33+C39+C45</f>
        <v>55919.642857142855</v>
      </c>
      <c r="D27" s="147">
        <f aca="true" t="shared" si="25" ref="D27:I27">D33+D39+D45</f>
        <v>119969.21398809526</v>
      </c>
      <c r="E27" s="147">
        <f t="shared" si="25"/>
        <v>112783.49851190479</v>
      </c>
      <c r="F27" s="147">
        <f t="shared" si="25"/>
        <v>105597.7830357143</v>
      </c>
      <c r="G27" s="147">
        <f t="shared" si="25"/>
        <v>98412.06755952383</v>
      </c>
      <c r="H27" s="147">
        <f t="shared" si="25"/>
        <v>91226.35208333333</v>
      </c>
      <c r="I27" s="147">
        <f t="shared" si="25"/>
        <v>84040.63660714286</v>
      </c>
      <c r="J27" s="147">
        <f>J33+J39+J45</f>
        <v>76854.92113095237</v>
      </c>
    </row>
    <row r="28" spans="1:10" ht="12.75">
      <c r="A28" s="73" t="s">
        <v>82</v>
      </c>
      <c r="B28" s="169"/>
      <c r="C28" s="147">
        <f>C34+C40+C46</f>
        <v>65846.00000000003</v>
      </c>
      <c r="D28" s="147">
        <f aca="true" t="shared" si="26" ref="D28:I28">D34+D40+D46</f>
        <v>0</v>
      </c>
      <c r="E28" s="147">
        <f t="shared" si="26"/>
        <v>0</v>
      </c>
      <c r="F28" s="147">
        <f t="shared" si="26"/>
        <v>0</v>
      </c>
      <c r="G28" s="147">
        <f t="shared" si="26"/>
        <v>0</v>
      </c>
      <c r="H28" s="147">
        <f t="shared" si="26"/>
        <v>0</v>
      </c>
      <c r="I28" s="147">
        <f t="shared" si="26"/>
        <v>0</v>
      </c>
      <c r="J28" s="147">
        <f>J34+J40+J46</f>
        <v>0</v>
      </c>
    </row>
    <row r="29" spans="1:10" ht="12.75">
      <c r="A29" s="149" t="s">
        <v>83</v>
      </c>
      <c r="B29" s="149"/>
      <c r="C29" s="148">
        <f>C35+C41+C47</f>
        <v>1796.4288690476196</v>
      </c>
      <c r="D29" s="148">
        <f aca="true" t="shared" si="27" ref="D29:I29">D35+D41+D47</f>
        <v>7185.7154761904785</v>
      </c>
      <c r="E29" s="148">
        <f t="shared" si="27"/>
        <v>7185.7154761904785</v>
      </c>
      <c r="F29" s="148">
        <f t="shared" si="27"/>
        <v>7185.7154761904785</v>
      </c>
      <c r="G29" s="148">
        <f t="shared" si="27"/>
        <v>7185.7154761904785</v>
      </c>
      <c r="H29" s="148">
        <f t="shared" si="27"/>
        <v>7185.7154761904785</v>
      </c>
      <c r="I29" s="148">
        <f t="shared" si="27"/>
        <v>7185.7154761904785</v>
      </c>
      <c r="J29" s="148">
        <f>J35+J41+J47</f>
        <v>7185.7154761904785</v>
      </c>
    </row>
    <row r="30" spans="1:10" ht="12.75">
      <c r="A30" s="73" t="s">
        <v>84</v>
      </c>
      <c r="B30" s="169"/>
      <c r="C30" s="147">
        <f aca="true" t="shared" si="28" ref="C30:I30">C27+C28-C29</f>
        <v>119969.21398809526</v>
      </c>
      <c r="D30" s="147">
        <f t="shared" si="28"/>
        <v>112783.49851190478</v>
      </c>
      <c r="E30" s="147">
        <f t="shared" si="28"/>
        <v>105597.78303571431</v>
      </c>
      <c r="F30" s="147">
        <f t="shared" si="28"/>
        <v>98412.06755952381</v>
      </c>
      <c r="G30" s="147">
        <f t="shared" si="28"/>
        <v>91226.35208333335</v>
      </c>
      <c r="H30" s="147">
        <f t="shared" si="28"/>
        <v>84040.63660714285</v>
      </c>
      <c r="I30" s="147">
        <f t="shared" si="28"/>
        <v>76854.92113095238</v>
      </c>
      <c r="J30" s="147">
        <f>J27+J28-J29</f>
        <v>69669.20565476188</v>
      </c>
    </row>
    <row r="31" spans="1:10" ht="12.75" hidden="1" outlineLevel="1">
      <c r="A31" s="71" t="str">
        <f>Инв!A5</f>
        <v>Здания и сооружения</v>
      </c>
      <c r="C31" s="138"/>
      <c r="D31" s="138"/>
      <c r="E31" s="138"/>
      <c r="F31" s="138"/>
      <c r="G31" s="138"/>
      <c r="H31" s="138"/>
      <c r="I31" s="138"/>
      <c r="J31" s="138"/>
    </row>
    <row r="32" spans="1:10" ht="12.75" hidden="1" outlineLevel="1">
      <c r="A32" s="73" t="s">
        <v>80</v>
      </c>
      <c r="B32" s="170">
        <f>1/20</f>
        <v>0.05</v>
      </c>
      <c r="C32" s="73"/>
      <c r="D32" s="73"/>
      <c r="E32" s="73"/>
      <c r="F32" s="73"/>
      <c r="G32" s="73"/>
      <c r="H32" s="73"/>
      <c r="I32" s="73"/>
      <c r="J32" s="73"/>
    </row>
    <row r="33" spans="1:10" ht="12.75" hidden="1" outlineLevel="1">
      <c r="A33" s="73" t="s">
        <v>81</v>
      </c>
      <c r="B33" s="169"/>
      <c r="C33" s="142">
        <f>Инв!C21</f>
        <v>55919.642857142855</v>
      </c>
      <c r="D33" s="147">
        <f aca="true" t="shared" si="29" ref="D33:J33">C36</f>
        <v>55220.64732142857</v>
      </c>
      <c r="E33" s="147">
        <f t="shared" si="29"/>
        <v>52424.66517857143</v>
      </c>
      <c r="F33" s="147">
        <f t="shared" si="29"/>
        <v>49628.68303571428</v>
      </c>
      <c r="G33" s="147">
        <f t="shared" si="29"/>
        <v>46832.70089285714</v>
      </c>
      <c r="H33" s="147">
        <f t="shared" si="29"/>
        <v>44036.71874999999</v>
      </c>
      <c r="I33" s="147">
        <f t="shared" si="29"/>
        <v>41240.73660714285</v>
      </c>
      <c r="J33" s="147">
        <f t="shared" si="29"/>
        <v>38444.7544642857</v>
      </c>
    </row>
    <row r="34" spans="1:10" ht="12.75" hidden="1" outlineLevel="1">
      <c r="A34" s="73" t="s">
        <v>82</v>
      </c>
      <c r="B34" s="169"/>
      <c r="C34" s="147"/>
      <c r="D34" s="147"/>
      <c r="E34" s="147"/>
      <c r="F34" s="147"/>
      <c r="G34" s="147"/>
      <c r="H34" s="147"/>
      <c r="I34" s="147"/>
      <c r="J34" s="147"/>
    </row>
    <row r="35" spans="1:10" ht="12.75" hidden="1" outlineLevel="1">
      <c r="A35" s="149" t="s">
        <v>83</v>
      </c>
      <c r="B35" s="149"/>
      <c r="C35" s="148">
        <f>$C33*$B32/12*3</f>
        <v>698.9955357142858</v>
      </c>
      <c r="D35" s="148">
        <f aca="true" t="shared" si="30" ref="D35:I35">$C33*$B32</f>
        <v>2795.982142857143</v>
      </c>
      <c r="E35" s="148">
        <f t="shared" si="30"/>
        <v>2795.982142857143</v>
      </c>
      <c r="F35" s="148">
        <f t="shared" si="30"/>
        <v>2795.982142857143</v>
      </c>
      <c r="G35" s="148">
        <f t="shared" si="30"/>
        <v>2795.982142857143</v>
      </c>
      <c r="H35" s="148">
        <f t="shared" si="30"/>
        <v>2795.982142857143</v>
      </c>
      <c r="I35" s="148">
        <f t="shared" si="30"/>
        <v>2795.982142857143</v>
      </c>
      <c r="J35" s="148">
        <f>$C33*$B32</f>
        <v>2795.982142857143</v>
      </c>
    </row>
    <row r="36" spans="1:10" ht="12.75" hidden="1" outlineLevel="1">
      <c r="A36" s="73" t="s">
        <v>84</v>
      </c>
      <c r="B36" s="169"/>
      <c r="C36" s="147">
        <f aca="true" t="shared" si="31" ref="C36:I36">C33+C34-C35</f>
        <v>55220.64732142857</v>
      </c>
      <c r="D36" s="147">
        <f t="shared" si="31"/>
        <v>52424.66517857143</v>
      </c>
      <c r="E36" s="147">
        <f t="shared" si="31"/>
        <v>49628.68303571428</v>
      </c>
      <c r="F36" s="147">
        <f t="shared" si="31"/>
        <v>46832.70089285714</v>
      </c>
      <c r="G36" s="147">
        <f t="shared" si="31"/>
        <v>44036.71874999999</v>
      </c>
      <c r="H36" s="147">
        <f t="shared" si="31"/>
        <v>41240.73660714285</v>
      </c>
      <c r="I36" s="147">
        <f t="shared" si="31"/>
        <v>38444.7544642857</v>
      </c>
      <c r="J36" s="147">
        <f>J33+J34-J35</f>
        <v>35648.77232142856</v>
      </c>
    </row>
    <row r="37" spans="1:10" ht="12.75" hidden="1" outlineLevel="1">
      <c r="A37" s="71" t="str">
        <f>Инв!A9</f>
        <v>Оборудование</v>
      </c>
      <c r="C37" s="138"/>
      <c r="D37" s="138"/>
      <c r="E37" s="138"/>
      <c r="F37" s="138"/>
      <c r="G37" s="138"/>
      <c r="H37" s="138"/>
      <c r="I37" s="138"/>
      <c r="J37" s="138"/>
    </row>
    <row r="38" spans="1:10" ht="12.75" hidden="1" outlineLevel="1">
      <c r="A38" s="73" t="s">
        <v>80</v>
      </c>
      <c r="B38" s="170">
        <f>1/15</f>
        <v>0.06666666666666667</v>
      </c>
      <c r="C38" s="73"/>
      <c r="D38" s="73"/>
      <c r="E38" s="73"/>
      <c r="F38" s="73"/>
      <c r="G38" s="73"/>
      <c r="H38" s="73"/>
      <c r="I38" s="73"/>
      <c r="J38" s="73"/>
    </row>
    <row r="39" spans="1:10" ht="12.75" hidden="1" outlineLevel="1">
      <c r="A39" s="73" t="s">
        <v>81</v>
      </c>
      <c r="B39" s="169"/>
      <c r="C39" s="147"/>
      <c r="D39" s="147">
        <f aca="true" t="shared" si="32" ref="D39:J39">C42</f>
        <v>64748.566666666695</v>
      </c>
      <c r="E39" s="147">
        <f t="shared" si="32"/>
        <v>60358.83333333336</v>
      </c>
      <c r="F39" s="147">
        <f t="shared" si="32"/>
        <v>55969.10000000002</v>
      </c>
      <c r="G39" s="147">
        <f t="shared" si="32"/>
        <v>51579.36666666668</v>
      </c>
      <c r="H39" s="147">
        <f t="shared" si="32"/>
        <v>47189.633333333346</v>
      </c>
      <c r="I39" s="147">
        <f t="shared" si="32"/>
        <v>42799.90000000001</v>
      </c>
      <c r="J39" s="147">
        <f t="shared" si="32"/>
        <v>38410.16666666667</v>
      </c>
    </row>
    <row r="40" spans="1:10" ht="12.75" hidden="1" outlineLevel="1">
      <c r="A40" s="73" t="s">
        <v>82</v>
      </c>
      <c r="B40" s="169"/>
      <c r="C40" s="147">
        <f>Инв!C22</f>
        <v>65846.00000000003</v>
      </c>
      <c r="D40" s="147"/>
      <c r="E40" s="147"/>
      <c r="F40" s="147"/>
      <c r="G40" s="147"/>
      <c r="H40" s="147"/>
      <c r="I40" s="147"/>
      <c r="J40" s="147"/>
    </row>
    <row r="41" spans="1:10" ht="12.75" hidden="1" outlineLevel="1">
      <c r="A41" s="149" t="s">
        <v>83</v>
      </c>
      <c r="B41" s="149"/>
      <c r="C41" s="148">
        <f>$C40*$B38/12*3</f>
        <v>1097.4333333333338</v>
      </c>
      <c r="D41" s="148">
        <f aca="true" t="shared" si="33" ref="D41:J41">$C40*$B38</f>
        <v>4389.733333333335</v>
      </c>
      <c r="E41" s="148">
        <f t="shared" si="33"/>
        <v>4389.733333333335</v>
      </c>
      <c r="F41" s="148">
        <f t="shared" si="33"/>
        <v>4389.733333333335</v>
      </c>
      <c r="G41" s="148">
        <f t="shared" si="33"/>
        <v>4389.733333333335</v>
      </c>
      <c r="H41" s="148">
        <f t="shared" si="33"/>
        <v>4389.733333333335</v>
      </c>
      <c r="I41" s="148">
        <f t="shared" si="33"/>
        <v>4389.733333333335</v>
      </c>
      <c r="J41" s="148">
        <f t="shared" si="33"/>
        <v>4389.733333333335</v>
      </c>
    </row>
    <row r="42" spans="1:10" ht="12.75" hidden="1" outlineLevel="1">
      <c r="A42" s="73" t="s">
        <v>84</v>
      </c>
      <c r="B42" s="169"/>
      <c r="C42" s="147">
        <f aca="true" t="shared" si="34" ref="C42:I42">C39+C40-C41</f>
        <v>64748.566666666695</v>
      </c>
      <c r="D42" s="147">
        <f t="shared" si="34"/>
        <v>60358.83333333336</v>
      </c>
      <c r="E42" s="147">
        <f t="shared" si="34"/>
        <v>55969.10000000002</v>
      </c>
      <c r="F42" s="147">
        <f t="shared" si="34"/>
        <v>51579.36666666668</v>
      </c>
      <c r="G42" s="147">
        <f t="shared" si="34"/>
        <v>47189.633333333346</v>
      </c>
      <c r="H42" s="147">
        <f t="shared" si="34"/>
        <v>42799.90000000001</v>
      </c>
      <c r="I42" s="147">
        <f t="shared" si="34"/>
        <v>38410.16666666667</v>
      </c>
      <c r="J42" s="147">
        <f>J39+J40-J41</f>
        <v>34020.433333333334</v>
      </c>
    </row>
    <row r="43" spans="1:10" ht="12.75" hidden="1" outlineLevel="1">
      <c r="A43" s="71" t="str">
        <f>Инв!A14</f>
        <v>Прочие</v>
      </c>
      <c r="C43" s="138"/>
      <c r="D43" s="138"/>
      <c r="E43" s="138"/>
      <c r="F43" s="138"/>
      <c r="G43" s="138"/>
      <c r="H43" s="138"/>
      <c r="I43" s="138"/>
      <c r="J43" s="138"/>
    </row>
    <row r="44" spans="1:10" ht="12.75" hidden="1" outlineLevel="1">
      <c r="A44" s="73" t="s">
        <v>80</v>
      </c>
      <c r="B44" s="170">
        <f>1/10</f>
        <v>0.1</v>
      </c>
      <c r="C44" s="73"/>
      <c r="D44" s="73"/>
      <c r="E44" s="73"/>
      <c r="F44" s="73"/>
      <c r="G44" s="73"/>
      <c r="H44" s="73"/>
      <c r="I44" s="73"/>
      <c r="J44" s="73"/>
    </row>
    <row r="45" spans="1:10" ht="12.75" hidden="1" outlineLevel="1">
      <c r="A45" s="73" t="s">
        <v>81</v>
      </c>
      <c r="B45" s="169"/>
      <c r="C45" s="147"/>
      <c r="D45" s="147">
        <f aca="true" t="shared" si="35" ref="D45:J45">C48</f>
        <v>0</v>
      </c>
      <c r="E45" s="147">
        <f t="shared" si="35"/>
        <v>0</v>
      </c>
      <c r="F45" s="147">
        <f t="shared" si="35"/>
        <v>0</v>
      </c>
      <c r="G45" s="147">
        <f t="shared" si="35"/>
        <v>0</v>
      </c>
      <c r="H45" s="147">
        <f t="shared" si="35"/>
        <v>0</v>
      </c>
      <c r="I45" s="147">
        <f t="shared" si="35"/>
        <v>0</v>
      </c>
      <c r="J45" s="147">
        <f t="shared" si="35"/>
        <v>0</v>
      </c>
    </row>
    <row r="46" spans="1:10" ht="12.75" hidden="1" outlineLevel="1">
      <c r="A46" s="73" t="s">
        <v>82</v>
      </c>
      <c r="B46" s="169"/>
      <c r="C46" s="147">
        <f>Инв!C23</f>
        <v>0</v>
      </c>
      <c r="D46" s="147"/>
      <c r="E46" s="147"/>
      <c r="F46" s="147"/>
      <c r="G46" s="147"/>
      <c r="H46" s="147"/>
      <c r="I46" s="147"/>
      <c r="J46" s="147"/>
    </row>
    <row r="47" spans="1:10" ht="12.75" hidden="1" outlineLevel="1">
      <c r="A47" s="149" t="s">
        <v>83</v>
      </c>
      <c r="B47" s="149"/>
      <c r="C47" s="148">
        <f>$C46*$B44/12*3</f>
        <v>0</v>
      </c>
      <c r="D47" s="148">
        <f>$C46*$B44</f>
        <v>0</v>
      </c>
      <c r="E47" s="148">
        <f aca="true" t="shared" si="36" ref="E47:J47">$C46*$B44</f>
        <v>0</v>
      </c>
      <c r="F47" s="148">
        <f t="shared" si="36"/>
        <v>0</v>
      </c>
      <c r="G47" s="148">
        <f t="shared" si="36"/>
        <v>0</v>
      </c>
      <c r="H47" s="148">
        <f t="shared" si="36"/>
        <v>0</v>
      </c>
      <c r="I47" s="148">
        <f t="shared" si="36"/>
        <v>0</v>
      </c>
      <c r="J47" s="148">
        <f t="shared" si="36"/>
        <v>0</v>
      </c>
    </row>
    <row r="48" spans="1:10" ht="12.75" hidden="1" outlineLevel="1">
      <c r="A48" s="73" t="s">
        <v>84</v>
      </c>
      <c r="B48" s="169"/>
      <c r="C48" s="147">
        <f aca="true" t="shared" si="37" ref="C48:I48">C45+C46-C47</f>
        <v>0</v>
      </c>
      <c r="D48" s="147">
        <f t="shared" si="37"/>
        <v>0</v>
      </c>
      <c r="E48" s="147">
        <f t="shared" si="37"/>
        <v>0</v>
      </c>
      <c r="F48" s="147">
        <f t="shared" si="37"/>
        <v>0</v>
      </c>
      <c r="G48" s="147">
        <f t="shared" si="37"/>
        <v>0</v>
      </c>
      <c r="H48" s="147">
        <f t="shared" si="37"/>
        <v>0</v>
      </c>
      <c r="I48" s="147">
        <f t="shared" si="37"/>
        <v>0</v>
      </c>
      <c r="J48" s="147">
        <f>J45+J46-J47</f>
        <v>0</v>
      </c>
    </row>
    <row r="49" ht="12.75" collapsed="1"/>
  </sheetData>
  <sheetProtection/>
  <printOptions/>
  <pageMargins left="0.2" right="0.2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2013-09-14T10:52:04Z</cp:lastPrinted>
  <dcterms:created xsi:type="dcterms:W3CDTF">2006-03-01T15:11:19Z</dcterms:created>
  <dcterms:modified xsi:type="dcterms:W3CDTF">2013-09-29T08:12:27Z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